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2"/>
  <workbookPr/>
  <mc:AlternateContent xmlns:mc="http://schemas.openxmlformats.org/markup-compatibility/2006">
    <mc:Choice Requires="x15">
      <x15ac:absPath xmlns:x15ac="http://schemas.microsoft.com/office/spreadsheetml/2010/11/ac" url="/Users/emily.reacher/Documents/"/>
    </mc:Choice>
  </mc:AlternateContent>
  <xr:revisionPtr revIDLastSave="0" documentId="8_{4FF176B7-502F-FC46-B2AE-5143A6A703F6}" xr6:coauthVersionLast="36" xr6:coauthVersionMax="36" xr10:uidLastSave="{00000000-0000-0000-0000-000000000000}"/>
  <bookViews>
    <workbookView xWindow="0" yWindow="460" windowWidth="28800" windowHeight="15940" xr2:uid="{00000000-000D-0000-FFFF-FFFF00000000}"/>
  </bookViews>
  <sheets>
    <sheet name="For publication" sheetId="1" r:id="rId1"/>
  </sheets>
  <definedNames>
    <definedName name="_xlnm._FilterDatabase" localSheetId="0" hidden="1">'For publication'!$A$2:$AZ$458</definedName>
  </definedNames>
  <calcPr calcId="181029"/>
  <extLst>
    <ext uri="GoogleSheetsCustomDataVersion1">
      <go:sheetsCustomData xmlns:go="http://customooxmlschemas.google.com/" r:id="rId5" roundtripDataSignature="AMtx7mjvRUEVzS8BodBTEriRxRb7ZLSEYw=="/>
    </ext>
  </extLst>
</workbook>
</file>

<file path=xl/calcChain.xml><?xml version="1.0" encoding="utf-8"?>
<calcChain xmlns="http://schemas.openxmlformats.org/spreadsheetml/2006/main">
  <c r="Z258" i="1" l="1"/>
  <c r="Z257" i="1"/>
  <c r="Z256" i="1"/>
  <c r="Z255" i="1"/>
  <c r="Z254" i="1"/>
  <c r="Z253" i="1"/>
  <c r="Z252" i="1"/>
  <c r="Z251" i="1"/>
  <c r="Z250" i="1"/>
  <c r="J246" i="1"/>
  <c r="I246" i="1"/>
  <c r="Z245" i="1"/>
  <c r="J245" i="1"/>
  <c r="I245" i="1"/>
  <c r="Z244" i="1"/>
  <c r="J244" i="1"/>
  <c r="I244" i="1"/>
  <c r="Z243" i="1"/>
  <c r="I243" i="1"/>
  <c r="Z242" i="1"/>
  <c r="J242" i="1"/>
  <c r="I242" i="1"/>
  <c r="Z241" i="1"/>
  <c r="J241" i="1"/>
  <c r="Z240" i="1"/>
  <c r="I240" i="1"/>
  <c r="J239" i="1"/>
  <c r="I239" i="1"/>
  <c r="J238" i="1"/>
  <c r="I238" i="1"/>
  <c r="J237" i="1"/>
  <c r="I237" i="1"/>
  <c r="Z236" i="1"/>
  <c r="J236" i="1"/>
  <c r="I236" i="1"/>
  <c r="J235" i="1"/>
  <c r="I235" i="1"/>
  <c r="J234" i="1"/>
  <c r="I234" i="1"/>
  <c r="I232" i="1"/>
  <c r="J231" i="1"/>
  <c r="I231" i="1"/>
  <c r="J230" i="1"/>
  <c r="I230" i="1"/>
  <c r="I229" i="1"/>
  <c r="Z228" i="1"/>
  <c r="J228" i="1"/>
  <c r="I228" i="1"/>
  <c r="Z227" i="1"/>
  <c r="J227" i="1"/>
  <c r="I227" i="1"/>
  <c r="Z226" i="1"/>
  <c r="J226" i="1"/>
  <c r="I226" i="1"/>
  <c r="Z225" i="1"/>
  <c r="J224" i="1"/>
  <c r="I224" i="1"/>
  <c r="Z223" i="1"/>
  <c r="J223" i="1"/>
  <c r="I223" i="1"/>
  <c r="J222" i="1"/>
  <c r="I222" i="1"/>
  <c r="Z221" i="1"/>
  <c r="I221" i="1"/>
  <c r="J220" i="1"/>
  <c r="I220" i="1"/>
  <c r="J219" i="1"/>
  <c r="I219" i="1"/>
  <c r="Z218" i="1"/>
  <c r="J218" i="1"/>
  <c r="I218" i="1"/>
  <c r="J217" i="1"/>
  <c r="I216" i="1"/>
  <c r="Z215" i="1"/>
  <c r="J215" i="1"/>
  <c r="I215" i="1"/>
  <c r="J214" i="1"/>
  <c r="I214" i="1"/>
  <c r="Z213" i="1"/>
  <c r="I213" i="1"/>
  <c r="J212" i="1"/>
  <c r="J211" i="1"/>
  <c r="I211" i="1"/>
  <c r="J210" i="1"/>
  <c r="I210" i="1"/>
  <c r="J209" i="1"/>
  <c r="I209" i="1"/>
  <c r="Z208" i="1"/>
  <c r="I208" i="1"/>
  <c r="J207" i="1"/>
  <c r="I207" i="1"/>
  <c r="J206" i="1"/>
  <c r="J205" i="1"/>
  <c r="I205" i="1"/>
  <c r="J204" i="1"/>
  <c r="I204" i="1"/>
  <c r="Z203" i="1"/>
  <c r="J203" i="1"/>
  <c r="I203" i="1"/>
  <c r="J202" i="1"/>
  <c r="I202" i="1"/>
  <c r="J200" i="1"/>
  <c r="I200" i="1"/>
  <c r="J199" i="1"/>
  <c r="I199" i="1"/>
  <c r="AA198" i="1"/>
  <c r="J198" i="1"/>
  <c r="I198" i="1"/>
  <c r="J197" i="1"/>
  <c r="I197" i="1"/>
  <c r="Z196" i="1"/>
  <c r="J196" i="1"/>
  <c r="X195" i="1"/>
  <c r="J195" i="1"/>
  <c r="I195" i="1"/>
  <c r="AA194" i="1"/>
  <c r="Z194" i="1"/>
  <c r="I194" i="1"/>
  <c r="J193" i="1"/>
  <c r="I193" i="1"/>
  <c r="J192" i="1"/>
  <c r="I192" i="1"/>
  <c r="Z191" i="1"/>
  <c r="J191" i="1"/>
  <c r="J190" i="1"/>
  <c r="I190" i="1"/>
  <c r="Z189" i="1"/>
  <c r="J189" i="1"/>
  <c r="I189" i="1"/>
  <c r="J188" i="1"/>
  <c r="J187" i="1"/>
  <c r="I187" i="1"/>
  <c r="Z186" i="1"/>
  <c r="J186" i="1"/>
  <c r="I186" i="1"/>
  <c r="Z185" i="1"/>
  <c r="J185" i="1"/>
  <c r="I185" i="1"/>
  <c r="Z184" i="1"/>
  <c r="I184" i="1"/>
  <c r="J183" i="1"/>
  <c r="I183" i="1"/>
  <c r="J182" i="1"/>
  <c r="I182" i="1"/>
  <c r="Z181" i="1"/>
  <c r="J181" i="1"/>
  <c r="I181" i="1"/>
  <c r="J180" i="1"/>
  <c r="I180" i="1"/>
  <c r="Z179" i="1"/>
  <c r="J179" i="1"/>
  <c r="I179" i="1"/>
  <c r="Z178" i="1"/>
  <c r="J178" i="1"/>
  <c r="I178" i="1"/>
  <c r="I177" i="1"/>
  <c r="J176" i="1"/>
  <c r="J175" i="1"/>
  <c r="J174" i="1"/>
  <c r="I174" i="1"/>
  <c r="Z173" i="1"/>
  <c r="J173" i="1"/>
  <c r="I173" i="1"/>
  <c r="AA172" i="1"/>
  <c r="J172" i="1"/>
  <c r="I172" i="1"/>
  <c r="J170" i="1"/>
  <c r="I170" i="1"/>
  <c r="J168" i="1"/>
  <c r="I168" i="1"/>
  <c r="Z167" i="1"/>
  <c r="J167" i="1"/>
  <c r="I167" i="1"/>
  <c r="J166" i="1"/>
  <c r="I166" i="1"/>
  <c r="J165" i="1"/>
  <c r="I165" i="1"/>
  <c r="J164" i="1"/>
  <c r="I164" i="1"/>
  <c r="X163" i="1"/>
  <c r="I163" i="1"/>
  <c r="AA162" i="1"/>
  <c r="Z162" i="1"/>
  <c r="J162" i="1"/>
  <c r="I162" i="1"/>
  <c r="J161" i="1"/>
  <c r="Z160" i="1"/>
  <c r="J160" i="1"/>
  <c r="I160" i="1"/>
  <c r="I159" i="1"/>
  <c r="I158" i="1"/>
  <c r="Z157" i="1"/>
  <c r="J157" i="1"/>
  <c r="I157" i="1"/>
  <c r="Z156" i="1"/>
  <c r="J156" i="1"/>
  <c r="I156" i="1"/>
  <c r="J154" i="1"/>
  <c r="I154" i="1"/>
  <c r="Z153" i="1"/>
  <c r="J153" i="1"/>
  <c r="I153" i="1"/>
  <c r="Z152" i="1"/>
  <c r="J152" i="1"/>
  <c r="I152" i="1"/>
  <c r="Z151" i="1"/>
  <c r="J151" i="1"/>
  <c r="I151" i="1"/>
  <c r="Z150" i="1"/>
  <c r="I150" i="1"/>
  <c r="J149" i="1"/>
  <c r="I149" i="1"/>
  <c r="Z148" i="1"/>
  <c r="J148" i="1"/>
  <c r="I148" i="1"/>
  <c r="Z147" i="1"/>
  <c r="I147" i="1"/>
  <c r="Z146" i="1"/>
  <c r="I146" i="1"/>
  <c r="Z145" i="1"/>
  <c r="J145" i="1"/>
  <c r="I145" i="1"/>
  <c r="Z144" i="1"/>
  <c r="J144" i="1"/>
  <c r="I144" i="1"/>
  <c r="J143" i="1"/>
  <c r="I143" i="1"/>
  <c r="Z142" i="1"/>
  <c r="I142" i="1"/>
  <c r="Z141" i="1"/>
  <c r="I141" i="1"/>
  <c r="X140" i="1"/>
  <c r="Z140" i="1" s="1"/>
  <c r="J140" i="1"/>
  <c r="I140" i="1"/>
  <c r="J139" i="1"/>
  <c r="J138" i="1"/>
  <c r="I138" i="1"/>
  <c r="J137" i="1"/>
  <c r="I137" i="1"/>
  <c r="Z136" i="1"/>
  <c r="J136" i="1"/>
  <c r="I136" i="1"/>
  <c r="J135" i="1"/>
  <c r="I135" i="1"/>
  <c r="Z134" i="1"/>
  <c r="J134" i="1"/>
  <c r="I134" i="1"/>
  <c r="J133" i="1"/>
  <c r="I133" i="1"/>
  <c r="J132" i="1"/>
  <c r="I132" i="1"/>
  <c r="AA131" i="1"/>
  <c r="J131" i="1"/>
  <c r="I131" i="1"/>
  <c r="J130" i="1"/>
  <c r="I130" i="1"/>
  <c r="J129" i="1"/>
  <c r="I129" i="1"/>
  <c r="J128" i="1"/>
  <c r="I128" i="1"/>
  <c r="Z127" i="1"/>
  <c r="J127" i="1"/>
  <c r="I127" i="1"/>
  <c r="Z126" i="1"/>
  <c r="J126" i="1"/>
  <c r="I126" i="1"/>
  <c r="J125" i="1"/>
  <c r="I125" i="1"/>
  <c r="Z124" i="1"/>
  <c r="J124" i="1"/>
  <c r="I124" i="1"/>
  <c r="J123" i="1"/>
  <c r="I123" i="1"/>
  <c r="J121" i="1"/>
  <c r="I121" i="1"/>
  <c r="J120" i="1"/>
  <c r="I120" i="1"/>
  <c r="Z119" i="1"/>
  <c r="J119" i="1"/>
  <c r="I119" i="1"/>
  <c r="J118" i="1"/>
  <c r="I118" i="1"/>
  <c r="Z117" i="1"/>
  <c r="J117" i="1"/>
  <c r="I117" i="1"/>
  <c r="J116" i="1"/>
  <c r="Z115" i="1"/>
  <c r="I115" i="1"/>
  <c r="J114" i="1"/>
  <c r="J113" i="1"/>
  <c r="I113" i="1"/>
  <c r="J112" i="1"/>
  <c r="J111" i="1"/>
  <c r="I111" i="1"/>
  <c r="J110" i="1"/>
  <c r="I110" i="1"/>
  <c r="J109" i="1"/>
  <c r="I109" i="1"/>
  <c r="J108" i="1"/>
  <c r="I108" i="1"/>
  <c r="J107" i="1"/>
  <c r="I107" i="1"/>
  <c r="Z106" i="1"/>
  <c r="I106" i="1"/>
  <c r="J105" i="1"/>
  <c r="I105" i="1"/>
  <c r="J104" i="1"/>
  <c r="I104" i="1"/>
  <c r="J103" i="1"/>
  <c r="I103" i="1"/>
  <c r="Z102" i="1"/>
  <c r="I102" i="1"/>
  <c r="Z101" i="1"/>
  <c r="I101" i="1"/>
  <c r="I100" i="1"/>
  <c r="Z99" i="1"/>
  <c r="I99" i="1"/>
  <c r="J98" i="1"/>
  <c r="I98" i="1"/>
  <c r="J96" i="1"/>
  <c r="I96" i="1"/>
  <c r="Z95" i="1"/>
  <c r="J95" i="1"/>
  <c r="I95" i="1"/>
  <c r="I94" i="1"/>
  <c r="Z93" i="1"/>
  <c r="J93" i="1"/>
  <c r="I93" i="1"/>
  <c r="J92" i="1"/>
  <c r="I92" i="1"/>
  <c r="J91" i="1"/>
  <c r="I91" i="1"/>
  <c r="J90" i="1"/>
  <c r="I90" i="1"/>
  <c r="J89" i="1"/>
  <c r="I89" i="1"/>
  <c r="J88" i="1"/>
  <c r="I88" i="1"/>
  <c r="I87" i="1"/>
  <c r="Z86" i="1"/>
  <c r="J86" i="1"/>
  <c r="I86" i="1"/>
  <c r="Z85" i="1"/>
  <c r="I85" i="1"/>
  <c r="J84" i="1"/>
  <c r="I84" i="1"/>
  <c r="Z83" i="1"/>
  <c r="I83" i="1"/>
  <c r="J82" i="1"/>
  <c r="I82" i="1"/>
  <c r="J81" i="1"/>
  <c r="I81" i="1"/>
  <c r="J79" i="1"/>
  <c r="I79" i="1"/>
  <c r="Z77" i="1"/>
  <c r="J77" i="1"/>
  <c r="I77" i="1"/>
  <c r="J76" i="1"/>
  <c r="I76" i="1"/>
  <c r="J75" i="1"/>
  <c r="I75" i="1"/>
  <c r="I74" i="1"/>
  <c r="J73" i="1"/>
  <c r="I73" i="1"/>
  <c r="Z72" i="1"/>
  <c r="J72" i="1"/>
  <c r="I72" i="1"/>
  <c r="Y71" i="1"/>
  <c r="AA71" i="1" s="1"/>
  <c r="J71" i="1"/>
  <c r="I71" i="1"/>
  <c r="J70" i="1"/>
  <c r="I70" i="1"/>
  <c r="J69" i="1"/>
  <c r="I69" i="1"/>
  <c r="Z68" i="1"/>
  <c r="J68" i="1"/>
  <c r="I68" i="1"/>
  <c r="J67" i="1"/>
  <c r="I67" i="1"/>
  <c r="Z66" i="1"/>
  <c r="J66" i="1"/>
  <c r="I66" i="1"/>
  <c r="Z64" i="1"/>
  <c r="J64" i="1"/>
  <c r="I64" i="1"/>
  <c r="I63" i="1"/>
  <c r="Z62" i="1"/>
  <c r="J62" i="1"/>
  <c r="I62" i="1"/>
  <c r="J61" i="1"/>
  <c r="I61" i="1"/>
  <c r="J60" i="1"/>
  <c r="I60" i="1"/>
  <c r="J59" i="1"/>
  <c r="I59" i="1"/>
  <c r="AA57" i="1"/>
  <c r="J57" i="1"/>
  <c r="I57" i="1"/>
  <c r="J56" i="1"/>
  <c r="I56" i="1"/>
  <c r="J55" i="1"/>
  <c r="I55" i="1"/>
  <c r="J54" i="1"/>
  <c r="I54" i="1"/>
  <c r="J53" i="1"/>
  <c r="I53" i="1"/>
  <c r="J52" i="1"/>
  <c r="I52" i="1"/>
  <c r="Z51" i="1"/>
  <c r="J51" i="1"/>
  <c r="I51" i="1"/>
  <c r="Z50" i="1"/>
  <c r="J50" i="1"/>
  <c r="I50" i="1"/>
  <c r="J49" i="1"/>
  <c r="I49" i="1"/>
  <c r="J48" i="1"/>
  <c r="I48" i="1"/>
  <c r="J47" i="1"/>
  <c r="I47" i="1"/>
  <c r="J46" i="1"/>
  <c r="I46" i="1"/>
  <c r="J45" i="1"/>
  <c r="I45" i="1"/>
  <c r="J44" i="1"/>
  <c r="I44" i="1"/>
  <c r="J43" i="1"/>
  <c r="I43" i="1"/>
  <c r="J42" i="1"/>
  <c r="J41" i="1"/>
  <c r="I41" i="1"/>
  <c r="J40" i="1"/>
  <c r="I40" i="1"/>
  <c r="J39" i="1"/>
  <c r="I39" i="1"/>
  <c r="J38" i="1"/>
  <c r="I38" i="1"/>
  <c r="J37" i="1"/>
  <c r="I37" i="1"/>
  <c r="J36" i="1"/>
  <c r="I36" i="1"/>
  <c r="J35" i="1"/>
  <c r="I35" i="1"/>
  <c r="AB34" i="1"/>
  <c r="AA34" i="1"/>
  <c r="Z34" i="1"/>
  <c r="J34" i="1"/>
  <c r="I34" i="1"/>
  <c r="J33" i="1"/>
  <c r="I33" i="1"/>
  <c r="J32" i="1"/>
  <c r="I32" i="1"/>
  <c r="J31" i="1"/>
  <c r="I31" i="1"/>
  <c r="J30" i="1"/>
  <c r="I30" i="1"/>
  <c r="J29" i="1"/>
  <c r="I29" i="1"/>
  <c r="J28" i="1"/>
  <c r="I28" i="1"/>
  <c r="I27" i="1"/>
  <c r="J25" i="1"/>
  <c r="I25" i="1"/>
  <c r="I24" i="1"/>
  <c r="J23" i="1"/>
  <c r="I23" i="1"/>
  <c r="J22" i="1"/>
  <c r="I22" i="1"/>
  <c r="J21" i="1"/>
  <c r="I21" i="1"/>
  <c r="J19" i="1"/>
  <c r="I19" i="1"/>
  <c r="I18" i="1"/>
  <c r="J17" i="1"/>
  <c r="I17" i="1"/>
  <c r="J16" i="1"/>
  <c r="I16" i="1"/>
  <c r="J15" i="1"/>
  <c r="I15" i="1"/>
  <c r="I14" i="1"/>
  <c r="J13" i="1"/>
  <c r="I13" i="1"/>
  <c r="J12" i="1"/>
  <c r="I12" i="1"/>
  <c r="J11" i="1"/>
  <c r="I11" i="1"/>
  <c r="J10" i="1"/>
  <c r="I10" i="1"/>
  <c r="I9" i="1"/>
  <c r="J8" i="1"/>
  <c r="I8" i="1"/>
  <c r="J7" i="1"/>
  <c r="I7" i="1"/>
  <c r="J5" i="1"/>
  <c r="I5" i="1"/>
  <c r="J4" i="1"/>
  <c r="I4" i="1"/>
  <c r="I3" i="1"/>
</calcChain>
</file>

<file path=xl/sharedStrings.xml><?xml version="1.0" encoding="utf-8"?>
<sst xmlns="http://schemas.openxmlformats.org/spreadsheetml/2006/main" count="3775" uniqueCount="1265">
  <si>
    <t>Income £000s</t>
  </si>
  <si>
    <t>Expenditure £000s</t>
  </si>
  <si>
    <t>Name</t>
  </si>
  <si>
    <t xml:space="preserve">Number of Bodies </t>
  </si>
  <si>
    <t>Sponsor Department</t>
  </si>
  <si>
    <t>Classification</t>
  </si>
  <si>
    <t>Regulatory Function</t>
  </si>
  <si>
    <t>Description / Terms of Reference</t>
  </si>
  <si>
    <t>Date Established</t>
  </si>
  <si>
    <t>Notes</t>
  </si>
  <si>
    <t>Email</t>
  </si>
  <si>
    <t>Website</t>
  </si>
  <si>
    <t>Senior Responsible Sponsor</t>
  </si>
  <si>
    <t>Chair</t>
  </si>
  <si>
    <t>Chair: Ministerial or Non-ministerial Appointment?</t>
  </si>
  <si>
    <t>Is the Chair Remunerated?</t>
  </si>
  <si>
    <t>Chair's Remuneration</t>
  </si>
  <si>
    <t>Remuneration received is per day, week, month, or year?</t>
  </si>
  <si>
    <t>Chair's Time Commitment</t>
  </si>
  <si>
    <t>Public Meetings</t>
  </si>
  <si>
    <t>Public Minutes</t>
  </si>
  <si>
    <t>Register of Interests</t>
  </si>
  <si>
    <t>Ombudsman</t>
  </si>
  <si>
    <t>Last Review</t>
  </si>
  <si>
    <t>Total FTE Staff Employed</t>
  </si>
  <si>
    <t xml:space="preserve">Government Funding </t>
  </si>
  <si>
    <t>Income</t>
  </si>
  <si>
    <t>Total Income</t>
  </si>
  <si>
    <t>Expenditure: RDEL</t>
  </si>
  <si>
    <t>Expenditure: CDEL</t>
  </si>
  <si>
    <t>Expenditure: RAME</t>
  </si>
  <si>
    <t>Supporting Comments on Expenditure and Income</t>
  </si>
  <si>
    <t>Present on OIC</t>
  </si>
  <si>
    <t>Supporting Comments</t>
  </si>
  <si>
    <t>Advisory Committee on Animal Feeding Stuffs</t>
  </si>
  <si>
    <t>Food Standards Agency</t>
  </si>
  <si>
    <t>Advisory NDPB</t>
  </si>
  <si>
    <t xml:space="preserve">No </t>
  </si>
  <si>
    <t>Provide advice to agricultural departments and the FSA, on the safety and use of animal feeds and feeding practices, with particular emphasis on protecting human health and with reference to new technical developments. </t>
  </si>
  <si>
    <t>https://acaf.food.gov.uk/</t>
  </si>
  <si>
    <t>Michael Wight, Deputy Director - Food Policy</t>
  </si>
  <si>
    <t>Dr Ian Brown</t>
  </si>
  <si>
    <t>Ministerial</t>
  </si>
  <si>
    <t xml:space="preserve">Yes </t>
  </si>
  <si>
    <t>Day</t>
  </si>
  <si>
    <t>Approx. 10 days per year</t>
  </si>
  <si>
    <t>N/A</t>
  </si>
  <si>
    <t>Advisory Committee on Business Appointments, excluding political members</t>
  </si>
  <si>
    <t xml:space="preserve">Cabinet Office </t>
  </si>
  <si>
    <t>The Committee provides independent advice when a senior Crown servant or former Minister leaves office and wishes to take up an outside appointment or employment.</t>
  </si>
  <si>
    <t>Tristan Pedelty, Director for Public Bodies, Public Appointments and Propriety &amp; Ethics</t>
  </si>
  <si>
    <t>Baroness Angela Browning</t>
  </si>
  <si>
    <t>Year</t>
  </si>
  <si>
    <t>Varied</t>
  </si>
  <si>
    <t>Parliamentary and Health Service Ombudsman</t>
  </si>
  <si>
    <t>The Committee’s secretariat support is provided by the Civil Service Commission and the Committee's expenditure figures are published in the Civil Service Commission’s audited Accounts</t>
  </si>
  <si>
    <t>Yes</t>
  </si>
  <si>
    <t>Advisory Committee on Clinical Excellence Awards, Chair and Medical Director only</t>
  </si>
  <si>
    <t>Department of Health and Social Care</t>
  </si>
  <si>
    <t>ACCEA administers the national Clinical Excellence Awards scheme. It advises Ministers on which applicant consultant doctors and dentists and academic GPs should receive new awards (monetary bonuses) and whether existing award holders have provided satisfactory evidence for renewal.</t>
  </si>
  <si>
    <t>Lee McDonough, Director General, Acute Care and Workforce</t>
  </si>
  <si>
    <t>Stuart Dollow</t>
  </si>
  <si>
    <t xml:space="preserve">Up to two days per week </t>
  </si>
  <si>
    <t>No</t>
  </si>
  <si>
    <t>Advisory Committee on Conscientious Objectors</t>
  </si>
  <si>
    <t xml:space="preserve">Ministry of Defence </t>
  </si>
  <si>
    <t>The Committee is responsible for advising the Secretary of State for Defence on all claims to conscientious objection to further service in the Armed Forces made by officers and other ranks of the Armed Forces whose application for permission to retire or resign their commissions or for discharge have been refused by the Service authorities.</t>
  </si>
  <si>
    <t>tracy.sexton743@mod.gov.uk</t>
  </si>
  <si>
    <t>https://www.gov.uk/government/organisations/advisory-committee-on-conscientious-objectors</t>
  </si>
  <si>
    <t>Adrian Sharman, DIPR Business Hd</t>
  </si>
  <si>
    <t>HH Judge Joanna Korner CMG QC</t>
  </si>
  <si>
    <t>Non-Ministerial</t>
  </si>
  <si>
    <t>DECA is tasked to cover its costs and make a profit by carrying out Maintenance, Repair, Overhaul and Upgrade tasks for the MOD and commercial customers through long and short term contracts.</t>
  </si>
  <si>
    <t>Advisory Committee on Novel Foods and Processes</t>
  </si>
  <si>
    <t>Provides risk assessment advise on issues associated with novel foods and processses as well as Genetically Modified Food and Feed.</t>
  </si>
  <si>
    <t>Rick Mumford, Deputy Director - Science, Evidence &amp; Research</t>
  </si>
  <si>
    <t>Professor Peter Gregory</t>
  </si>
  <si>
    <t>Approx. 10 day per year</t>
  </si>
  <si>
    <t>Advisory Committee on Releases to the Environment</t>
  </si>
  <si>
    <t>Department for Environment, Food and Rural Affairs</t>
  </si>
  <si>
    <t>To advise Government on the risks to human health and the environment from the release of genetically modified organisms.</t>
  </si>
  <si>
    <t>Tim Mordan, Deputy Director,
 Agri-Food Chain, Innovation, Productivity and Science</t>
  </si>
  <si>
    <t>Vacant</t>
  </si>
  <si>
    <t>Seven days per year</t>
  </si>
  <si>
    <t>Advisory Committee on the Microbiological Safety of Food</t>
  </si>
  <si>
    <t>Non-statutory Committee that provides expert advice to government on questions relating to microbiological issues and food.</t>
  </si>
  <si>
    <t>https://acmsf.food.gov.uk/</t>
  </si>
  <si>
    <t>Interim Chair: Prof David McDowell</t>
  </si>
  <si>
    <t>Advisory Committees on Justices of the Peace</t>
  </si>
  <si>
    <t>Ministry of Justice</t>
  </si>
  <si>
    <t xml:space="preserve">To recruit, select and recommend to the Senior Presiding Judge (on behalf of the Lord Chief Justice), candidates with the necessary qualities for appointment as Justices' of the Peace for England &amp; Wales and to investigate allegations of misconduct by magistrates and make recommendations to the Lord Chief Justice and the Lord Chancellor in accordance with the Judicial Conduct (Magistrates) Rules 2014 and Justice of the Peace Rules 2016. </t>
  </si>
  <si>
    <t>Andrew Key</t>
  </si>
  <si>
    <t>Multiple</t>
  </si>
  <si>
    <t>Advisory, Conciliation and Arbitration Service</t>
  </si>
  <si>
    <t>Department for Business, Energy and Industrial Strategy</t>
  </si>
  <si>
    <t>NDPB</t>
  </si>
  <si>
    <t>The Advisory, Conciliation and Arbitration Service (ACAS) aims to improve organisations and working life through better employment relations, working with employers and employees to solve problems and improve performance.</t>
  </si>
  <si>
    <t>Jaee Samant</t>
  </si>
  <si>
    <t>Sir Brendan Barber</t>
  </si>
  <si>
    <t>£80,000 - £85,000</t>
  </si>
  <si>
    <t>Three days per week</t>
  </si>
  <si>
    <t>Agriculture and Horticulture Development Board</t>
  </si>
  <si>
    <t>Functions defined in AHDB Order 2008. Funded by agriculture and horticulture industry through statutory levies with the purpose to improve the competitiveness and sustainability of the industries which fund it.</t>
  </si>
  <si>
    <t>Tim Mordan, Deputy Director, 
Agri-Food Chain, Innovation, Productivity and Science</t>
  </si>
  <si>
    <t xml:space="preserve">Peter Kendall </t>
  </si>
  <si>
    <t>104 days per year</t>
  </si>
  <si>
    <t>ACMD is supported by the existing HO Science secretariat budget. The non-staff costs for all HO science advisory committees (combined figure) in 2018/19 was £98k. This includes the ACMD as well as other bodies</t>
  </si>
  <si>
    <t>Animal and Plant Health Agency</t>
  </si>
  <si>
    <t>Executive Agency</t>
  </si>
  <si>
    <t>To safeguard animal and plant health for the benefit of people, the environment and the economy.</t>
  </si>
  <si>
    <t>David Kennedy, Director Farming
, Food and Biosecurity, Defra</t>
  </si>
  <si>
    <t>Chris Nicholson</t>
  </si>
  <si>
    <t>20 days per year</t>
  </si>
  <si>
    <t>Income related to Good Practice Events and the CO’s income is for registration fees for Trades’ Unions and Employers’ Associations</t>
  </si>
  <si>
    <t>Armed Forces Pay Review Body</t>
  </si>
  <si>
    <t>To advise MOD on Armed Forces' pay and charges increases.</t>
  </si>
  <si>
    <t>https://www.gov.uk/government/organisations/armed-forces-pay-review-body</t>
  </si>
  <si>
    <t>Brigadier Paul Griffiths</t>
  </si>
  <si>
    <t>Peter Maddison QPM</t>
  </si>
  <si>
    <t>Approx. 35 days per year (and 10 days a year working with SSRB)</t>
  </si>
  <si>
    <t>Funding to cover T&amp;S only, plus daily fees</t>
  </si>
  <si>
    <t>Arts Council England</t>
  </si>
  <si>
    <t>Department for Digital, Culture, Media and Sport</t>
  </si>
  <si>
    <t>The national funding body for the arts, museums and libraries in England. It is responsible for developing and improving the knowledge, understanding and practise of the arts and to increase the accessibility of the arts to the public through the distribution of exchequer money from central government and revenue from the National Lottery.</t>
  </si>
  <si>
    <t>Darren Henley</t>
  </si>
  <si>
    <t>Sir Nicholas Serota</t>
  </si>
  <si>
    <t>Around 20 days a year</t>
  </si>
  <si>
    <t>Big Lottery Fund (The National Lottery Commuity Fund)</t>
  </si>
  <si>
    <t>The National Lottery Community Fund distributes its 40% share of National Lottery good causes money to bring real improvements to communities and the lives of people most in need. The Fund is sponsored by and also financially accountable to Department for Culture, Media and Sport for management of its lottery money.</t>
  </si>
  <si>
    <t>Maria Nyberg, Deputy Director - Sector Support Team</t>
  </si>
  <si>
    <t>Peter Ainsworth</t>
  </si>
  <si>
    <t>Two days a week or 96 days a year</t>
  </si>
  <si>
    <t>Biometric and Forensics Ethics Group</t>
  </si>
  <si>
    <t>Home Office</t>
  </si>
  <si>
    <t>Independent advice on issues relating to the ethical use of forensic biometric technologies and databases and the ethical management of large data sources.</t>
  </si>
  <si>
    <t>Alex Macdonald, Data and Identity Directorate</t>
  </si>
  <si>
    <t>Christopher Hughes</t>
  </si>
  <si>
    <t>10-15 days per year</t>
  </si>
  <si>
    <t>BFEG has no specific funding and expenditure is only members expenses</t>
  </si>
  <si>
    <t>Birmingham Organising Committee for the 2022 Commonwealth Games Ltd</t>
  </si>
  <si>
    <t>The Birmingham Organising Committee is responsible for the planning and operational delivery of the Commonwealth Games. This includes sport, venue and competition management, ticket sales, all ceremonies and the Queen’s Baton Relay.</t>
  </si>
  <si>
    <t>www.birmingham2022.com</t>
  </si>
  <si>
    <t>Maria Alexandri, Head of OC Sponsorship</t>
  </si>
  <si>
    <t>John Crabtree</t>
  </si>
  <si>
    <t xml:space="preserve">Ad hoc and meetings. Chair has waived salary from 1 Apr 2019 </t>
  </si>
  <si>
    <t>Boundary Commission for England</t>
  </si>
  <si>
    <t>The Commission’s statutory function is to keep under review the distribution of constituencies in England and to make reports with recommendations every five years in accordance with the provisions of the Parliamentary Constituencies Act 1986 (as amended).</t>
  </si>
  <si>
    <t>The Chair of the Commission is the Speaker of the House of Commons ex officio, but in practice he does not participate in the formulation of the Commission’s recommendations, nor in the conduct of reviews.</t>
  </si>
  <si>
    <t>Peter Lee</t>
  </si>
  <si>
    <t>Mr Justice Nicol (Deputy)</t>
  </si>
  <si>
    <t>Boundary Commission for Northern Ireland</t>
  </si>
  <si>
    <t xml:space="preserve">Northern Ireland Office </t>
  </si>
  <si>
    <t xml:space="preserve">The Commission's role is to keep under continuous review the number, names and boundaries of the parliamentary constituencies into which Northern Ireland is divided and to make recommendations about these to the Secretary of State for Northern Ireland. </t>
  </si>
  <si>
    <t>The Chairman of the Commission is the Speaker of the House of Commons; however in practice Commission meetings are chaired by the Deputy Chairman.  The name of the chair is: Justice Denise McBride.</t>
  </si>
  <si>
    <t xml:space="preserve">contact@boundarycommission.org.uk
</t>
  </si>
  <si>
    <t>www.boundarycommission.org.uk</t>
  </si>
  <si>
    <t>Chris Flatt, NIO Director</t>
  </si>
  <si>
    <t>Justice Denise McBride (Deputy)</t>
  </si>
  <si>
    <t xml:space="preserve">Part Time </t>
  </si>
  <si>
    <t>Boundary Commission for Scotland</t>
  </si>
  <si>
    <t>Scotland Office</t>
  </si>
  <si>
    <t>To review the boundaries of Westminster Parliamentary Constituencies in Scotland.</t>
  </si>
  <si>
    <t>Established 1944. The Chair is the Speaker of the House of Commons, but by convention he or she does not participate in the Commission’s work. The Deputy Chair leads the Commission's work.</t>
  </si>
  <si>
    <t>Gillian McGregor, Scotland Office Director</t>
  </si>
  <si>
    <t>Lord Matthews (Deputy)</t>
  </si>
  <si>
    <t>Boundary Commission for Wales</t>
  </si>
  <si>
    <t>The Commission’s statutory function is to keep under review the distribution of constituencies in England and to make reports with recommendations every 5 years in accordance with the provisions of the Parliamentary Constituencies Act 1986 (as amended).</t>
  </si>
  <si>
    <t>Mr Justice Lewis (Deputy)</t>
  </si>
  <si>
    <t>underspent against budget</t>
  </si>
  <si>
    <t>British Council</t>
  </si>
  <si>
    <t xml:space="preserve">Foreign and Commonwealth Office </t>
  </si>
  <si>
    <t>Using the cultural resources of the UK, the British Council creates friendly knowledge and understanding between the people of the UK and other countries.</t>
  </si>
  <si>
    <t>Helen Bower-Easton, Director Communication</t>
  </si>
  <si>
    <t>Christopher Rodrigues CBE</t>
  </si>
  <si>
    <t>40 days per year</t>
  </si>
  <si>
    <t>British Film Institute</t>
  </si>
  <si>
    <t>The British Film Institute (BFI) is the lead organisation for film in the UK. It uses Lottery funds to support film production, distribution, education and audience development. Since 1933 it has cared for the BFI National Archive, and celebrated the best of British and international film-making through festivals, film restoration, DVD releases and cinema programming.</t>
  </si>
  <si>
    <t>https://www.bfi.org.uk/</t>
  </si>
  <si>
    <t>Ben Roberts</t>
  </si>
  <si>
    <t>Josh Berger CBE</t>
  </si>
  <si>
    <t>Eight days per year</t>
  </si>
  <si>
    <t>British Hallmarking Council</t>
  </si>
  <si>
    <t>The British Hallmarking Council supervises UK hallmarking.</t>
  </si>
  <si>
    <t>Noel Hunter</t>
  </si>
  <si>
    <t>There is no written/agreed  time commitment for this role</t>
  </si>
  <si>
    <t>Yes.</t>
  </si>
  <si>
    <t>British Library</t>
  </si>
  <si>
    <t>The National Library of the UK. The British Library Board is responsible for managing the library as a national centre for reference, study, bibliographical and information services, in relation to both scientific and technological matters and the humanities.</t>
  </si>
  <si>
    <t>Established 1753 as part of the British Museum. Officially established as British Library in July 1973</t>
  </si>
  <si>
    <t>Customer-Services@bl.uk</t>
  </si>
  <si>
    <t>https://www.bl.uk/</t>
  </si>
  <si>
    <t>Louise Smith, Deputy Director, Arts, Libraries and Digital Culture</t>
  </si>
  <si>
    <t xml:space="preserve">Dame Carol Black </t>
  </si>
  <si>
    <t>Two days per week</t>
  </si>
  <si>
    <t>British Museum</t>
  </si>
  <si>
    <t>The British Museum holds for the benefit of humanity a collection representative of world cultures that is housed in safety, conserved, curated, researched and exhibited.</t>
  </si>
  <si>
    <t>http://www.britishmuseum.org/</t>
  </si>
  <si>
    <t xml:space="preserve">Helen Whitehouse </t>
  </si>
  <si>
    <t>Sir Richard Lambert</t>
  </si>
  <si>
    <t xml:space="preserve">One day a month </t>
  </si>
  <si>
    <t>British Pharmacopoeia Commission</t>
  </si>
  <si>
    <t>To publish any new editions of and/or amendments to the British Pharmacopoeia and British Pharmacopoeia (Veterinary), together with the establishment and publication of British Approved Names.</t>
  </si>
  <si>
    <t>Liz Woodeson, Director of Medicines and Pharmacy and Industry</t>
  </si>
  <si>
    <t>Professor Kevin Taylor</t>
  </si>
  <si>
    <t>Approx. six days  per year, including three meetings</t>
  </si>
  <si>
    <t>British Transport Police Authority</t>
  </si>
  <si>
    <t xml:space="preserve">Department for Transport </t>
  </si>
  <si>
    <t>The Authority is the independent body responsible for ensuring an efficient and effective British Transport Police (BTP) force for rail operators, their staff and passengers.</t>
  </si>
  <si>
    <t>Polly Payne - Ruth Hannant, Directors General, Rail</t>
  </si>
  <si>
    <t>Ron Barcley Smith</t>
  </si>
  <si>
    <t>60 days per year</t>
  </si>
  <si>
    <t>Building Regulation Advisory Committee</t>
  </si>
  <si>
    <t>Ministry of Housing, Communities and Local Government</t>
  </si>
  <si>
    <t>Advises SoS on making of building regulations and connected matters.</t>
  </si>
  <si>
    <t>Neil O'Connor</t>
  </si>
  <si>
    <t>Emma Clancy</t>
  </si>
  <si>
    <t>26 days per year</t>
  </si>
  <si>
    <t>Care Quality Commission</t>
  </si>
  <si>
    <t>The purpose of Care Quality Commission is to make sure health and social care services provide people with safe, effective, compassionate, high quality care and to encourage care services to improve.  Its role is to monitor, inspect and regulate services to make sure they meet fundamental standards of quality and safety and to publish what it finds, including performance ratings to help people choose care.</t>
  </si>
  <si>
    <t>William Vineall, Director of Acute Care and Quality Policy</t>
  </si>
  <si>
    <t>Peter Wyman</t>
  </si>
  <si>
    <t xml:space="preserve">2-3 days per week </t>
  </si>
  <si>
    <t>Central Arbitration Committee</t>
  </si>
  <si>
    <t>The CAC resolves collective disputes through adjudication for trade union recognition as well as other jurisdictions, disclosure of information, Information and Consultation and EWC jurisdictions.</t>
  </si>
  <si>
    <t>Stephen Redmond</t>
  </si>
  <si>
    <t>One day per week</t>
  </si>
  <si>
    <t>No but hearings on cases are open to the public</t>
  </si>
  <si>
    <t>No but decisions made in cases are posted on website</t>
  </si>
  <si>
    <t>Centre for Environment, Fisheries and Aquaculture Science</t>
  </si>
  <si>
    <t>To make a real difference for society by supporting the long-term prosperity and well-being of industries, communities and individuals that enjoy and depend on the rich natural assets found in our marine and freshwater environments.</t>
  </si>
  <si>
    <t>Sonia Phippard, Director General, Marine, Natural Environment &amp; Rural</t>
  </si>
  <si>
    <t>Jane Smallman</t>
  </si>
  <si>
    <t>Charity Commission for England and Wales</t>
  </si>
  <si>
    <t>Non-Ministerial Department</t>
  </si>
  <si>
    <t>The Charity Commission is the registrar and regulator of charities in England and Wales. It is an independent, non-ministerial government department accountable to Parliament. It is also accountable for the exercise of its powers to the First-tier Tribunal and the High Court.</t>
  </si>
  <si>
    <t xml:space="preserve">David Knott, Director of the Office for Civil Society (OCS), Department for Digital, Culture Media and Sport (DCMS). </t>
  </si>
  <si>
    <t>The Rt Hon Baroness Stowell of Beeston MBE 
(Tina Stowell)</t>
  </si>
  <si>
    <t>Children and Family Court Advisory and Support Service</t>
  </si>
  <si>
    <t>To make sure that children's voices are heard in the family courts and that decisions are taken in their best interests.</t>
  </si>
  <si>
    <t>Mark Sweeney, Director General, Policy, Analysis and Communications group</t>
  </si>
  <si>
    <t>Edward Timpson CBE</t>
  </si>
  <si>
    <t>A maximum of 80 days per year</t>
  </si>
  <si>
    <t>Civil Justice Council</t>
  </si>
  <si>
    <t>The Civil Justice Council is a Statutory Non-Departmental Public Body which; keeps the civil justice system under review;  considers how to make it more accessible, fair and efficient; advises the Lord Chancellor and the Judiciary on the civil justice system and civil procedure rules.</t>
  </si>
  <si>
    <t xml:space="preserve">Christina Pride, Deputy Director Head of Judicial Private Offices, Judicial Office
</t>
  </si>
  <si>
    <t>The Rt Hon Sir Terence Etherton</t>
  </si>
  <si>
    <t>Ex-officio</t>
  </si>
  <si>
    <t>Five days per year</t>
  </si>
  <si>
    <t>Civil Nuclear Police Authority</t>
  </si>
  <si>
    <t>The CNPA oversees the Civil Nuclear Constabulary (CNC) and must ensure that their policing meets the need of the nuclear operating companies.</t>
  </si>
  <si>
    <t>Joanna Whittington</t>
  </si>
  <si>
    <t>Vic Emery OBE</t>
  </si>
  <si>
    <t xml:space="preserve">Three days a week </t>
  </si>
  <si>
    <t>Independent Office for Police Conduct (for England &amp; Wales)
Police Investigations &amp; Review Commissioner (for Scotland)</t>
  </si>
  <si>
    <t>Civil Procedure Rule Committee</t>
  </si>
  <si>
    <t>The Civil Procedure Rule Committee was created by virtue of Section 2 of the Civil Procedure Act 1997 (as amended by section 83 of the Courts Act 2003) to make rules of court for the Civil Division of the Court of Appeal, the High Court and the county courts.</t>
  </si>
  <si>
    <t xml:space="preserve">Mark Sweeney, Director General, Communications and Analysis Group, Ministry of Justice </t>
  </si>
  <si>
    <t>Rt Hon Lord Justice Coulson - Deputy Head of Civil Justice</t>
  </si>
  <si>
    <t>Nine meetings per year plus reading and other commitments</t>
  </si>
  <si>
    <t>Civil Service Commission</t>
  </si>
  <si>
    <t>Regulates recruitment to the Civil Service.</t>
  </si>
  <si>
    <t>There have been Civil Service Commissioners since 1855 working under the Royal Prerogative. The Constitutional Reform and Governance Act 2010 established the Civil Service Commission on a statutory basis.</t>
  </si>
  <si>
    <t>Ian Watmore</t>
  </si>
  <si>
    <t xml:space="preserve">Seven traditional board meeting, two strategic board meetings however the role itself works out to two days a week on average </t>
  </si>
  <si>
    <t>The 1,530 figure relates to CSC only and does not include OCPA expenditure of 233</t>
  </si>
  <si>
    <t>Coal Authority</t>
  </si>
  <si>
    <t>The Coal Authority manages the effects of past coal mining, including subsidence damage claims which are not the responsibility of licensed coal mine operators.</t>
  </si>
  <si>
    <t>Stephen Dingle</t>
  </si>
  <si>
    <t>Five days per month</t>
  </si>
  <si>
    <t>Commission on Human Medicines</t>
  </si>
  <si>
    <t>To advise the Health Ministers and the Licensing Authority (LA) on matters relating to human medicinal products, and to consider those applications that lead to LA action as appropriate (i.e. where the LA has a statutory duty to refer or chooses to do so).</t>
  </si>
  <si>
    <t>Liz Woodeson, Director of Medicine and Pharmacy and Industry</t>
  </si>
  <si>
    <t>Professor Stuart Ralston</t>
  </si>
  <si>
    <t>30 days per year, including 11 meetings</t>
  </si>
  <si>
    <t>Commissioners for the Reduction of the National Debt</t>
  </si>
  <si>
    <t xml:space="preserve">Her Majesty's Treasury </t>
  </si>
  <si>
    <t>The Commissioners for the Reduction of the National Debt (CRND)'s statutory function is the investment of specified funds, including the National Insurance Fund Investment Account, the National Lottery Distribution Fund Investment Account and the Court Funds Investment Account.</t>
  </si>
  <si>
    <t>The origins of the CRND can be traced back to the National Debt Reduction Act of 1786. There are ten ex officio Commissioners (The Chancellor of the Exchequer, The Governor and Deputy Governors of the Bank of England, The Speaker of the House of Commons, The Master of the Rolls, The Accountant General of the Senior Courts and the Lord Chief Justice). The CRND’s functions are entirely carried out by, and incorporated into, the United Kingdom Debt Management Office (DMO) through the nomination of DMO staff to the two statutory executive roles of the public body, the Comptroller General and the Assistant Comptroller. The operations of the CRND are allocated across the DMO’s organisational structure and are carried out by its civil servants. No separate annual report is published for the CRND. Annual accounts are produced for the funds managed although these are not published by the DMO. CRND itself is not audited, but the report and accounts for the individual funds managed by CRND are audited by the NAO.  The DMO is also audited by the NAO.</t>
  </si>
  <si>
    <t>crnd@dmo.gov.uk</t>
  </si>
  <si>
    <t>-</t>
  </si>
  <si>
    <t>Committee on Climate Change</t>
  </si>
  <si>
    <t>The CCC was established under the Climate Change Act 2008 to advise the UK Government and Devolved Administrations on emissions targets, and report to Parliament on progress made in reducing greenhouse gas emissions and preparing for climate change.</t>
  </si>
  <si>
    <t>Julian Critchlow</t>
  </si>
  <si>
    <t>Rt. Hon John Gummer, Lord Deben</t>
  </si>
  <si>
    <t>36 days per year</t>
  </si>
  <si>
    <t>Committee on Fuel Poverty</t>
  </si>
  <si>
    <t>The CFP advises on the effectiveness of policies aimed at reducing fuel poverty, and encourages greater co-ordination across organisations working to reduce fuel poverty.</t>
  </si>
  <si>
    <t>Jullian Critchlow</t>
  </si>
  <si>
    <t>David Blakemore</t>
  </si>
  <si>
    <t>2/3 days per month (this usually includes the bi-monthly CFP mts around 7-8 per year)</t>
  </si>
  <si>
    <t>Government funding included within Acas allocation</t>
  </si>
  <si>
    <t>Committee on Mutagenicity of Chemicals in Food, Consumer Products and the Environment</t>
  </si>
  <si>
    <t>To assess and advise on the mutagenic risk to man of substances in food, consumer products and the environment.</t>
  </si>
  <si>
    <t>Ailsa Wight, Deputy Director,Emergency Preparedness and Health Protection Policy Directorate</t>
  </si>
  <si>
    <t>Dr David Lovell</t>
  </si>
  <si>
    <t>Meetings three days per year for COM, Ex-Officio member for COC - three meetings per year   Meetings with DHSC as requested</t>
  </si>
  <si>
    <t>Committee on Radioactive Waste Management</t>
  </si>
  <si>
    <t>CoRWM provides independent scrutiny and advice to the UK governments on the long-term management of higher activity radioactive wastes.</t>
  </si>
  <si>
    <t>Nigel Thrift</t>
  </si>
  <si>
    <t>78 days per year</t>
  </si>
  <si>
    <t>Committee on Standards in Public Life, excluding political appointments</t>
  </si>
  <si>
    <t>The Committee examines standards of ethical conduct among public office holders in the UK and makes recommendations to the government as to any changes in present arrangements, including those relating to party funding.</t>
  </si>
  <si>
    <t>Lord Evans of Weardale</t>
  </si>
  <si>
    <t>5-6 days per month</t>
  </si>
  <si>
    <t>Committee on Toxicity of Chemicals in Food, Consumer Products and the Environment</t>
  </si>
  <si>
    <t>Provides risk assessment advice to the Food Standards Agency and other Government Department on chemicals in food, consumer products and the environment.</t>
  </si>
  <si>
    <t>Professor Alan Boobis</t>
  </si>
  <si>
    <t>Approx. 14 days per year</t>
  </si>
  <si>
    <t>Commonwealth Scholarship Commission</t>
  </si>
  <si>
    <t xml:space="preserve">Department for International Development </t>
  </si>
  <si>
    <t>The Commonwealth Scholarship Commission in the UK (CSC) provides the main UK government scholarship scheme led by international development objectives. The CSC is an executive Non-Departmental Public Body, sponsored by the Department for International Development (DFID). The CSC do not employ any staff.</t>
  </si>
  <si>
    <t xml:space="preserve">Caroline Read, Director International Relations </t>
  </si>
  <si>
    <t>Mr Richard Middleton</t>
  </si>
  <si>
    <t>1 day per week</t>
  </si>
  <si>
    <t>Companies House</t>
  </si>
  <si>
    <t>Incorporates and dissolves limited companies, registers the information companies are legally required to supply, and makes that information available to the public.</t>
  </si>
  <si>
    <t>Lesley Cowley</t>
  </si>
  <si>
    <t>48 days per Year</t>
  </si>
  <si>
    <t>Competition and Markets Authority</t>
  </si>
  <si>
    <t>The CMA works to promote competition for the benefit of consumers, both within and outside the UK. Its aim is to make markets work well for consumers, businesses and the economy.</t>
  </si>
  <si>
    <t>Erik Wilson, Executive Director, Corporate &amp; Support Services</t>
  </si>
  <si>
    <t>The Rt Hon Lord Andrew Tyrie</t>
  </si>
  <si>
    <t>£125,000 - £130,000</t>
  </si>
  <si>
    <t>3 days per week</t>
  </si>
  <si>
    <t>Competition Appeal Tribunal</t>
  </si>
  <si>
    <t>The Competition Appeal Tribunal is a specialist judicial body with cross-disciplinary expertise in law, economics, business and accountancy, its principle functions involve hearing and deciding appeals on decisions taken by the Competition and Markets Authority (CMA) and other economic regulators concerning infringement of competition law.</t>
  </si>
  <si>
    <t>Sir Peter Roth, President</t>
  </si>
  <si>
    <t>£180,000 - £185,000</t>
  </si>
  <si>
    <t>170 days per year</t>
  </si>
  <si>
    <t>Competition Service</t>
  </si>
  <si>
    <t>The CS funds and provide support services to the CAT and with the resources necessary to perform its judicial functions. Support services covers everything necessary to facilitate the carrying out by the CAT of its statutory functions and includes, for example, administrative staff, accommodation and office equipment.</t>
  </si>
  <si>
    <t>Susan Scholefield</t>
  </si>
  <si>
    <t xml:space="preserve">8-12 days per year </t>
  </si>
  <si>
    <t>Construction Industry Training Board</t>
  </si>
  <si>
    <t>Department for Education</t>
  </si>
  <si>
    <t>Training for employment in the construction industry.</t>
  </si>
  <si>
    <t>Gillian Hillier OBE
Director, Careers &amp; FE
Directorate</t>
  </si>
  <si>
    <t>Peter Lauener</t>
  </si>
  <si>
    <t>Per year</t>
  </si>
  <si>
    <t>One day a week</t>
  </si>
  <si>
    <t>Consumer Council for Water</t>
  </si>
  <si>
    <t>To represent consumers of water and sewerage services in England &amp; Wales.</t>
  </si>
  <si>
    <t>Sarah Hendry, Director, 
Water and Flood Risk Management</t>
  </si>
  <si>
    <t xml:space="preserve">Robert Light </t>
  </si>
  <si>
    <t xml:space="preserve">Three days per week </t>
  </si>
  <si>
    <t>Copyright Tribunal</t>
  </si>
  <si>
    <t xml:space="preserve">The Copyright Tribunal’s primary purpose is to resolve commercial licensing disputes between copyright owners or their agents (collecting societies) and people who use copyrighted material in their business. </t>
  </si>
  <si>
    <t>Jo Shanmugalingam</t>
  </si>
  <si>
    <t>His Honour Judge Hacon (Richard Hacon)</t>
  </si>
  <si>
    <t>Depends on case load</t>
  </si>
  <si>
    <t>Criminal Cases Review Commission</t>
  </si>
  <si>
    <t>To review possible miscarriages of justice in the criminal courts of England, Wales and to refer appropriate cases to the appeal courts.</t>
  </si>
  <si>
    <t>Mark Sweeney, Director General, 
Justice Policy, Strategy and Communications Group</t>
  </si>
  <si>
    <t>Helen Pitcher. OBE</t>
  </si>
  <si>
    <t>10 days per month</t>
  </si>
  <si>
    <t>Criminal Injuries Compensation Authority</t>
  </si>
  <si>
    <t>A government organisation that can pay money (compensation) to people who have been physically or mentally injured because they were the victim of a violent crime.</t>
  </si>
  <si>
    <t>http://www.justice.gov.uk/contacts/?a=68536</t>
  </si>
  <si>
    <t>https://www.gov.uk/government/organisations/criminal-injuries-compensation-authority</t>
  </si>
  <si>
    <t xml:space="preserve">Mark Sweeney, Director General, Policy, Analysis and Communications Group. </t>
  </si>
  <si>
    <t>Criminal Procedure Rule Committee</t>
  </si>
  <si>
    <t xml:space="preserve">To streamline and modernise the practice and procedure to be followed in the criminal trials of England and Wales (section 69 of the Courts Act 2003 refers.) The membership reflects the key participants in the conduct of a criminal case. The Criminal Procedure Rule Committee consults widely before making new rules. </t>
  </si>
  <si>
    <t>Mark Sweeney, Director General Policy Communications and Analysis Group</t>
  </si>
  <si>
    <t>The Rt Hon. Lord Burnett of Maldon</t>
  </si>
  <si>
    <t>Crown Commercial Service, The</t>
  </si>
  <si>
    <t>CCS is an executive agency and trading fund responsible for improving government commercial and procurement activity.</t>
  </si>
  <si>
    <t>Gareth Rhys Williams</t>
  </si>
  <si>
    <t>Tony Van Kralingen</t>
  </si>
  <si>
    <t>3 days per month</t>
  </si>
  <si>
    <t>CCS is a Trading Fund and these categories of expenditure do not apply.  They have, therefore, been aligned to capital and resource, as appropriate.  The Income in column AE includes the government funding in column AF.  The expenditure in column AH excludes £934k of Depreciation/Amortisation</t>
  </si>
  <si>
    <t>Crown Prosecution Service</t>
  </si>
  <si>
    <t>The Crown Prosecution Service (CPS) is an independent body set up in 1986 to prosecute criminal cases in England and Wales. The CPS works closely with the police and other investigators to advise on lines of inquiry and to decide on appropriate charges or other disposals in all but minor cases. CPS prosecutors prepare cases for court and present cases in both the magistrates’ courts and, increasingly, in the higher courts. The Director of Public Prosecutions is the head of the CPS and operates independently, under the superintendence of the Attorney General who is accountable to Parliament for the work of the CPS.</t>
  </si>
  <si>
    <t>Max Hill QC, Director of Public Prosecutions</t>
  </si>
  <si>
    <t>Max Hill QC</t>
  </si>
  <si>
    <t>Full time</t>
  </si>
  <si>
    <t>Defence Electronics and Components Agency</t>
  </si>
  <si>
    <t>Maintenance, repair, overhaul, upgrade and obsolescence management for a range of Defence electronics and components.</t>
  </si>
  <si>
    <t>David Goldstone, MOD Chief operating Officer</t>
  </si>
  <si>
    <t>Alex Jablonowski</t>
  </si>
  <si>
    <t>30 days per year</t>
  </si>
  <si>
    <t xml:space="preserve">Income is Total Operating Income in audited Financial Statements. RDEL expenditure is a balancing figure to reconcile Income to Comprehensive Net Expenditure per audited Financial Statements. In line with MOD's internal charging policy, Dstl can only recover cash costs from MOD customers, and therefore when non-cash RDEL costs, primarily depreciation, are included the statutory accounts show an apparent operating loss.  </t>
  </si>
  <si>
    <t>Defence Nuclear Safety Committee</t>
  </si>
  <si>
    <t>Providing unbiased, independent, expert advice to the Secretary of State for Defence and senior officials on all safety matters pertaining to the defence nuclear programme (and security and environmental issues, where such issues have the potential to impact upon nuclear safety).</t>
  </si>
  <si>
    <t>https://www.gov.uk/government/organisations/defence-nuclear-safety-committee</t>
  </si>
  <si>
    <t xml:space="preserve">Dr Paul Hollinshead, DNO Director Warhead </t>
  </si>
  <si>
    <t>Professor Laurence Williams OBE FREng FIMechE FNuc</t>
  </si>
  <si>
    <t>Approx. 25 per year</t>
  </si>
  <si>
    <t>Defence Science and Technology Laboratory</t>
  </si>
  <si>
    <t>To deliver high-impact science and technology for the UK's defence, security and prosperity.</t>
  </si>
  <si>
    <t>Gary Aitkenhead</t>
  </si>
  <si>
    <t>Sir Daid Pepper (as at 31 Mar 19).  Adrian Belton (wef 1 Aug 19)</t>
  </si>
  <si>
    <t>Maximum 30 days per year</t>
  </si>
  <si>
    <t>Directly Operated Railways Ltd</t>
  </si>
  <si>
    <t>Directly Operated Railways Limited (DOR) managed the East Coast rail franchise until it was re-let to a new private operator in March 2015. The company is currently being wound down.</t>
  </si>
  <si>
    <t>No current Chair or Board members</t>
  </si>
  <si>
    <t>dor.enquiries@dft.gsi.gov.uk</t>
  </si>
  <si>
    <t>https://webarchive.nationalarchives.gov.uk/20151215172524/http://www.directlyoperatedrailways.co.uk/html/index.php</t>
  </si>
  <si>
    <t>Company is no longer operating.</t>
  </si>
  <si>
    <t>Disclosure and Barring Service</t>
  </si>
  <si>
    <t>DBS are responsible for delivering Disclosure and Barring on behalf of the Government and operate Disclosure functions for England, Wales, Jersey, Guernsey and the Isle of Man. We also deliver Barring functions for England, Wales and Northern Ireland.</t>
  </si>
  <si>
    <t>Susan Young</t>
  </si>
  <si>
    <t xml:space="preserve">Dr Gillian Fairfield </t>
  </si>
  <si>
    <t xml:space="preserve">DBS continues to operate as a self-funding arms-length body of the HO, on a full cost recovery basis.  </t>
  </si>
  <si>
    <t>Driver and Vehicle Licensing Agency (DVLA)</t>
  </si>
  <si>
    <t>The DVLA's core responsibilities are to maintain over 48 million driver records, over 40 million vehicle records and to collect Vehicle Excise Duty (VED), currently around £6 billion a year.</t>
  </si>
  <si>
    <t>84 days per year</t>
  </si>
  <si>
    <t>Driver and Vehicle Standards Agency (DVSA)</t>
  </si>
  <si>
    <t>The DVSA carry out driving tests, approve people to be driving instructors and MOT testers, carry out tests to make sure lorries and buses are safe to drive, carry out roadside checks on drivers and vehicles, and monitor vehicle recalls.</t>
  </si>
  <si>
    <t>Tricia Hayes, Director General Roads, Places and Environment</t>
  </si>
  <si>
    <t>Bridget Rosewell</t>
  </si>
  <si>
    <t>East West Rail Company</t>
  </si>
  <si>
    <t>The East West Railway Company is a non-departmental public arm’s length body set up by the government to accelerate the East West Rail project – a new rail link between Cambridge and Oxford.</t>
  </si>
  <si>
    <t>Clive Maxwell, Director General High Speed Rail and Major Projects</t>
  </si>
  <si>
    <t>Rob Brighouse</t>
  </si>
  <si>
    <t>One and half days per week</t>
  </si>
  <si>
    <t>Ebbsfleet Development Corporation</t>
  </si>
  <si>
    <t>Local development control powers for development corporation area.</t>
  </si>
  <si>
    <t>Cathy Francis</t>
  </si>
  <si>
    <t>Michael Cassidy</t>
  </si>
  <si>
    <t>Two days a week</t>
  </si>
  <si>
    <t>Education and Skills Funding Agency</t>
  </si>
  <si>
    <t xml:space="preserve">The ESFA has responsibility, on behalf of the Secretary of State for Education (“the Secretary of State”), to oversee and be accountable for the funding of all 3 to 16 education as well as post-16 education and training for young people, apprenticeships and funding for adult education in England, excluding higher education. </t>
  </si>
  <si>
    <t>Jonathan Slater - Permanent Secretary for the Department for Education</t>
  </si>
  <si>
    <t>Irene Lucas CBE</t>
  </si>
  <si>
    <t>As defined by DfE Board Contract</t>
  </si>
  <si>
    <t>Engineering Construction Industry Training Board</t>
  </si>
  <si>
    <t>Training for employment in the engineering instruction industry.</t>
  </si>
  <si>
    <t>Lynda Armstrong OBE</t>
  </si>
  <si>
    <t>Environment Agency</t>
  </si>
  <si>
    <t>The Environment Agency is an Executive NDPB responsible to the Secretary of State for Environment, Food and Rural Affairs. Its principal aims are to protect and improve the environment and to promote sustainable development. It plays a central role in delivering the environmental priorities of Central Government including Flood and Coastal Erosion Risk Management, Climate Change Adaptation and Mitigation, Water Quality and Waste Management.</t>
  </si>
  <si>
    <t>Sarah Hendry, Director, Water and Flood Risk Management</t>
  </si>
  <si>
    <t xml:space="preserve">Emma Howard Boyd </t>
  </si>
  <si>
    <t>PHSO
Local Government and Social Care Ombudsman</t>
  </si>
  <si>
    <t>Equality and Human Rights Commission</t>
  </si>
  <si>
    <t>GB Equality &amp; Diversity and Human Rights regulator, National Human Rights Institution.</t>
  </si>
  <si>
    <t>www.equalityhumanrights.com</t>
  </si>
  <si>
    <t xml:space="preserve">Hilary Spencer, Director, Government Equalities Office </t>
  </si>
  <si>
    <t>David Isaac CBE</t>
  </si>
  <si>
    <t>1-2 days per week up to 100 days per year. (£50K P.A.)</t>
  </si>
  <si>
    <t>RAME figure not used/ calculated.</t>
  </si>
  <si>
    <t>Family Justice Council</t>
  </si>
  <si>
    <t>The Family Justice Council (FJC) aims to facilitate the delivery of better and quicker outcomes for families and children who use the family justice system. The Council's primary role is to promote an inter-disciplinary approach to family justice, and through consultation and research, to monitor how effectively the system both as a whole and through its component parts delivers the service the Government and the public need and to advise on reforms necessary for continuous improvement. It is chaired by the President of the Family Division and under its revised terms of reference provides expert advice directly to the Family Justice Board and Government on the operation and reform of the Family Justice System.</t>
  </si>
  <si>
    <t>Catherine Lee, Director General Law and Access to Justice Group</t>
  </si>
  <si>
    <t>Sir Andrew McFarlane</t>
  </si>
  <si>
    <t>Quarterly meetings and pre-meetings, two conferences per annum.  Reading papers before each meeting/event and other ad hoc work that may arise. Approx two days per month.</t>
  </si>
  <si>
    <t>Family Procedure Rule Committee</t>
  </si>
  <si>
    <t>The Family Procedure Rule Committee will seek to produce a single, coherent and simply expressed set of rules governing practice and procedure in family proceedings in the High Court and family court. Before making such rules the committee will consult as it thinks appropriate.</t>
  </si>
  <si>
    <t>Mark Sweeney, Director General, Justice and Courts Policy Group</t>
  </si>
  <si>
    <t>Sir Andrew McFarlane, The President of the Family Division</t>
  </si>
  <si>
    <t>10 hours per month</t>
  </si>
  <si>
    <t>FCO Services</t>
  </si>
  <si>
    <t>A Trading Fund which provides a range of integrated secure services worldwide to the FCO, other UK public bodies and foreign governments and international organisations closely linked to the UK.</t>
  </si>
  <si>
    <t>Executive Agency; Trading Fund established in 2008</t>
  </si>
  <si>
    <t>Danny Payne, CEO and Accounting Officer</t>
  </si>
  <si>
    <t>Sir Simon Gass</t>
  </si>
  <si>
    <t>£30,000-£35,000</t>
  </si>
  <si>
    <t xml:space="preserve">FCO Services Board meets bi-monthly; Nominations Committee meets bi-annually </t>
  </si>
  <si>
    <t>Income and costs are connected to service line delivery, supported by both direct and indirect overheads.  The numbers also include the National Technical Authority under NACE for which no public funding is received.</t>
  </si>
  <si>
    <t>Film Industry Training Board</t>
  </si>
  <si>
    <t>To ensure the quantity and quality of training provision is adequate to meet the current and future skills needs of the film industry.</t>
  </si>
  <si>
    <t>Gillian Hillier</t>
  </si>
  <si>
    <t>The Board ensures we fulfil our legal obligations so that all decisions or actions consider scientific advice and the interests of consumer.</t>
  </si>
  <si>
    <t>Emily Miles, Chief Executive</t>
  </si>
  <si>
    <t>Heather Hancock</t>
  </si>
  <si>
    <t>2-3 days per week</t>
  </si>
  <si>
    <t>Commissioner for Public Appointments</t>
  </si>
  <si>
    <t>Forest Enterprise England</t>
  </si>
  <si>
    <t>Forestry Commission</t>
  </si>
  <si>
    <t>Forest Research</t>
  </si>
  <si>
    <t>Great Britain's principal organisation for forestry and tree related research.</t>
  </si>
  <si>
    <t>Ian Gambles, Chief Executive Officer</t>
  </si>
  <si>
    <t>The Forestry Commission is a Non-Ministerial Department responsible for the delivery of forestry policy and management of the public forest estate in England, through the Agency Forestry England, a Public Coporation.</t>
  </si>
  <si>
    <t>Sir Harry Studholme</t>
  </si>
  <si>
    <t>Gambling Commission</t>
  </si>
  <si>
    <t>Independent regulator for all commercial gambling in Great Britain (except spread betting). Its core objectives as a regulator are to keep crime out of gambling, to ensure that gambling is conducted fairly and openly and to protect children and other vulnerable people. The Commission is also responsible for issuing codes of practice to the industry, industry guidance to local authorities and advising the Secretary of State on issues related to gambling.</t>
  </si>
  <si>
    <t>http://www.gamblingcommission.gov.uk/</t>
  </si>
  <si>
    <t>Neil McArthur</t>
  </si>
  <si>
    <t>William Moyes</t>
  </si>
  <si>
    <t>Gangmasters and Labour Abuse Authority</t>
  </si>
  <si>
    <t>Licensing gangmasters in regulated sectors and protecting vulnerable workers.</t>
  </si>
  <si>
    <t>Becky Kirby, Director</t>
  </si>
  <si>
    <t>Margaret Beels</t>
  </si>
  <si>
    <t>7-8 days per month</t>
  </si>
  <si>
    <t>These figures have been taken from 18-19 ARA but have not yet been audited</t>
  </si>
  <si>
    <t>Geffrye Museum</t>
  </si>
  <si>
    <t>To encourage people to learn from and enjoy the Museum’s collections, buildings and gardens, to promote the study of English homes and gardens.</t>
  </si>
  <si>
    <t>http://www.geffrye-museum.org.uk/</t>
  </si>
  <si>
    <t>Dr Samir Shah</t>
  </si>
  <si>
    <t>Government Actuary's Department</t>
  </si>
  <si>
    <t>Government Actuary's Department provides actuarial analysis and services to all the main public service pension schemes; policy advice; advice on transfers of employment and certification of private sector organisations’ pension arrangements when staff are transferred; advice to UK Government, and a range of other countries and jurisdictions, on social security arrangements; helps UK Government manage its financial risks; insurance; investment, risk and modelling.</t>
  </si>
  <si>
    <t>Martin Clarke, Government Actuary</t>
  </si>
  <si>
    <t>Geoffrey Podger</t>
  </si>
  <si>
    <t>Non-ministerial</t>
  </si>
  <si>
    <t>£10,000 - £15,000</t>
  </si>
  <si>
    <t>Government Internal Audit Agency (GIAA)</t>
  </si>
  <si>
    <t>The Government Internal Audit Agency (GIAA) helps government departments to manage public money effectively by developing better governance, risk management and internal controls. We offer three broad categories of service: (i) Assurance work: This provides an independent and objective evaluation of management activities to give a view on an organisation's effectiveness in relation to governance, risk management and internal controls. (ii) Advisory work: This helps to identify where the control framework should be improved. (iii) Counter fraud and investigation work: We provide advice and support to customers on counter fraud strategies, fraud risk assessments, and measures to prevent, deter and detect fraud. Where commissioned, we investigate suspicions of internal or supplier fraud or malpractice.</t>
  </si>
  <si>
    <t>https://www.gov.uk/government/organisations/government-internal-audit-agency</t>
  </si>
  <si>
    <t>James Bowler, DG, Public Spending, HM Treasury</t>
  </si>
  <si>
    <t>Steve Burnett</t>
  </si>
  <si>
    <t xml:space="preserve">Non-Ministerial </t>
  </si>
  <si>
    <t>Government Legal Department</t>
  </si>
  <si>
    <t>Attorney General's Office</t>
  </si>
  <si>
    <t>The GLD provides legal services to Government departments and other publicly funded bodies in England and Wales. It also administers the estates of people who die intestate with no known kin and the beneficial assets of dissolved companies.</t>
  </si>
  <si>
    <t>GLD is an executive agency as noted in the 'date established' column. The position of Chair of the Board and Chief Executive are held by the same person, so the Chair information has been left blank with only the Chief Executive information listed. There are 3 non-executive appointments to the Board. The Government Legal Department (formerly the Treasury Solicitor's Department) is a non-ministerial department and was established as an executive agency on 1 April 1996. The office of the Solicitor for the affairs of Her Majesty's Treasury (the Treasury Solicitor) was incorporated as a corporation sole  by the Treasury Solicitor Act 1876.  The name Treasury Solicitor's Department was established in 1975.</t>
  </si>
  <si>
    <t>Sir Jonathan Jones QC</t>
  </si>
  <si>
    <t>£165,000 - £170,000</t>
  </si>
  <si>
    <t>Great Britain-China Centre</t>
  </si>
  <si>
    <t>Supporting UK-China relations through partnerships, dialogue and exchange.</t>
  </si>
  <si>
    <t>Alex Pinfield, Director of East Asia, Asia -Pacific, FCO</t>
  </si>
  <si>
    <t xml:space="preserve">Sir Martin Davidson KCMG </t>
  </si>
  <si>
    <t xml:space="preserve">The Board meets an average of four times a year in London, and the Chairperson also heads the Personnel and Appointments Committee which meets three to four times a year. </t>
  </si>
  <si>
    <t>Health and Safety Executive</t>
  </si>
  <si>
    <t>Department for Work and Pensions</t>
  </si>
  <si>
    <t>The mission for HSE is the prevention of death, injury and ill health to those at work and those affected by work activities.</t>
  </si>
  <si>
    <t>Established in 2008 (as a new unitary body) following HSE's original establishment in 1975</t>
  </si>
  <si>
    <t>Jamey Johnson, Deputy Director of ALB Partnership Division, DWP</t>
  </si>
  <si>
    <t>Martin Temple</t>
  </si>
  <si>
    <t>Minimum of three days per week</t>
  </si>
  <si>
    <t>Income is £91.460m, Government funding is £129m split between £122m RDEL and £7m CDEL</t>
  </si>
  <si>
    <t>Health and Social Care Information Centre (NHS Digital)</t>
  </si>
  <si>
    <t>NHS Digital delivers national IT systems, infrastructure and services and collects, analyses and publishes national data and statistical information to support the health and care system in England.</t>
  </si>
  <si>
    <t>Katie Farrington, Director of Digital, Data and Primary Care</t>
  </si>
  <si>
    <t>Noel Gordon</t>
  </si>
  <si>
    <t>Health Education England</t>
  </si>
  <si>
    <t>Health Education England (HEE) exists for one reason only: to help improve the quality of care patients receive. To do this we spend nearly £5bn a year on undergraduate and postgraduate education and training to ensure that the whole health and healthcare sector in England, including the NHS, the independent sector and public health have the most highly qualified new professionals in the world. We are an executive non department public body to the Department of Health, providing system-wide leadership and oversight of workforce planning, education and training across England.</t>
  </si>
  <si>
    <t>HEE became an Executive NDPB on 1 April 2015, it was previously a SpHA.</t>
  </si>
  <si>
    <t>Gavin Larner, Director of Workforce</t>
  </si>
  <si>
    <t>Sir David Behan</t>
  </si>
  <si>
    <t>£60,000 - £65,000</t>
  </si>
  <si>
    <t>Health Research Authority</t>
  </si>
  <si>
    <t>The HRA’s core purpose is to protect and promote the interests of patients and the public in health and social care research. In order to achieve this we: make sure research is ethically reviewed and approved; promote transparency in research; oversee a range of committees and services; provide independent recommendations on the processing of identifiable patient information where it is not always practical to obtain consent, for research and non-research projects.</t>
  </si>
  <si>
    <t>The HRA became an Executive NDPB on 1 January 2015, it was previously a SpHA.</t>
  </si>
  <si>
    <t>Dr Louise Wood, Director of Science, Research &amp; Evidence</t>
  </si>
  <si>
    <t>Professor Jonathan Montgomery</t>
  </si>
  <si>
    <t>2 days per week</t>
  </si>
  <si>
    <t>Her Majesty's Courts and Tribunals Service</t>
  </si>
  <si>
    <t>To run an efficient and effective courts and tribunals system, which enables the rule of law to be upheld and provides access to justice for all.</t>
  </si>
  <si>
    <t>https://www.gov.uk/government/organisations/hm-courts-and-tribunals-service</t>
  </si>
  <si>
    <t>Richard Heaton, Permanent Secretary Ministry of Justice</t>
  </si>
  <si>
    <t>Tim Parker</t>
  </si>
  <si>
    <t>Approx. 25 days per year</t>
  </si>
  <si>
    <t>Her Majesty's Land Registry</t>
  </si>
  <si>
    <t>HM Land Registry registers the ownership and interests in land and property in England and Wales.  We keep and maintain the Land Register, where more than 25 million titles (the evidence of ownership) are documented. We also maintain a register of Land Charges, Agricultural Credits and Local Land Charges.</t>
  </si>
  <si>
    <t>HM Land Registry is a Non Ministerial Department, Executive Agency of BEIS and a trading fund. The intention is for HMLR to be removed from the trading fund and become and non-minsterial department alone with a voted budget as from 1 April 2020.</t>
  </si>
  <si>
    <t>Alex Chisholm, BEIS Permanent Secretary</t>
  </si>
  <si>
    <t>Michael Mire</t>
  </si>
  <si>
    <t>Parliamentary and Health Service Ombudsman
Independent Complaints Reviewer (internal)</t>
  </si>
  <si>
    <t>N/a as within a trading fund</t>
  </si>
  <si>
    <t>Her Majesty's Prison and Probation Service (HMPPS)</t>
  </si>
  <si>
    <t>Her Majesty’s Prison and Probation Service (HMPPS) is an Executive Agency of the Ministry of Justice (MoJ). Our role is to commission, provide and regulate the delivery of offender management services in the community and in custody ensuring best value for money from public resources. We work to protect the public and reduce reoffending by delivering the punishment and orders of the courts and supporting rehabilitation by helping offenders to reform their lives.</t>
  </si>
  <si>
    <t xml:space="preserve">Established 2008 as the National Offender Management Service - renamed Her Majesty's Prison and Probation Service in April 2017. The arrangements for the governance, accountability, financing, staffing and operation of HMPPS, are set out in the Agency framework agreement and agreed between the Secretary of State and the Chief Executive, and approved by the Chief Secretary to the Treasury - this was last updated April 2017. </t>
  </si>
  <si>
    <t>Approx. 10 to 20 days per year</t>
  </si>
  <si>
    <t>Prisons and Probation Ombudsman</t>
  </si>
  <si>
    <t>Her Majesty's Revenue and Customs</t>
  </si>
  <si>
    <t>HMRC collects tax and duties from individuals and businesses and supports families and children with Tax credits and Child Benefit.</t>
  </si>
  <si>
    <t>foi.request@hmrc.gov.uk</t>
  </si>
  <si>
    <t>https://www.gov.uk/government/organisations/hm-revenue-customs</t>
  </si>
  <si>
    <t>Sir Jonathan Thompson  - Chief Executive and Permanent Secretary of HM Revenue and Customs</t>
  </si>
  <si>
    <t>Mervyn Walker</t>
  </si>
  <si>
    <t>£20,000 - £25,000</t>
  </si>
  <si>
    <t>25 days per year</t>
  </si>
  <si>
    <t>High Speed 2 Ltd (HS2)</t>
  </si>
  <si>
    <t>High Speed Two (HS2) Limited is the company responsible for developing and promoting the UK’s new high speed rail network.</t>
  </si>
  <si>
    <t>Nick Joyce, Director General Resources and Strategy Group</t>
  </si>
  <si>
    <t>Allan Cook</t>
  </si>
  <si>
    <t>Queried</t>
  </si>
  <si>
    <t>Historic Buildings and Monuments Commission for England</t>
  </si>
  <si>
    <t>To promote the preservation of ancient monuments, historic buildings and conservation areas and to promote public understanding and enjoyment of the historic environment.</t>
  </si>
  <si>
    <t>Established 1984 as English Heritage. This was separated into two organisations from 1 April 2015. A new charity - The English Heritage Trust - took on responsibility for running the National Heritage Collection (NHC) of historic sites and monuments under the terms of a licence agreement, which runs for an initial period of eight years. The public body changed is name to Historic England, and retains the statutory responsibilities of the former English Heritage.</t>
  </si>
  <si>
    <t>http://www.historicengland.org.uk/</t>
  </si>
  <si>
    <t>Giles Smith</t>
  </si>
  <si>
    <t>Sir Laurie Magnus</t>
  </si>
  <si>
    <t>10-25 days per year</t>
  </si>
  <si>
    <t>Homes England</t>
  </si>
  <si>
    <t xml:space="preserve">Homes England is the government's national housing delivery agency, operating across England, but largely outside of London where responsibility sits with the Mayor of London. </t>
  </si>
  <si>
    <t>Homes England is an Executive NDPB. It is established in statute as the Homes and Communities Agency but has been operating under the name Homes England since January 2018</t>
  </si>
  <si>
    <t xml:space="preserve">https://www.gov.uk/government/organisations/homes-england
</t>
  </si>
  <si>
    <t>Jeremy Pocklington</t>
  </si>
  <si>
    <t>Sir Edward Lister</t>
  </si>
  <si>
    <t>Horniman Public Museum and Public Park Trust</t>
  </si>
  <si>
    <t>The principal activity of the Trust is the provision of a public, educational Museum and Gardens. Its aim is to use its worldwide collections and the gardens to encourage a wider appreciation of the world, its peoples and their cultures, and its environments.</t>
  </si>
  <si>
    <t>http://www.horniman.ac.uk/</t>
  </si>
  <si>
    <t>Rebecca Stockbridge Head of Museum Sponsorship</t>
  </si>
  <si>
    <t>Eve Salomon</t>
  </si>
  <si>
    <t>One day per month</t>
  </si>
  <si>
    <t>Horserace Betting Levy Board</t>
  </si>
  <si>
    <t>To assess and collect from bookmakers a statutory levy from the British horseracing betting business of bookmakers and the Tote successor company, which it then distributes for the improvement of horseracing and breeds of horses and for the advancement of veterinary science and education.</t>
  </si>
  <si>
    <t>http://www.hblb.org.uk/</t>
  </si>
  <si>
    <t xml:space="preserve">Julie Carney </t>
  </si>
  <si>
    <t>Paul Lee</t>
  </si>
  <si>
    <t xml:space="preserve">5-6 days per month </t>
  </si>
  <si>
    <t>House of Lords Appointment Commission, excluding political members</t>
  </si>
  <si>
    <t>The Commission's role is to select new independent members of the House of Lords and to vet party-political nominations put forward by the political parties.</t>
  </si>
  <si>
    <t>Trisatan Pedelty, Director for Public Bodies, Public Appointments and Propriety &amp; Ethics</t>
  </si>
  <si>
    <t>Lord Bew</t>
  </si>
  <si>
    <t>1-2 days per month</t>
  </si>
  <si>
    <t>underspend against original budget</t>
  </si>
  <si>
    <t>Human Fertilisation and Embryology Authority</t>
  </si>
  <si>
    <t>Licensing and inspection of fertility clinics and research projects involving human embryos. Holder and provider of information for the public, patients, donor conceived people and donors. Sets policy framework for fertility issues.</t>
  </si>
  <si>
    <t>Mark Davies, Director of Population Health</t>
  </si>
  <si>
    <t>Sally Cheshire</t>
  </si>
  <si>
    <t>Human Tissue Authority</t>
  </si>
  <si>
    <t>The Human Tissue Authority (HTA) aims to maintain public and professional confidence by ensuring that human tissue and organs are used safely and ethically and with proper consent. We regulate organisations that remove, store and use human tissue and organs for research, medical treatment, post-mortem examination, transplantation, teaching and display in public. We also give approval for organ and bone marrow donations from living people.</t>
  </si>
  <si>
    <t>William Horne</t>
  </si>
  <si>
    <t>Imperial War Museum</t>
  </si>
  <si>
    <t>The Imperial War Museum is a global authority on conflict and its impact, from the First World War to the present day, in Britain, its former Empire and Commonwealth.</t>
  </si>
  <si>
    <t>http://www.iwm.org.uk/</t>
  </si>
  <si>
    <t>Sir Stuart Peach</t>
  </si>
  <si>
    <t>One day a month</t>
  </si>
  <si>
    <t>Independent Advisory Panel on Deaths in Custody</t>
  </si>
  <si>
    <t>To act as the primary source of independent advice to ministers and service leaders on measures to reduce the number and rate of deaths in custody. To consult and engage with stakeholders to collect, analyse and disseminate information about deaths in custody and the lessons that can be learned from them. To carry out thematic enquiries into areas of concern. To issue and monitor compliance with guidance on best practice for reducing deaths in custody.  To commission research and make recommendations to ministers for changes in policy or operational practice, which would help to reduce the incidence of deaths in custody.</t>
  </si>
  <si>
    <t>Nick Poyntz, Deputy Director, Prison Safety and Security Policy</t>
  </si>
  <si>
    <t>Juliet Lyon</t>
  </si>
  <si>
    <t>Independent Agricultural Appeals Panel</t>
  </si>
  <si>
    <t>Panel for appeals lodged with the Rural Payments Agency.</t>
  </si>
  <si>
    <t>There is no fixed Chair. Three Panel Members will sit at each hearing with one being nominated as Chair. The IAAP does not have any formal structure and is administered by a team in the Rural Payments Agency.</t>
  </si>
  <si>
    <t>Andy King, Customer Director,
Rural Payments Agency</t>
  </si>
  <si>
    <t xml:space="preserve">There is no fixed Chair. Three Panel Members will sit at each hearing with one being nominated as Chair. The chair is paid the same as panel members </t>
  </si>
  <si>
    <t>Independent Commission for Aid Impact</t>
  </si>
  <si>
    <t>To scrutinise overseas development assistance (ODA) spent by the UK Government.</t>
  </si>
  <si>
    <t xml:space="preserve">Emma Stewart </t>
  </si>
  <si>
    <t>Dr Tamsyn Barton</t>
  </si>
  <si>
    <t>Independent Commission on Civil Aviation Noise</t>
  </si>
  <si>
    <t>ICCAN is a non-statutory, advisory body created to provide independent, impartial advice to government, regulators and the UK aviation industry.</t>
  </si>
  <si>
    <t>Gareth Davies, Director General International and Security Group</t>
  </si>
  <si>
    <t>Rob Light</t>
  </si>
  <si>
    <t>120 days per year</t>
  </si>
  <si>
    <t>Independent Medical Expert Group</t>
  </si>
  <si>
    <t>The Independent Medical Expert Group advises the Minister for Defence People and Veterans on medical and scientific aspects of Armed Forces Compensation Scheme (AFCS) and related matters.</t>
  </si>
  <si>
    <t>Helen Helliwell - Dir Armed Forces People Policy</t>
  </si>
  <si>
    <t>Professor Sir Anthony Newman Taylor</t>
  </si>
  <si>
    <t>16-20 days per year including four meetings a year</t>
  </si>
  <si>
    <t>Independent Office for Police Conduct</t>
  </si>
  <si>
    <t>The Independent Office for Police Conduct (IOPC) oversees the police complaints system in England and Wales. They investigate the most serious matters, including deaths following police contact, and set the standards by which the police should handle complaints. They use learning from their work to influence changes in policing. They are independent, and make their decisions entirely independently of the police and government.</t>
  </si>
  <si>
    <t>enquiries@policeconduct.gov.uk</t>
  </si>
  <si>
    <t>Scott McPherson - DG Crime, Policing &amp; Fire Group</t>
  </si>
  <si>
    <t>Michael Lockwood. Director General</t>
  </si>
  <si>
    <t>RDEL for 19/20 is £76,665,00
of which:
Programme Near Cash = £70,645,000
Non Cash (depreciation) = £6,020,000
Income = £300,000
Total capital = £715,000</t>
  </si>
  <si>
    <t>Independent Reconfiguration Panel</t>
  </si>
  <si>
    <t>To advise the Secretary of State for Health on contentious proposals for changes to NHS services. To offer support and generic advice to the NHS, local authorities and other interested bodies involved in NHS service reconfiguration.</t>
  </si>
  <si>
    <t>Lee McDonough, Director General - Acute Care and Workforce</t>
  </si>
  <si>
    <t>Bernard Ribeiro</t>
  </si>
  <si>
    <t xml:space="preserve">Two days per week </t>
  </si>
  <si>
    <t>Industrial Injuries Advisory Council</t>
  </si>
  <si>
    <t>To advise DWP Ministers on matters relating to the Industrial Injuries Scheme and its administration. In particular, which diseases and occupations should give entitlement to Industrial Injuries Disablement Benefit and advising on any draft regulations relating to the scheme.</t>
  </si>
  <si>
    <t xml:space="preserve">iiac@dwp.gov.uk </t>
  </si>
  <si>
    <t>Jamey Johnson, Deputy Director, ALB Partnership Division, DWP</t>
  </si>
  <si>
    <t>Doctor  Lesley Rushton</t>
  </si>
  <si>
    <t>Minimum average time commitment of 60 days per year (including time preparing for meetings and travelling time).</t>
  </si>
  <si>
    <t>Information Commissioner's Office</t>
  </si>
  <si>
    <t>The Information Commissioner’s Office is the UK’s independent authority set up to uphold information rights in the public interest, promoting openness by public bodies and data privacy for individuals.</t>
  </si>
  <si>
    <t>http://www.ico.org.uk/</t>
  </si>
  <si>
    <t>James Snook</t>
  </si>
  <si>
    <t>Elizabeth Denham</t>
  </si>
  <si>
    <t>First-tier tribunal (Information Rights) (for Freedom of Information decisions)
Parliamentary and Health Service Ombudsman (all other matters)</t>
  </si>
  <si>
    <t>Insolvency Rules Committee</t>
  </si>
  <si>
    <t>The Insolvency Rules Committee considers amendments to the rules arising out of a review of secondary insolvency legislation, giving their recommendations to the Lord Chancellor.</t>
  </si>
  <si>
    <t>policy.unit@insolvency.gov.uk  
The IRC itself does not have an email address but may be contacted through InsS</t>
  </si>
  <si>
    <t>Paul Bannister, Head of Policy, InsS</t>
  </si>
  <si>
    <t>Mr Justice Zacaroli</t>
  </si>
  <si>
    <t xml:space="preserve">Variable but on average three weeks per year.  </t>
  </si>
  <si>
    <t>Insolvency Service</t>
  </si>
  <si>
    <t>IS helps to deliver economic confidence by supporting those in financial distress, tackling financial wrongdoing and maximising returns to creditors.</t>
  </si>
  <si>
    <t>Stephen Allinson</t>
  </si>
  <si>
    <t>£15,000 - £20,000</t>
  </si>
  <si>
    <t>Not stated</t>
  </si>
  <si>
    <t>Institute for Apprenticeships</t>
  </si>
  <si>
    <t>The Institute for Apprenticeships and Technical Education works with employer groups called trailblazers to oversee the development, approval and publication of apprenticeship standards and assessment plans and makes recommendations on funding bands to the Department for Education for each standard. It also oversees the occupational maps for T Levels and apprenticeships. The Institute is responsible for Technical Qualifications, which is the main, classroom-based element of the T Level. T Levels are two-year technical study programmes that will become one of three major options for students to study at level 3 alongside apprenticeships and A levels. The Institute also has a role overseeing External Quality Assurance (EQA) across all EQA providers to ensure quality, consistency and credibility. The Institute leads work through the Quality Alliance to develop and maintain the Apprenticeship Quality Strategy.</t>
  </si>
  <si>
    <t>Sir Gerry Berragan, Chief Executive</t>
  </si>
  <si>
    <t>Antony Jenkins</t>
  </si>
  <si>
    <t>Government funding in £000s figure provided is the IfATE delegated budget for 18-19</t>
  </si>
  <si>
    <t>Intellectual Property Office</t>
  </si>
  <si>
    <t>The IPO is the official UK government body responsible for intellectual property (IP) rights including patents, designs, trade marks and copyright.</t>
  </si>
  <si>
    <t>Established 1852, Intellectual Property Office became the operating name of the Patent Office in April 2007.</t>
  </si>
  <si>
    <t>Tim Suter</t>
  </si>
  <si>
    <t>22 days per year</t>
  </si>
  <si>
    <t>IPO is a Trading Fund and its expenditure is not classified as RDEL, CDEL or RAME. All of its costs are covered by income.</t>
  </si>
  <si>
    <t>Investigatory Powers Tribunal</t>
  </si>
  <si>
    <t>Tribunal NDPB</t>
  </si>
  <si>
    <t xml:space="preserve">The Investigatory Powers Tribunal (IPT) is a judicial body established in October 2000 under Part IV of RIPA. </t>
  </si>
  <si>
    <t>Chloe Squires - Director of National Security Directorate</t>
  </si>
  <si>
    <t>The Rt. Hon. Lord Justice Singh</t>
  </si>
  <si>
    <t>The Chair has not been allocated any time to perform his functions on the Tribunal. The day to day running of the Tribunal is led by the Vice President. He has been allocated one day a week for Tribunal work.</t>
  </si>
  <si>
    <t>Joint Nature Conservation Committee</t>
  </si>
  <si>
    <t>JNCC is the public body that advises the UK Government and devolved administrations on UK-wide and international nature conservation</t>
  </si>
  <si>
    <t xml:space="preserve">Edward Barker, Director,
Natural Environment </t>
  </si>
  <si>
    <t>Chris Gilligan</t>
  </si>
  <si>
    <t>Dr Richard Jarvis</t>
  </si>
  <si>
    <t>Judicial Appointments Commission</t>
  </si>
  <si>
    <t>The Judicial Appointments Commission is an independent commission that selects candidates for judicial office in courts and tribunals in England and Wales, and for some tribunals whose jurisdiction extends to Scotland or Northern Ireland.</t>
  </si>
  <si>
    <t>jaas@judicialappointments.gov.uk</t>
  </si>
  <si>
    <t>www.judicialappointments.gov.uk</t>
  </si>
  <si>
    <t>Director General, Justice and Courts Policy Group</t>
  </si>
  <si>
    <t>Lord Kakkar</t>
  </si>
  <si>
    <t xml:space="preserve">£55,000 ‑ £60,000 </t>
  </si>
  <si>
    <t>Judicial Appointments and Conduct Ombudsman</t>
  </si>
  <si>
    <t>Land Registration Rule Committee</t>
  </si>
  <si>
    <t>The LRRC advises and assists in the making of Land Registration Rules and Land Registration Fee Orders and draft amendments for the Secretary of State under the Land Registration Act 2002.</t>
  </si>
  <si>
    <t>Mr Justice Morgan</t>
  </si>
  <si>
    <t>Law Commission</t>
  </si>
  <si>
    <t>The Law Commission is a statutory independent body. It was created to keep the law under review and, where necessary, to recommend reform of the law to Government. The Law Commission’s aims are to ensure that the law is as fair, modern, simple and as cost-effective as possible. It reviews areas of the law that have become unduly complicated, outdated or unfair. It conducts research and consultation in order to: (1) make systematic recommendations for consideration by Parliament; (2) codify the law; (3) eliminate anomalies; (4) repeal obsolete and unnecessary enactments; and (5) reduce the number of separate statutes. The functions of the Law Commission are set out in two Acts, Law Commissions Act 1965 and Law Commission Act 2009.</t>
  </si>
  <si>
    <t>Mark Sweeney, Director General 
Justice Policy, Strategy and Communications Group</t>
  </si>
  <si>
    <t>Sir Nicholas Green</t>
  </si>
  <si>
    <t>Leasehold Advisory Service (LEASE)</t>
  </si>
  <si>
    <t>To provide free, high quality and impartial advice to leaseholders and park home owners, and to Government on all aspects of residential leasehold and park home law in England and Wales.</t>
  </si>
  <si>
    <t>Anne Frost, Director, Leasehold and Private Rented Sector</t>
  </si>
  <si>
    <t>Wanda Goldwag</t>
  </si>
  <si>
    <t>4 days per month</t>
  </si>
  <si>
    <t>Legal Aid Agency</t>
  </si>
  <si>
    <t>Review Panel of practising solicitors and barristers considers appeals against some of the LAA's decisions on legal aid applications and costs.</t>
  </si>
  <si>
    <t>Shaun McNally</t>
  </si>
  <si>
    <t>Jane Harbottle</t>
  </si>
  <si>
    <t>Legal Services Board</t>
  </si>
  <si>
    <t>The Legal Services Board (LSB) oversees the regulation of legal services in England and Wales. It does this through its oversight of eleven bodies, the approved regulators, who themselves regulate directly the circa 167,000 lawyers practising throughout the jurisdiction. The LSB does not regulate any legal service provider directly. Working with the approved regulators, the LSB is responsible for ensuring the highest standards of competence, conduct and service in the legal profession both for the benefit of individual consumers and the public generally. The LSB is also responsible for appointing the Office for Legal Complaints, to administer an ombudsman scheme to deal with consumers’ complaints about legal services.</t>
  </si>
  <si>
    <t>Dr Helen Phillips</t>
  </si>
  <si>
    <t>Minimum 70 days per year</t>
  </si>
  <si>
    <t>LocatEd Property Limited</t>
  </si>
  <si>
    <t>LocatED Property Limited (LocatED) has a vital role in supporting the department to meet the Government’s commitment to an ambitious free schools programme that aims to deliver choice, innovation and higher standards for parents.  One of England’s largest purchasers of land, we provide the commercial and property market expertise to secure the required sites more quickly, and at better value for the department. LocatED manages sites and schools held by the department and free school trusts, that are not in use, to identify and implement enhanced value. It also disposes of sites that are no longer needed and provides specialist property advice to the department, including the Education and Skills Funding Agency, and where relevant, to other bodies in relation to education provision.</t>
  </si>
  <si>
    <t>Rory Kennedy, Director of Capital</t>
  </si>
  <si>
    <t>Michael Strong</t>
  </si>
  <si>
    <t>Information collated from LocatED internal reporting as the formal accounts have not yet been signed off.</t>
  </si>
  <si>
    <t>Low Pay Commission</t>
  </si>
  <si>
    <t>The LPC advises the government about the National Living Wage and the National Minimum Wage.</t>
  </si>
  <si>
    <t>Bryan Sanderson</t>
  </si>
  <si>
    <t>16 days per year</t>
  </si>
  <si>
    <t>Marine Management Organisation</t>
  </si>
  <si>
    <t>A range of responsibilities, including implementing a new marine planning system and licensing regime; managing UK fishing fleet capacity and UK fisheries quotas; working with Natural England and the Joint Nature Conservation Committee (JNCC) to manage a network of marine protected areas; responding to marine emergencies alongside other agencies.</t>
  </si>
  <si>
    <t>Neil Hornby, Director, Marine and Fisheries</t>
  </si>
  <si>
    <t>Hilary Florek</t>
  </si>
  <si>
    <t>Eight days per month</t>
  </si>
  <si>
    <t>Maritime and Coastguard Agency (MCA)</t>
  </si>
  <si>
    <t>The Maritime and Coastguard Agency (MCA) provides a 24-hour maritime search and rescue service; enforces ship safety, prevents pollution, promotes seafarer health, safety and welfare standards by survey and inspection; registers and certificates ships and seafarers; and manages pollution prevention and response.</t>
  </si>
  <si>
    <t>Michael Parker</t>
  </si>
  <si>
    <t>110 days per year</t>
  </si>
  <si>
    <t>Marshall Aid Commemoration Commission</t>
  </si>
  <si>
    <t>Awarding scholarships to students from the US.</t>
  </si>
  <si>
    <t>Helen Bower-Easton, Communication Director, FCO</t>
  </si>
  <si>
    <t>Christopher Fisher</t>
  </si>
  <si>
    <t>Medicines and Healthcare Products Regulatory Agency</t>
  </si>
  <si>
    <t xml:space="preserve">The Medicines and Healthcare products Regulatory Agency regulates medicines, medical devices and blood components for transfusion in the UK. Recognised globally as an authority in its field, the agency plays a leading role in protecting and improving public health and supports innovation through scientific research and development. </t>
  </si>
  <si>
    <t>Trading Fund.  There are ten non-executive members of the Board (one chairman and nine non executive directors) and two executive members (Chief Executive and Chief Operating Officer)</t>
  </si>
  <si>
    <t>Liz Woodeson, Director of Medicines and Pharmacy</t>
  </si>
  <si>
    <t>Sir Michael Rawlins</t>
  </si>
  <si>
    <t>Met Office</t>
  </si>
  <si>
    <t>Met Office, through world leading research, 24/7 operations and technology, provides weather and climate services to government, the Armed Forces, the public, civil aviation, shipping, industry, agriculture and commerce and it is also responsible for the UK's National Severe Weather Warning Service.</t>
  </si>
  <si>
    <t>Rob Woodward</t>
  </si>
  <si>
    <t>27-36 days per year</t>
  </si>
  <si>
    <t>Please note the income line for each entity, reflects the actual income that is reported in their annual accounts.
2. The total Government funding line represent the total DEL each entity has received from government departments including BEIS, as well as other external source to Government.
3. CDEL relates to the total Science R&amp;D expenditure BEIS provides to the Met Office of which is included in the total funding it received from government</t>
  </si>
  <si>
    <t>Migration Advisory Committee</t>
  </si>
  <si>
    <t>Advisory Body on Migration Issues, building evidence base for migration policy.</t>
  </si>
  <si>
    <t xml:space="preserve">Professor Alan Manning </t>
  </si>
  <si>
    <t>National Archives, The</t>
  </si>
  <si>
    <t>As the Government's national archive and publisher for England, Wales and the United Kingdom, we hold over 1,000 years of the nation's records for everyone to discover and use.</t>
  </si>
  <si>
    <t>Jeff James</t>
  </si>
  <si>
    <t>Lesley Cowley OBE</t>
  </si>
  <si>
    <t>More Information regrding remunerations can be found: https://www.nationalarchives.gov.uk/documents/the-national-archives-annual-report-and-accounts-2018-19.pdf, p.55</t>
  </si>
  <si>
    <t>National Army Museum</t>
  </si>
  <si>
    <t>The National Army Museum (NAM) was established by Royal Charter in 1960 to collect, preserve and exhibit objects and records relating to the Regular and Auxiliary forces of the British Army and of the Commonwealth, and to encourage research into their history and traditions. Devolved status was accorded to the Museum u nder the terms of the National Heritage Act 1983.  The Grant-in-Aid, made through the Ministry of Defence (MOD), is administered by the Director General of the Museum on behalf of the governing body, the Council of the NAM.</t>
  </si>
  <si>
    <t>David Stephens, D Res Army HQ</t>
  </si>
  <si>
    <t>General Sir Richard Shirreff KCB CBE</t>
  </si>
  <si>
    <t>National Audtit Office
Charity Commission</t>
  </si>
  <si>
    <t>National Citizen Service Trust</t>
  </si>
  <si>
    <t>Purpose is to provide or arrange for the provision of programmes for young people in England with the purpose of making society a more fairer, kinder and compassionate place.</t>
  </si>
  <si>
    <t>Mark Gifford</t>
  </si>
  <si>
    <t>Brett Wigdortz</t>
  </si>
  <si>
    <t xml:space="preserve">1-2 days per week </t>
  </si>
  <si>
    <t xml:space="preserve">N/A </t>
  </si>
  <si>
    <t>For columns AH - AJ, answer is N/A as RDEL / CDEL distinction not valid until 1 December 2018 as we were a grant receiving body (Community Interest Company)</t>
  </si>
  <si>
    <t>National Crime Agency Remuneration Review Body</t>
  </si>
  <si>
    <t>The National Crime Agency Remuneration Review Body makes independent recommendations to the government on the pay and allowances of National Crime Agency officers designated with operational powers.</t>
  </si>
  <si>
    <t>anne.miller@beis.gov.uk</t>
  </si>
  <si>
    <t>Gabrielle Kann</t>
  </si>
  <si>
    <t>Anita Bharucha</t>
  </si>
  <si>
    <t>Approx. 16 days a year (for the PRRB and NCARRB in total) for visits and meetings plus time for preparation and ad hoc meetings and calls.</t>
  </si>
  <si>
    <t>National Crime Agency</t>
  </si>
  <si>
    <t>The mission of the National Crime Agency (NCA) is to lead the UK's fight to cut serious and organised crime.</t>
  </si>
  <si>
    <t>Lynne Owens</t>
  </si>
  <si>
    <t xml:space="preserve">Her Majesty's Inspectorate of Constabulary and Fire &amp; Rescure Services
Independent Police Complaints Commission
Police Investigations and Review Commissioner 
Police Ombudsman of Northern Ireland
 </t>
  </si>
  <si>
    <t>National Gallery</t>
  </si>
  <si>
    <t>To care for the national collection of western European paintings from the 13th to the 20th century, to enhance it for future generations, primarily by acquisition, and to study it, while encouraging access to the pictures for the education and enjoyment of the widest possible public now and in the future.</t>
  </si>
  <si>
    <t>Trustees Ministerial; Chair appointed by Trustees from among their number</t>
  </si>
  <si>
    <t>http://www.nationalgallery.org.uk/</t>
  </si>
  <si>
    <t>Hannah Rothschild</t>
  </si>
  <si>
    <t>Two days per month</t>
  </si>
  <si>
    <t>National Heritage Memorial Fund/Heritage Lottery Fund</t>
  </si>
  <si>
    <t>An organisation that makes grants to heritage from both Government and Lottery funding.</t>
  </si>
  <si>
    <t>http://www.hlf.org.uk/</t>
  </si>
  <si>
    <t>Sir Peter Luff</t>
  </si>
  <si>
    <t>National Infrastructure Commission</t>
  </si>
  <si>
    <t xml:space="preserve">The National Infrastructure Commission (NIC) has been established to provide impartial, expert advice and make indepenedent recommendations to the government on economic infrastructure. It operates independently, at arm's length from government. Its objectives are to support sustainable economic growth across all regions of the UK; improve competitiveness; improve quality of life. The Commission advises the government on all sectors of economic infrastructure, defined as follows: energy, transport, water and wastewater (drainage and sewerage), waste, flood risk management and digital communications. The Commission will also consider the potential interactions between its infrastructure recommendations and housing supply. In carrying out its role, the Commission will produce the following: (i) a National Infrastructure Assessment; (ii) specific studies on pressing infrastructure challenges; (iii) an annual monitoring report, taking stock of the government's progress in areas where it has committed to taking forward the NIC's recommendations. </t>
  </si>
  <si>
    <t>Charles Roxburgh, 2nd Permanent Secretary, HM Treasury</t>
  </si>
  <si>
    <t>Sir John Armitt</t>
  </si>
  <si>
    <t>yes</t>
  </si>
  <si>
    <t>year</t>
  </si>
  <si>
    <t>National Institute for Health and Care Excellence</t>
  </si>
  <si>
    <t>National Institute for Health and Care Excellence (NICE) provides guidance, standards and information to help health, public health and social care professionals deliver the best possible care based on the best available evidence.</t>
  </si>
  <si>
    <t>Sir David Haslam</t>
  </si>
  <si>
    <t>National Museum of the Royal Navy</t>
  </si>
  <si>
    <t>To promote public understanding of the history, deeds and traditions of the Naval Service and its auxiliaries. To promote and enhance military efficiency by assisting in recruitment and retention and fostering esprit de corps. To commemorate and remember those who have died on active service.</t>
  </si>
  <si>
    <t>Dr Caroline Williams</t>
  </si>
  <si>
    <t>Board of Trustees meets four times a year.  The Chair aslo acts as ambassador for the National Museum, attending fundraising events, opening new exhibitions and meetings with the Royal Navy/MOD or other key partners and stakeholders as required.</t>
  </si>
  <si>
    <t>National Museums Liverpool</t>
  </si>
  <si>
    <t>National Museums Liverpool aims to use its collections and other assets to provide the widest possible educational benefit and to promote the public enjoyment and understanding of art, history and science.</t>
  </si>
  <si>
    <t>http://www.liverpoolmuseums.org.uk/</t>
  </si>
  <si>
    <t>Sir David Henshaw</t>
  </si>
  <si>
    <t>1 to 2 days per month time commitment in addition to Chairing 5 Board meetings per year</t>
  </si>
  <si>
    <t>National Portrait Gallery</t>
  </si>
  <si>
    <t>To promote, through the medium of portraits, the appreciation and understanding of the men and women who have made and are making British history and culture; and to promote the appreciation and understanding of portraiture in all media.</t>
  </si>
  <si>
    <t>http://www.npg.org.uk/</t>
  </si>
  <si>
    <t>David Ross</t>
  </si>
  <si>
    <t>National Savings and Investments (NS&amp;I)</t>
  </si>
  <si>
    <t>NS&amp;I's mission is to provide cost-effective financing for government and the public good; offer trusted savings and investments propositions; deliver valued services for the Government; and support a fair and competitive market by balancing the interests of its savers, taxpayers and the market.</t>
  </si>
  <si>
    <t xml:space="preserve">NS&amp;I is both a Non-Ministerial Department and Executive Agency (NS&amp;I has dual status). </t>
  </si>
  <si>
    <t>Ian Ackerley</t>
  </si>
  <si>
    <t>Ed Anderson</t>
  </si>
  <si>
    <t>144 hours per year</t>
  </si>
  <si>
    <t>Financial Ombudsman Service</t>
  </si>
  <si>
    <t>Natural England</t>
  </si>
  <si>
    <t>Natural England is the government’s advisor on the natural environment. It provides practical advice, grounded in science, on how best to safeguard England’s natural wealth for the benefit of everyone.</t>
  </si>
  <si>
    <t>Andrea Ledward, Director, Natural Environment Directorate</t>
  </si>
  <si>
    <t>Tony Juniper</t>
  </si>
  <si>
    <t>Three days a week in first year 
Total £85,500 based on
£546 day rate then rounded up to nearest £500</t>
  </si>
  <si>
    <t>Natural History Museum</t>
  </si>
  <si>
    <t>The Natural History Museum challenges the way people think about the natural world - its past, present and future.</t>
  </si>
  <si>
    <t>http://www.nhm.ac.uk/</t>
  </si>
  <si>
    <t>Lord Stephen Green</t>
  </si>
  <si>
    <t xml:space="preserve">One day per month </t>
  </si>
  <si>
    <t>NHS Business Services Authority</t>
  </si>
  <si>
    <t>Provides central services to NHS bodies, patients and the public for: NHS Pension Scheme; Overseas Health; Presciption and Dental Charges,  Help for Health Costs; NHS Electronic Staff Record; NHS Jobs;  England Infected Blood Support Scheme; Healthy Food Scheme; and Child Migrant Payment Scheme.</t>
  </si>
  <si>
    <t>Steve Oldfield, Chief Commercial Officer</t>
  </si>
  <si>
    <t>Silla Maizey</t>
  </si>
  <si>
    <t>NHS England</t>
  </si>
  <si>
    <t>From 1 April 2019, NHS England and NHS Improvement come together to act as a single organisation with the aim of better supporting the NHS to improve care for patients. The organisation is responsible for system leadership of the NHS and ensuring that national policy and funding aligns with the needs of regional health economies in order to deliver more efficient and joined up services. The organisation is also responsible for delivering the NHS Long Term Plan and achieving the goals set out in the multiyear funding settlement for the next five years.</t>
  </si>
  <si>
    <t>The NHS Commissioning Board (NHS CB) was established on 1 October 2012 as an executive non-departmental public body. Since 1 April 2013, the NHS Commissioning Board has used the name NHS England for operational purposes.  Prior to this, the NHS Commissioning Board Special Health Authority, in existence from October 2011 to 30 September 2012, was established to design the proposed commissioning landscape and develop its business functions.
Section 2 of the Health Service Commissioners Act 1992 gives the bodies subject to investigation by the Health Service Commissioner for England.</t>
  </si>
  <si>
    <t>Lord David Prior</t>
  </si>
  <si>
    <t>Yes - jointly with NHS Improvement's Board</t>
  </si>
  <si>
    <t xml:space="preserve">NHS Improvement </t>
  </si>
  <si>
    <t xml:space="preserve">NHS Improvement is responsible for overseeing foundation trusts and NHS trusts, as well as independent providers that provide NHS-funded care. We offer the support these providers need to give patients consistently safe, high quality, compassionate care within local health systems that are financially sustainable. By holding providers to account and, where necessary, intervening, we help the NHS to meet its short-term challenges and secure its future. </t>
  </si>
  <si>
    <t>NHS Improvement is responsible for overseeing NHS foundation trusts, NHS trusts and independent providers. We offer the support these providers need to give patients consistently safe, high quality, compassionate care within local health systems that are financially sustainable. By holding providers to account and, where necessary, intervening, we help the NHS to meet its short-term challenges and secure its future. NHS Improvement is the operational name for the organisation that brings together Monitor, NHS Trust Development Authority (NHS TDA), Patient Safety including the National Reporting and Learning System, the Advancing Change team and the Intensive Support Teams.</t>
  </si>
  <si>
    <t>Lee McDonough , Director General of Acute Care and Workforce</t>
  </si>
  <si>
    <t>Baroness Dido Harding</t>
  </si>
  <si>
    <t>Yes - jointly with NHS England's Board</t>
  </si>
  <si>
    <t>NHS Pay Review Body</t>
  </si>
  <si>
    <t>To make recommendations on the remuneration of all staff paid under Agenda for Change and employed in the NHS.</t>
  </si>
  <si>
    <t>Phillippa Hird</t>
  </si>
  <si>
    <t>15 days per year</t>
  </si>
  <si>
    <t>Northern Ireland Human Rights Commission</t>
  </si>
  <si>
    <t>To promote and protect the human rights of everyone in Northern Ireland.</t>
  </si>
  <si>
    <t xml:space="preserve">info@nihrc.org 
</t>
  </si>
  <si>
    <t>www.nihrc.org</t>
  </si>
  <si>
    <t>Les Allamby</t>
  </si>
  <si>
    <t>Northern Lighthouse Board (Commissioners of Northern Lighthouses)</t>
  </si>
  <si>
    <t>The Commissioners of Northern Lighthouses (operating as the Northern Lighthouse Board) have various powers and responsibilities in connection with the provision, maintenance, alteration, inspection and control of lighthouses, buoys and beacons. The NLB's area of responsibility are the waters and coastline of Scotland and the Isle of Man.</t>
  </si>
  <si>
    <t>Mike Brew</t>
  </si>
  <si>
    <t>Nuclear Decommissioning Authority</t>
  </si>
  <si>
    <t>The NDA ensures the safe and efficient clean-up of the UK’s nuclear legacy.</t>
  </si>
  <si>
    <t>Tom Smith</t>
  </si>
  <si>
    <t>Nuclear Research Advisory Council</t>
  </si>
  <si>
    <t>NRAC advises upon the UK’s ability to design, certify, manufacture and support an effective and reliable nuclear stockpile in the context of the Comprehensive Test Ban Treaty (CTBT) and Non-Proliferation Treaty (NPT). This includes assessments of effectiveness, resilience and efficiency in terms of: The UK Warhead programme: The technical capabilities and resources required to support warhead-related activities; Strategic arrangements and planning and Collaboration with industry, academia, government and international allies.</t>
  </si>
  <si>
    <t>The name of the Chair and Members of NRAC are not published due to the nature of the work they undertake.</t>
  </si>
  <si>
    <t>https://www.gov.uk/government/organisations/nuclear-research-advisory-council</t>
  </si>
  <si>
    <t>Dr Paul Hollinshead, DNO Director Warhead; Professor Robin Grimes, (CSA(N))</t>
  </si>
  <si>
    <t>Office for Budget Responsibility</t>
  </si>
  <si>
    <t>The Office for Budget Responsibility (OBR) provides independent and authoritative analysis of the UK’s public finances. The main duty of the OBR is to examine and report on the sustainability of the public finances. In carrying out this duty, the OBR has six main responsibilities: the production of the fiscal and economic forecasts, including independent scrutiny of the impact of policy measures; an assessment of whether the Government’s fiscal mandate is being met; an assessment of the accuracy of the previous fiscal and economic forecasts; an analysis of the sustainability of the public finances; a report on trends in welfare spending and an assessment of the Government's performance against the welfare cap; and, once every two years, production of a dedicated report on fiscal risks.</t>
  </si>
  <si>
    <t>www.obr.uk</t>
  </si>
  <si>
    <t>Clare Lombardelli, DG,  Chief Economic Advisor, HM Treasury</t>
  </si>
  <si>
    <t>Robert Chote</t>
  </si>
  <si>
    <t>Office for Standards in Education, Children’s Services and Skills (OFSTED)</t>
  </si>
  <si>
    <t>Ofsted is the Office for Standards in Education, Children’s Services and Skills. We inspect services providing education and skills for learners of all ages. We also inspect and regulate services that care for children and young people. Ofsted’s role is to make sure that organisations providing education, training and care services in England do so to a high standard for children and students. Every week, we carry out hundreds of inspections and regulatory visits throughout England and publish the results online. We report directly to Parliament and we are independent and impartial.</t>
  </si>
  <si>
    <t xml:space="preserve">Chris Jones, Director Corporate Strategy </t>
  </si>
  <si>
    <t>Julius Weinberg</t>
  </si>
  <si>
    <t>Office for Students</t>
  </si>
  <si>
    <t>Regulator for higher education in England.</t>
  </si>
  <si>
    <t>info@officeforstudents.org.uk</t>
  </si>
  <si>
    <t>Ian Coates</t>
  </si>
  <si>
    <t>Sir Michael Barber</t>
  </si>
  <si>
    <t>Eight days per  month</t>
  </si>
  <si>
    <t>Office of Gas and Electricity Markets (Ofgem)</t>
  </si>
  <si>
    <t>Ofgem is the Office of Gas and Electricity Markets. We are a non-ministerial government department and an independent National Regulatory Authority, recognised by EU Directives. We have a number of statutory roles and duties. Our principal objective when carrying out the vast majority of our functions is to protect the interests of existing and future electricity and gas consumers.</t>
  </si>
  <si>
    <t>Dermot Nolan, Chief Executive Officer</t>
  </si>
  <si>
    <t xml:space="preserve">Martin Cave  </t>
  </si>
  <si>
    <t>Four days per week</t>
  </si>
  <si>
    <t>Office of Qualifications and Examinations Regulation (OFQUAL)</t>
  </si>
  <si>
    <t>Ofqual is the regulator of qualifications, examinations and assessments in England. We’re responsible for making sure that regulated qualifications reliably indicate the knowledge, skills and understanding students have demonstrated, that assessments and exams show what a student has achieved, that people have confidence in the qualifications that we regulate and that students and teachers have information on the full range of qualifications that we regulate.</t>
  </si>
  <si>
    <t>http://ofqual.gov.uk/</t>
  </si>
  <si>
    <t>Sally Collier</t>
  </si>
  <si>
    <t>Roger Taylor</t>
  </si>
  <si>
    <t>Office of Rail and Road</t>
  </si>
  <si>
    <t xml:space="preserve">ORR, as the combined economic and safety regulator, is responsible for railway health and safety matters and the regulation of access to railways and promotion of competition in the provision of rail services. It is also responsible for promoting efficiency and economy for those providing railway services and protecting the interests of railway service users. ORR is responsible for monitoring Highways England's management and operation of the strategic road network. ORR acts as the appeal body, controls the network statement, monitors the competitive situation of rail services, and oversees the efficient management and fair and non-discriminatory use of rail infrastructure for Northern Ireland. </t>
  </si>
  <si>
    <t>Freya Guinness - Director Corporate Operations
and Organisational Development</t>
  </si>
  <si>
    <t>Declan Collier</t>
  </si>
  <si>
    <t>All rail related costs are funded via licence fees and safety levy.Highways monitoring costs are funded via a DfT grant. We have a token vote of £3k from HM Treasury.</t>
  </si>
  <si>
    <t>Office of the Children’s Commissioner, The</t>
  </si>
  <si>
    <t>Promoting and protecting the rights of children in England and promoting awareness of the views and interests of Children in England.</t>
  </si>
  <si>
    <t>Christina Bankes/Katy Weeks</t>
  </si>
  <si>
    <t>Office of the Immigration Services Commissioner</t>
  </si>
  <si>
    <t xml:space="preserve">It regulates the provision of immigration advice and services throughout the UK. </t>
  </si>
  <si>
    <t xml:space="preserve">There is no chair. OISC is led by a commissioner, assisted by the Chair of ARAC. </t>
  </si>
  <si>
    <t>Simon Bond</t>
  </si>
  <si>
    <t>Office of the Public Guardian</t>
  </si>
  <si>
    <t>The OPG's remit is to support and enable people to plan ahead to prepare for both their health and their finances to be looked after should they lose capacity in future, and to safeguard the interests of people who may lack the mental capacity to make certain decisions for themselves.</t>
  </si>
  <si>
    <t>Mike Driver, Chief Financial Officer, CFO Group, MoJ</t>
  </si>
  <si>
    <t>Alan Eccles</t>
  </si>
  <si>
    <t>Full</t>
  </si>
  <si>
    <t>The Water Services Regulation Authority (OFWAT)</t>
  </si>
  <si>
    <t>Ofwat promotes the consumer interest, whilst ensuring that efficient companies in the sector can access capital markets.  Ofwat's principal tools include  the setting of price limits for monopoly companies, the enforcement of licences, the determination of disputes, and market monitoring.</t>
  </si>
  <si>
    <t>Rachel Fletcher</t>
  </si>
  <si>
    <t>Jonson Cox</t>
  </si>
  <si>
    <t>Parades Commission for Northern Ireland</t>
  </si>
  <si>
    <t>Under the Public Processions (NI) Act 1998 the duties and functions of the Commission are: to promote greater understanding by the general public of issues concerning public processions; to promote and facilitate mediation as a means of resolving disputes concerning public processions; to keep itself informed as to the conduct of public processions and protest meetings; and to keep under review, and make such recommendations as it thinks fit to the Secretary of State concerning the operation of the Act.</t>
  </si>
  <si>
    <t xml:space="preserve">info@paradescommissionni.org </t>
  </si>
  <si>
    <t>www.paradescommission.org</t>
  </si>
  <si>
    <t>Mark Larmour, NIO Director</t>
  </si>
  <si>
    <t>Anne Henderson</t>
  </si>
  <si>
    <t>Month</t>
  </si>
  <si>
    <t>Parole Board for England and Wales with the exception of judicial members</t>
  </si>
  <si>
    <t>The Parole Board is an independent body that works with its criminal justice partners to protect the public by risk assessing prisoners to decide whether they can be safely released into the community.</t>
  </si>
  <si>
    <t>Caroline Corby</t>
  </si>
  <si>
    <t>Pensions Ombudsman</t>
  </si>
  <si>
    <t>To investigate and decide on complaints and disputes concerning occupational and personal pension schemes. The Ombudsman is completely independent and acts as an impartial adjudicator.</t>
  </si>
  <si>
    <t>enquiries@pensions-ombudsman.org.uk</t>
  </si>
  <si>
    <t>http://www.pensions-ombudsman.org.uk/</t>
  </si>
  <si>
    <t>Pensions Regulator</t>
  </si>
  <si>
    <t>To protect the benefits of members of occupational pension schemes , to protect the benefits of members of personal pension schemes (where there is a direct payment arrangement), to promote, and to improve understanding of the good administration of work-based pension schemes, to reduce the risk of situations arising which may lead to compensation being payable from the Pension Protection Fund (PPF), to maximise employer compliance with employer duties and the employment safeguards introduced by the Pensions Act 2008, to minimise any adverse impact on the sustainable growth of an employer (in relation to the exercise of the regulator’s functions under Part 3 of the Pensions Act 2004 only). Our new objective on sustainable growth came into force on 14 July 2014.</t>
  </si>
  <si>
    <t>Mark  Boyle</t>
  </si>
  <si>
    <t>DEL Expenditure slightly higher than Grants mainly due to depreciation</t>
  </si>
  <si>
    <t>Planning Inspectorate</t>
  </si>
  <si>
    <t>The Planning Inspectorate deals with planning appeals, national infrastructure planning applications, examinations of local plans and other planning-related and specialist casework in England and Wales.The Planning Inspectorate is an executive agency, sponsored by the Ministry of Housing, Communities &amp; Local Government and the Welsh Government. </t>
  </si>
  <si>
    <t xml:space="preserve">Joint executive agency of MHCLG and Welsh Government. </t>
  </si>
  <si>
    <t>Simon Gallagher</t>
  </si>
  <si>
    <t>Trudi Elliot</t>
  </si>
  <si>
    <t xml:space="preserve">Expected to attend a minimum number of meetings (about 12 a year) of the Board, and as required, ad hoc Board Meetings. Also expected to attedn the Planning Inspectorates Customer, Quality and Professional Standards Committee, People Committee and Audit and Risk Assurance Committee, all of which meet quarterly. </t>
  </si>
  <si>
    <t>Plant Varieties and Seeds Tribunal</t>
  </si>
  <si>
    <t>Hears appeals against proposed decisions of the Controller Plant Variety Rights against proposed decisions under the Plant Varieties Act; and against proposed decisions of the National Authorities (all UK agriculture ministers) against decisions made under the 2001 National List of Varieties regulations (as amended).</t>
  </si>
  <si>
    <t xml:space="preserve">Tribunal has not sat since 1984. </t>
  </si>
  <si>
    <t>Prof Nicola Spence, Chief
 Plant Health Officer and Deputy Director, Plant Health, Bee Health and Seeds</t>
  </si>
  <si>
    <t>Police Discipline Appeals Tribunal</t>
  </si>
  <si>
    <t>Hears appeals against the findings of internal disciplinary proceedings brought against members of the police force.</t>
  </si>
  <si>
    <t>There is no single Chair of the NDPB, no board and no staff.</t>
  </si>
  <si>
    <t>Rachel Watson - Policing Director 
Zoe Wilkinson - Head of Sponsorship Unit</t>
  </si>
  <si>
    <t>N/A - each member is a practising lawyer who can be called on by PCCs. There is no chair of the ALB or a senior member leading it.</t>
  </si>
  <si>
    <t>Ad-hoc, as long as needed for each tribunal.</t>
  </si>
  <si>
    <t xml:space="preserve">Judicial Appointments and Conduct Ombudsman </t>
  </si>
  <si>
    <t>No budget, chair's fees are paid by the PCC who convenes the appeal.</t>
  </si>
  <si>
    <t>Police Remuneration Review Body</t>
  </si>
  <si>
    <t>Provides independent advice to the government on pay and conditions for police officers, including Chief Constables.</t>
  </si>
  <si>
    <t>gabrielle.kann@beis.gov.uk</t>
  </si>
  <si>
    <t>Approx. 25-27 days per year</t>
  </si>
  <si>
    <t>No budget, Chair's fees and expenses paid from CPFG directorate budget as part of business as usual.</t>
  </si>
  <si>
    <t>Prison Service Pay Review Body</t>
  </si>
  <si>
    <t>To provide independent advice on the remuneration of governing governors and operational managers, prison officers and support grades in the England and Wales Prison Service. The Prison Services Pay Review Body (PSPRB) also provides independent advice on the remuneration of prison governors, prison officers and support grades in the Northern Ireland Prison Service.</t>
  </si>
  <si>
    <t>https://www.gov.uk/government/organisations/prison-services-pay-review-body</t>
  </si>
  <si>
    <t>Martin Williams, Director, Office of Manpower Economics</t>
  </si>
  <si>
    <t>Tim Flesher</t>
  </si>
  <si>
    <t>Public Health England</t>
  </si>
  <si>
    <t xml:space="preserve">PHE exists to protect and improve the nation’s health and wellbeing, and reduce health inequalities. It does this through world-class science, knowledge and intelligence, advocacy, partnerships and the delivery of specialist public health services. </t>
  </si>
  <si>
    <t>Dame Julia Goodfellow</t>
  </si>
  <si>
    <t>Maximum 6 days per month</t>
  </si>
  <si>
    <t>Queen Elizabeth II Conference Centre</t>
  </si>
  <si>
    <t>QEII Centre is the largest Central London Conference Centre, which attracts both national and international events.</t>
  </si>
  <si>
    <t>QEII is a Trading Fund</t>
  </si>
  <si>
    <t>Andy Hobart</t>
  </si>
  <si>
    <t>Regional Advisory Committees / Forestry and Woodlands Advisory Committees (x9)</t>
  </si>
  <si>
    <t>To advise the Forestry Commissioners on the performance of the Forestry Commissioners' functions under Section 1(3) and Part II of the Forestry Act 1967, and on such other functions as the Forestry Commissioners may from time to time determine.</t>
  </si>
  <si>
    <t xml:space="preserve">Ian Gambles </t>
  </si>
  <si>
    <t>Regulator of Social Housing</t>
  </si>
  <si>
    <t xml:space="preserve">The objectives of the Regulator are set out in the Housing and Regeneration Act 2008. RSH regulates private registered providers of social housing to promote a viable, efficient and well-governed social housing sector able to deliver homes that meet a range of needs. They perform their functions in a way that minimises interference and is proportionate, consistent, transparent and accountable. </t>
  </si>
  <si>
    <t>Shayne Coulson</t>
  </si>
  <si>
    <t>Simon Dow</t>
  </si>
  <si>
    <t>Regulatory Policy Committee</t>
  </si>
  <si>
    <t>RPC provides the government with external, independent scrutiny of new regulatory and deregulatory proposals.</t>
  </si>
  <si>
    <t>Anthony Browne</t>
  </si>
  <si>
    <t>54 days per year</t>
  </si>
  <si>
    <t>Review Body on Doctors' and Dentists' Remuneration</t>
  </si>
  <si>
    <t>To make recommendations on the remuneration of doctors and dentists involved in the NHS.</t>
  </si>
  <si>
    <t>Professor Sir Paul Curran</t>
  </si>
  <si>
    <t>Reviewing Committee on the Export of Works of Art and Objects of Cultural Interest</t>
  </si>
  <si>
    <t>To advise on the principles which should govern the control of export of objects of cultural interest under the Export Control system generally; to advise the Secretary of State on all cases where refusal of an export licence for an object of cultural interest is suggested on the grounds of national importance; to advise in cases where a special Exchequer grant is needed towards the purchase of an object that would otherwise be exported.</t>
  </si>
  <si>
    <t>http://www.artscouncil.org.uk/what-we-do/supporting-museums/cultural-property/export-controls/reviewing-committee/</t>
  </si>
  <si>
    <t>Helen Whitehouse, Deputy Director, Museums and Cultural Property</t>
  </si>
  <si>
    <t>Sir Hayden Phillips</t>
  </si>
  <si>
    <t xml:space="preserve">Two days per month </t>
  </si>
  <si>
    <t>Royal Air Force Museum</t>
  </si>
  <si>
    <t xml:space="preserve">The Royal Air Force Museum is a National Museum, a Government non-departmental public body (NDPB) and a registered charity. Their Vision is to inspire everyone with the RAF Story, the people who shape it and it place in our lives. To share the story of the Royal Air Force, past, present and future - using the stories of its people and their collections in order to engage, inspire and encourage learning. Their collection is central to everything they are and do and comprises around 1.3m objects which we hold in trust for the people of the UK. </t>
  </si>
  <si>
    <t>Director of Resources, HQ Air Command</t>
  </si>
  <si>
    <t>Sir Andrew Pulford GCB CBE ADC</t>
  </si>
  <si>
    <t>20 days per Year</t>
  </si>
  <si>
    <t>Royal Armouries</t>
  </si>
  <si>
    <t>Maintaining and exhibiting a national collection of arms, armour, and associated objects, and maintaining a record relating to arms and armour and to the Tower of London.</t>
  </si>
  <si>
    <t>John Procter</t>
  </si>
  <si>
    <t>Four days a month</t>
  </si>
  <si>
    <t>Royal Botanic Gardens, Kew</t>
  </si>
  <si>
    <t>To be the global resource for plant and fungal knowledge, building an understanding of the world's plants and fungi upon which all our lives depend.</t>
  </si>
  <si>
    <t>Shirley Trundle, Director,
 Natural Environment Policy</t>
  </si>
  <si>
    <t>Marcus Agius</t>
  </si>
  <si>
    <t>Maximum four days per month</t>
  </si>
  <si>
    <t>Royal Mint Advisory Committee on the Design of Coins, Medals, Seals and Decorations</t>
  </si>
  <si>
    <t>The Committee provides government departments with design advice on coins, official medals, seals and decorations. Every official medal issued since 1922 has been processed through the Committee.</t>
  </si>
  <si>
    <t>kevin.clancy@royalmintmuseum.org.uk</t>
  </si>
  <si>
    <t>Dr Kevin Clancy</t>
  </si>
  <si>
    <t>Lord  Waldegrave of North Hill</t>
  </si>
  <si>
    <t>20 hours per year</t>
  </si>
  <si>
    <t>Royal Museums Greenwich</t>
  </si>
  <si>
    <t>To enrich people's understanding of the sea, the exploration of space, and Britain's role in world history.</t>
  </si>
  <si>
    <t>Sir Charles Dunstone</t>
  </si>
  <si>
    <t>Board of Trustees meets five times a year – four quarterly meetings taking place in February, May, September and November. These plenary meetings last from 0900-1630. There is also a single strategy day in March.</t>
  </si>
  <si>
    <t>Rural Payments Agency</t>
  </si>
  <si>
    <t>RPA's work helps the Department for Environment, Food and Rural Affairs to encourage a thriving farming and food sector and strong rural communities. It is the accredited paying agency for all CAP schemes in England.</t>
  </si>
  <si>
    <t>David Kennedy, Director General, 
Food, Farming, Animal and Plant Health</t>
  </si>
  <si>
    <t>Elizabeth Passey</t>
  </si>
  <si>
    <t>18 days per year</t>
  </si>
  <si>
    <t>School Teachers’ Review Body</t>
  </si>
  <si>
    <t>Independent Pay Review Body</t>
  </si>
  <si>
    <t>Ilona.Kokle@beis.gov.uk</t>
  </si>
  <si>
    <t>Stephen Baker</t>
  </si>
  <si>
    <t>Dr Patricia Rice</t>
  </si>
  <si>
    <t>Science Advisory Committee on the Medical Implications of Less-Lethal Weapons</t>
  </si>
  <si>
    <t>Provides independent advice to UK government departments and organisations on the biophysical, biomechanical, pathological and clinical aspects of less-lethal weapon systems.</t>
  </si>
  <si>
    <t xml:space="preserve">Air Vice Marshall Alastair Reid </t>
  </si>
  <si>
    <t>Science Advisory Council</t>
  </si>
  <si>
    <t>The SAC challenges and supports the Department’s Chief Scientific Adviser (CSA) in independently assuring and challenging the evidence underpinning Defra policies and ensuring that the evidence programme meets Defra’s needs.</t>
  </si>
  <si>
    <t>Dr Iain Williams, Deputy Chief Scientific Adviser</t>
  </si>
  <si>
    <t>Charles Godfray</t>
  </si>
  <si>
    <t>12 days per year</t>
  </si>
  <si>
    <t>Science Museum Group</t>
  </si>
  <si>
    <t>To care for, preserve and add to the objects in the collections, to ensure that objects are exhibited to the public and to promote the public’s enjoyment and understanding of science and technology.</t>
  </si>
  <si>
    <t>http://www.sciencemuseum.org.uk/about_us/smg.aspx</t>
  </si>
  <si>
    <t>Dame Mary Archer</t>
  </si>
  <si>
    <t>Two-three days a month of average but can vary month by month.</t>
  </si>
  <si>
    <t>Sea Fish Industry Authority</t>
  </si>
  <si>
    <t>Supports all sectors of the seafood industry for a sustainable, profitable future and aims to support and improve the environmental sustainability, efficiency, and cost-effectiveness of the industry, as well as promoting sustainably-sourced seafood. Seafish is funded by a levy on the first sale of seafood landed and imported in the UK.</t>
  </si>
  <si>
    <t>Neil Hornby, Director,
Marine and Fisheries</t>
  </si>
  <si>
    <t>Brian Young</t>
  </si>
  <si>
    <t>Security Industry Authority</t>
  </si>
  <si>
    <t>Regulator of the private security inductry</t>
  </si>
  <si>
    <t>elizabeth.france@sia.gov.uk</t>
  </si>
  <si>
    <t>Sue Young, Director, Public Protection   Elizabeth France CBE</t>
  </si>
  <si>
    <t>Elizabeth France</t>
  </si>
  <si>
    <t>Two and a half  days per week</t>
  </si>
  <si>
    <t xml:space="preserve">Capital funded by grant in aid. </t>
  </si>
  <si>
    <t>Security Vetting Appeals Panel</t>
  </si>
  <si>
    <t>To hear appeals against the refusal or withdrawal of security clearance and to make recommendations to the appropriate head of department.</t>
  </si>
  <si>
    <t>Tom Bramley</t>
  </si>
  <si>
    <t>Heather Hallet</t>
  </si>
  <si>
    <t>15-20 days per year</t>
  </si>
  <si>
    <t>All rail related costs are funded via licence fees and safety levy. Highways monitoring costs are funded via a DfT grant. We have a token vote of £3k from HM Treasury.</t>
  </si>
  <si>
    <t>Senior Salaries Review Body</t>
  </si>
  <si>
    <t>The Review Body on Senior Salaries provides independent advice to the Prime Minister, the Lord Chancellor and the Secretary of State for Defence on the remuneration of holders of judicial office, senior civil servants, senior officers of the armed forces, and other such public appointments as may from time to time be specified.</t>
  </si>
  <si>
    <t>Rupert McNeil, Chief People Officer</t>
  </si>
  <si>
    <t>Dr Martin Read</t>
  </si>
  <si>
    <t xml:space="preserve">The Secretariat is provided by the Office of Manpower Economics who are staffed from BEIS. OME produce a stewardship report every year which sets out staffing levels and staff expenditure. </t>
  </si>
  <si>
    <t>Sentencing Council for England and Wales</t>
  </si>
  <si>
    <t>The Sentencing Council for England and Wales promotes greater consistency in sentencing, whilst maintaining the independence of the judiciary. The Council produces guidelines on sentencing for the judiciary and aims to increase public understanding of sentencing.</t>
  </si>
  <si>
    <t>The Right Honourable Lord Justice Holroyde</t>
  </si>
  <si>
    <t>Approx. eight days per month</t>
  </si>
  <si>
    <t>Serious Fraud Office</t>
  </si>
  <si>
    <t xml:space="preserve">The Serious Fraud Office is an independent government department, operating under the superintendence of the Attorney General.  Its purpose is to protect society by investigating and, if appropriate, prosecuting those who commit serious or complex fraud, bribery and corruption and pursuing them and others for the proceeds of their crime.  It operates in line with its statutory purpose and policies.  </t>
  </si>
  <si>
    <t>Lisa Osofsky</t>
  </si>
  <si>
    <t>The underspend on Resource DEL was £1,676k, of this the outturn for ring fenced depreciation was £818k lower than the estimate while non-ring fenced DEL outturn was £858k or 2% of non-ring fenced expenditure. The underspend of £2,136k on AME was due to its unpredictable nature. It is very difficult to estimate spend within AME and in 2018-19 the anticipated requirement for cover for new provisions has not materialised.</t>
  </si>
  <si>
    <t>Single Financial Guidance Body</t>
  </si>
  <si>
    <t>Other please specify in Column H</t>
  </si>
  <si>
    <t xml:space="preserve">SFGB was set up under the Financial Guidance and Claims Act 2018 and became a legal entity on 1 October on 2018. It began performing its statutory functions on 1 January 2019, combining the functions of the three previous legacy organisations; The Pension Advisory Service, the Money Advice Service and Pension Wise. It is sometimes referred to as MaPS (Money and Pensions Service). </t>
  </si>
  <si>
    <t>SFGB has not yet produced its first set of annual reports and accounts under the new body (ie as MaPS - Money and Pension Service). 
Once these have been published, the body will be formally classified.</t>
  </si>
  <si>
    <t>contact@maps.org.uk</t>
  </si>
  <si>
    <t>https://singlefinancialguidancebody.org.uk/</t>
  </si>
  <si>
    <t>Sir Hector Sants</t>
  </si>
  <si>
    <t>As SFGB started performing its statutory duties on 1 January 2019, it has not yet produced its first set of annual reports and accounts therefore the financial information is not yet provided until these have first been published.</t>
  </si>
  <si>
    <t>Single Source Regulations Office</t>
  </si>
  <si>
    <t xml:space="preserve">The Single Source Regulations Office plays a key role in the regulation of single source ot non-competitive defence contracts.  In undertaing this statutory function it aims to ensure:  good value for money is obtained in government expenditure on qualifying defence contracts, and persons or parties to qualifying defence contracts are paid a fair and reasonable price under those contracts. </t>
  </si>
  <si>
    <t>Charly Wason, Head of SSAT</t>
  </si>
  <si>
    <t>George Jenkins OBE</t>
  </si>
  <si>
    <t>Sir John Soane's Museum</t>
  </si>
  <si>
    <t>This is the House, Museum and Collections of the architect Sir John Soane, who died in 1837. The Collections comprise works of art, paintings, books, manuscripts and architectural models and drawings.</t>
  </si>
  <si>
    <t>Helen Whitehouse</t>
  </si>
  <si>
    <t>Guy Elliott</t>
  </si>
  <si>
    <t>Two and a half days per month</t>
  </si>
  <si>
    <t>Small Business Commissioner</t>
  </si>
  <si>
    <t>The Office of the Small Business Commissioner ensures fair payment practices for Britain's small businesses, and supports them in resolving their payment disputes with larger businesses and bring about culture change.</t>
  </si>
  <si>
    <t>Rannia Leontaridi</t>
  </si>
  <si>
    <t xml:space="preserve">Paul Uppal </t>
  </si>
  <si>
    <t>42 hours per week</t>
  </si>
  <si>
    <t>Social Mobility Commission</t>
  </si>
  <si>
    <t>Producing an Annual Report on assessing progess in improving social mobility in the UK and promoting social mobility in England</t>
  </si>
  <si>
    <t>Robert Arnott, Director of Strategy, 
Social Mobility and Disadvantage</t>
  </si>
  <si>
    <t>Dame Martina Milburn</t>
  </si>
  <si>
    <t>Social Security Advisory Committee</t>
  </si>
  <si>
    <t>Provides advice to the Secretary of State on proposals for the amendment of secondary legislation and on general social security matters.</t>
  </si>
  <si>
    <t xml:space="preserve">ssac@ssac.gov.uk </t>
  </si>
  <si>
    <t>Sir Ian Diamond</t>
  </si>
  <si>
    <t xml:space="preserve">Minimum average time commitment of five days per month, including preparation for meetings. </t>
  </si>
  <si>
    <t>The Chair usually attracts a fee of £22,000 p/yr. Member fees are paid per day worked (to attend meetings and preparation time). Expenditure includes £225,000 for secretariat costs. Secretariat seconded from DWP</t>
  </si>
  <si>
    <t>Social Work England</t>
  </si>
  <si>
    <t>Regulator of Social Work in England</t>
  </si>
  <si>
    <t>Samantha Olsen</t>
  </si>
  <si>
    <t>Lord Patel</t>
  </si>
  <si>
    <t>Maximum 12 days per month</t>
  </si>
  <si>
    <t>Sport England</t>
  </si>
  <si>
    <t>Sport England wants everyone in England regardless of age, background, or level of ability to feel able to engage in sport and physical acitivity</t>
  </si>
  <si>
    <t>http://www.sportengland.org/</t>
  </si>
  <si>
    <t>Anna Deignan, Deputy Director</t>
  </si>
  <si>
    <t>Nick Bitel</t>
  </si>
  <si>
    <t>Two days per week in addition to chairing around seven board meetings each year, meetings typically run to half a day. Additional time will be required for preparatory work.</t>
  </si>
  <si>
    <t>Sports Grounds Safety Authority</t>
  </si>
  <si>
    <t>The Sports Grounds Safety Authority is the UK Government's advisor on safety at sports grounds.</t>
  </si>
  <si>
    <t>Alan Coppin</t>
  </si>
  <si>
    <t>The total time commitment is likely to be approximately four days per month on average.</t>
  </si>
  <si>
    <t>Standards and Testing Agency</t>
  </si>
  <si>
    <t>STA sets the tests to assess children in education from early years to the end of key stage 2.</t>
  </si>
  <si>
    <t>Una Bennett</t>
  </si>
  <si>
    <t>Student Loans Company Ltd</t>
  </si>
  <si>
    <t>provide loans and grants to students in universities and colleges in the UK.  Terms of reference : https://assets.publishing.service.gov.uk/government/uploads/system/uploads/attachment_data/file/790468/slc-framework-document.pdf</t>
  </si>
  <si>
    <t>Ben Connah - Head of Student Loans Company Sponsorship &amp; Strategy</t>
  </si>
  <si>
    <t>Chris Brodie</t>
  </si>
  <si>
    <t>Information collated from SLC 18/19 annual report. Ring Fenced and Non-Ring Fenced could not be split from source data.</t>
  </si>
  <si>
    <t>Submarine Delivery Agency</t>
  </si>
  <si>
    <t>SDA oversees the procurement, in-service support and disposal of the UK's nuclear submarine capability</t>
  </si>
  <si>
    <t xml:space="preserve">Nicole Kett, Director, Resources and Policy, Defence Nuclear Organisation </t>
  </si>
  <si>
    <t>Rob Holden</t>
  </si>
  <si>
    <t>£163,963 Direct Programme Costs (deemed cash); The following are non cash £10,429k communicated costs from other MOD Orgs; £125k Auditors Remuneration; The following is AME £905k Provision</t>
  </si>
  <si>
    <t>Tate</t>
  </si>
  <si>
    <t>To increase the public’s understanding and enjoyment of British art from the 16th century to the present day and of international modern and contemporary art.</t>
  </si>
  <si>
    <t>http://www.tate.org.uk/</t>
  </si>
  <si>
    <t>Lionel Barber</t>
  </si>
  <si>
    <t>Technical Advisory Board (for the Regulation of Investigatory Powers Act 2000), with the exception of Agency Members</t>
  </si>
  <si>
    <t>The Technical Advisory Board (TAB) is a non-departmental public body whose members are appointed by the Secretary of State under the Investigatory Powers Act 2016 (IP Act). The IP Act allows the Government to place an obligation on a telecommunications operators to maintain technical capabilities for the interception of communications, equipment interference, and communications data, as well as to give data retention and national security notices. The purpose of these various capabilities is to ensure that companies can be required to retain data, support national security objectives, and when a warrant is served, give effect to it securely and quickly. There is a process in the Act by which an operator may seek a review by the Secretary of State of such a notice and as part of such a review, the Secretary of State must consult the TAB as to those matters. The TAB considers the reasonableness of obligations imposed by a notice on cost and technical feasibility grounds.</t>
  </si>
  <si>
    <t>Head of Unit, IPU, Office of Security and Counter Terrorism, Home Office</t>
  </si>
  <si>
    <t>Jonathan Hoyle</t>
  </si>
  <si>
    <t>To date, the TAB has never been required to fulfil its statutory role under either framework. This reflects the fact that domestic telecommunications operators are broadly compliant, the close consultation between the Home Office and a company before an obligation is imposed, and the financial reimbursement arrangements in place. The TAB met on a general basis in May 2018, but meetings are infrequent and the chair's time comittment is very low.</t>
  </si>
  <si>
    <t>TAB has no budget. Any costs incurred (e.g recruitment campaigns) are funded by sponsor unit (OSCT-IPU)</t>
  </si>
  <si>
    <t>The Advisory Council on National Records and Archives</t>
  </si>
  <si>
    <t>The Advisory Council on National Records and Archives is an independent body. It advises the Secretary of State for Digital, Culture, Media and Sport on issues relating to access to public records and represents the public interest in deciding what records should be open or closed.</t>
  </si>
  <si>
    <t>Sir Terence Etherton, Master of the Rolls</t>
  </si>
  <si>
    <t>Judicial Appointment</t>
  </si>
  <si>
    <t xml:space="preserve">20 days per year </t>
  </si>
  <si>
    <t>The Housing Ombudsman</t>
  </si>
  <si>
    <t>Administers the Housing Ombudsman Scheme and enables tenants and other individuals to have complaints about member landlords investigated in accordance with the Scheme approved by the Secretary of State</t>
  </si>
  <si>
    <t xml:space="preserve">https://www.housing-ombudsman.org.uk/
</t>
  </si>
  <si>
    <t>Josh Goodman</t>
  </si>
  <si>
    <t>The Teaching Regulation Agency (TRA)</t>
  </si>
  <si>
    <t>The TRA take disciplinary action against teaching professionals, and act as the Competent Authority for teaching in England.</t>
  </si>
  <si>
    <t>Please contact via website</t>
  </si>
  <si>
    <t>Sarah Lewis</t>
  </si>
  <si>
    <t>Theatres Trust</t>
  </si>
  <si>
    <t>The Trust was established to promote the protection of theatres for the benefit of the nation. It is also a statutory consultee in the Planning system. Its remit covers England, Scotland and Wales.</t>
  </si>
  <si>
    <t>Cecilia Rossler</t>
  </si>
  <si>
    <t>Tim Eyles</t>
  </si>
  <si>
    <t>4 Council Meetings and an optional four Executive Committee Meetings per year, a presence at the Annual Conference, the annual Theatre Buildings At Risk Register announcement.</t>
  </si>
  <si>
    <t>Parliamentary and Health Service Ombudsman &amp; Scottish Public Services Ombudsman</t>
  </si>
  <si>
    <t>Traffic Commissioners for Great Britain</t>
  </si>
  <si>
    <t>The eight Traffic Commissioners are appointed by the Secretary of State for Transport and have responsibility for: the licensing of the operators of heavy goods vehicles (HGVs) and of buses and coaches; the registration of local bus services and taking action against drivers of HGVs and (PSVs) public service vehicles in certain circumstances.</t>
  </si>
  <si>
    <t>Richard Turfitt</t>
  </si>
  <si>
    <t>Transport Focus</t>
  </si>
  <si>
    <t>Transport Focus (officially the Passengers’ Council) is the independent transport user watchdog, whose mission is to get the best deal for passengers and road users. Transport Focus represents rail passengers in England, Scotland and Wales, bus and tram passengers in England (outside London) passengers on scheduled domestic coach services, and users of the strategic road network in England.</t>
  </si>
  <si>
    <t>Jeff Halliwell</t>
  </si>
  <si>
    <t>Treasure Valuation Committee</t>
  </si>
  <si>
    <t>To recommend to the Secretary of State valuations for the items brought before it and to provide advice to the Secretary of State in cases where there is grounds for dispute (Treasure Act 1996 Code of Practice, para. 65-85).</t>
  </si>
  <si>
    <t>http://finds.org.uk/treasure</t>
  </si>
  <si>
    <t>Lord Renfrew of Kaimsthorn</t>
  </si>
  <si>
    <t>Tribunal Procedure Committee</t>
  </si>
  <si>
    <t xml:space="preserve">The Tribunal Procedure Committee makes rules governing the practice and procedure in the First-tier Tribunal and the Upper Tribunal. 
</t>
  </si>
  <si>
    <t>Vijay Parkash - Ministry Of Justice</t>
  </si>
  <si>
    <t>Mr Justice Peter Roth</t>
  </si>
  <si>
    <t>Chairs nine committee meeting per year</t>
  </si>
  <si>
    <t>Trinity House</t>
  </si>
  <si>
    <t>Trinity House has powers and responsibilities in connection with the provision, maintenance, alteration, inspection and control of lighthouses, buoys and beacons for England and Wales, the Channel Islands, and at Gibraltar. Trinity House carries out a number of Maritime Charitable activities which are outside of its statutory functions.</t>
  </si>
  <si>
    <t>Captain Ian McNaught</t>
  </si>
  <si>
    <t>UK Atomic Energy Authority</t>
  </si>
  <si>
    <t>UKAEA researches fusion energy and related technologies, with the aim of positioning the UK as a leader in sustainable nuclear energy.</t>
  </si>
  <si>
    <t>David Gann</t>
  </si>
  <si>
    <t>UK Debt Management Office</t>
  </si>
  <si>
    <t>The DMO's main role is to carry out the Government's debt management policy of minimising financing costs over the long term, taking account of risk, and to minimise the cost of offsetting the Government's net cash flows over time, while operating in a risk appetite approved by Ministers in both cases.</t>
  </si>
  <si>
    <t>pressofficer@dmo.gov.uk</t>
  </si>
  <si>
    <t>http://www.dmo.gov.uk/</t>
  </si>
  <si>
    <t>Tom Scholar, Permanent Secretary, HM Treasury</t>
  </si>
  <si>
    <t>UK Hydrographic Office</t>
  </si>
  <si>
    <t>To meet national, Defence and civil requirements for marine geospatial, navigational and other hydrographic information, products and services in the most efficient manner.</t>
  </si>
  <si>
    <t>Adam Singer</t>
  </si>
  <si>
    <t>UK Research and Innovation</t>
  </si>
  <si>
    <t>UKRI works in partnership with universities, research organisations, businesses, charities and government to create the best possible environment for research and innovation to flourish</t>
  </si>
  <si>
    <t>Sir John Kingman</t>
  </si>
  <si>
    <t xml:space="preserve">One day per week </t>
  </si>
  <si>
    <t>UK Space Agency</t>
  </si>
  <si>
    <t>UKSA is responsible for all strategic decisions on the UK civil space programme and provides a clear, single voice for UK space ambitions.</t>
  </si>
  <si>
    <t>Dr Sally Howes</t>
  </si>
  <si>
    <t>24 days per year</t>
  </si>
  <si>
    <t>UK Sports Council</t>
  </si>
  <si>
    <t>UK Sport is responsible for working in partnership with the home country sports councils and other agencies to lead the UK to world class success in Olympic and Paralympic sports and secure hosting sporting events in the UK.</t>
  </si>
  <si>
    <t>http://www.uksport.gov.uk/</t>
  </si>
  <si>
    <t>Anna Deignan</t>
  </si>
  <si>
    <t>Dame Katherine Grainger</t>
  </si>
  <si>
    <t>UK Statistics Authority</t>
  </si>
  <si>
    <t>The UK Statistics Authority is an independent body at arm’s length from Government, which reports directly to the UK Parliament, the Scottish Parliament, the National Assembly for Wales and the Northern Ireland Assembly.  The Authority undertakes the statutory objective of “promoting and safeguarding the production and publication of official statistics that serve the public good”.</t>
  </si>
  <si>
    <t>The increase of staff is a result of the build up of Census related resources, this will increase again during 2019/20 during the rehearsal period and dramatically increase during the Census delivery period which spans two financial years.</t>
  </si>
  <si>
    <t>John Pullinger CB Stat, National Statistician</t>
  </si>
  <si>
    <t xml:space="preserve">Sir David Norgrove </t>
  </si>
  <si>
    <t>Full Time</t>
  </si>
  <si>
    <t>Supreme Court of the United Kingdom</t>
  </si>
  <si>
    <t xml:space="preserve">The Court hears appeals of significant public importance and is the highest court of the UK </t>
  </si>
  <si>
    <t xml:space="preserve">Mark Ormerod </t>
  </si>
  <si>
    <t>United Kingdom Anti-Doping Ltd</t>
  </si>
  <si>
    <t>UK Anti-Doping is the national organisation dedicated to helping athletes to understand and follow the rules of anti-doping.</t>
  </si>
  <si>
    <t>https://www.ukad.org.uk/</t>
  </si>
  <si>
    <t>Trevor Pearce</t>
  </si>
  <si>
    <t xml:space="preserve">Two or three days per week </t>
  </si>
  <si>
    <t>Valuation Office Agency</t>
  </si>
  <si>
    <t>Valuation Tribunal for England</t>
  </si>
  <si>
    <t xml:space="preserve">The VTE is the judicial arm of the Valuation Tribunal. </t>
  </si>
  <si>
    <t xml:space="preserve">Alex Skinner, Director of Local Government Finance 
</t>
  </si>
  <si>
    <t xml:space="preserve">Gary Garland (Not chair, but president of the VTE)
</t>
  </si>
  <si>
    <t>£65,000-£69,000</t>
  </si>
  <si>
    <t>No income</t>
  </si>
  <si>
    <t>Valuation Tribunal Service</t>
  </si>
  <si>
    <t>To act as the administrative function of the Valuation Tribunal for England which hears appeals against council tax and business rate valuations.</t>
  </si>
  <si>
    <t>Alex Skinner, Director of Local Government Finance </t>
  </si>
  <si>
    <t>Robin Evans</t>
  </si>
  <si>
    <t>RDEL includes the cost of sales (£1,856,000) plus overhead (£10,649,000) plus dividend (£1,900,00)</t>
  </si>
  <si>
    <t>Vehicle Certification Agency</t>
  </si>
  <si>
    <t>The Vehicle Certification Agency (VCA) is an Executive Agency of the Department for Transport (DfT). The VCA delivers its responsibilities to the Secretary of State for Transport as the UK Type Approval Authority for new on and off-road vehicles, systems and components.</t>
  </si>
  <si>
    <t>Clive Scrivener</t>
  </si>
  <si>
    <t>Veterans Advisory and Pensions Committees</t>
  </si>
  <si>
    <t>Veterans Advisory and Pensions Committees (VAPC) play a central role in promoting the interests and welfare of veterans by: raising awareness of schemes administered by DBS Veterans UK; welfare pathways; advising and signposting veterans; and providing a consultative body able to engage with the MOD.</t>
  </si>
  <si>
    <t xml:space="preserve">Andy Dowds, DBS Vets-Head </t>
  </si>
  <si>
    <t>Minimum five days per year</t>
  </si>
  <si>
    <t>Veterinary Medicines Directorate</t>
  </si>
  <si>
    <t>To protect public health, animal health, the environment, and to promote animal welfare by assuring the safety, quality, and efficacy of veterinary medicines.</t>
  </si>
  <si>
    <t>Julia Drown</t>
  </si>
  <si>
    <t>Four days per year</t>
  </si>
  <si>
    <t>Veterinary Products Committee</t>
  </si>
  <si>
    <t>Advises the Secretary of State on veterinary medicines, animal feed additives, and promotes the collection of information relating to suspected adverse reactions to veterinary medicines. It considers representations by market authorisation holders and applicants in relation to granting, refusal or revocation of a marketing authorisation or animal test certificate.</t>
  </si>
  <si>
    <t>Paul Green, Director of Operations
, VMD</t>
  </si>
  <si>
    <t>Prof Malcolm Bennett</t>
  </si>
  <si>
    <t>Victoria and Albert Museum</t>
  </si>
  <si>
    <t>As the world’s leading museum of art and design, the V&amp;A enriches people’s lives by promoting the practice of design and increasing knowledge, and an understanding and enjoyment of the designed world.</t>
  </si>
  <si>
    <t>http://www.vam.ac.uk/</t>
  </si>
  <si>
    <t>Helen Whitehouse, Deputy Director, Museums</t>
  </si>
  <si>
    <t>Nicholas Coleridge CBE</t>
  </si>
  <si>
    <t>The total time commitment is likely to be not less than one day per month.</t>
  </si>
  <si>
    <t>VisitBritain</t>
  </si>
  <si>
    <t>VisitBritain is the national tourism agency responsible for marketing Britain worldwide and developing Britain's visitor economy. VisitBritain works with partners in the UK and overseas to ensure Britain is marketed in an inspirational and relevant way around the world.</t>
  </si>
  <si>
    <t>https://www.visitbritain.org/feedback-form</t>
  </si>
  <si>
    <t>Sally Balcombe</t>
  </si>
  <si>
    <t>Steve Ridgway CBE</t>
  </si>
  <si>
    <t>VisitEngland</t>
  </si>
  <si>
    <t>VisitEngland is the national tourist board for England. It is responsible for marketing England to domestic markets and for improving England's tourism product.</t>
  </si>
  <si>
    <t>Denis Wormwell</t>
  </si>
  <si>
    <t xml:space="preserve">Maximum 4 days per month </t>
  </si>
  <si>
    <t>Wallace Collection</t>
  </si>
  <si>
    <t>To maintain and display the collection bequeathed to the nation by Lady Wallace and interpret it for the public.</t>
  </si>
  <si>
    <t>http://www.wallacecollection.org/</t>
  </si>
  <si>
    <t>António Horta-Osório</t>
  </si>
  <si>
    <t>One or two days per month</t>
  </si>
  <si>
    <t>Westminster Foundation for Democracy</t>
  </si>
  <si>
    <t>WFD strengthens democracy globally, through a grant in aid from the FCO.</t>
  </si>
  <si>
    <t>James Kariuki, Director MPD</t>
  </si>
  <si>
    <t>Richard Graham MP</t>
  </si>
  <si>
    <t>Board meets approximately 4 times per year</t>
  </si>
  <si>
    <t>Wilton Park</t>
  </si>
  <si>
    <t>Convening discreet dialogues on strategic foreign policy issues.</t>
  </si>
  <si>
    <t xml:space="preserve">Helen Bower-Eastton </t>
  </si>
  <si>
    <t>Gisela Stuart</t>
  </si>
  <si>
    <t>Four to five  days per month</t>
  </si>
  <si>
    <t>Youth Justice Board for England and Wales</t>
  </si>
  <si>
    <t>The Youth Justice Board oversees the youth justice system in England and Wales. The YJB work to prevent offending and reoffending by children and young people under the age of 18, ensures that custody for them is safe, secure, and addresses the causes of their offending behaviour.</t>
  </si>
  <si>
    <t>Charlie Taylor</t>
  </si>
  <si>
    <t>Our net expenditure of £86m in 2018/19 represents a decrease of £40.6m (32.1%) compared to 2017/18. This is primarily because of the change in secure estate accountability for functions which moved to Her Majesty’s Prison and Probation Service (HMPPS). Our expenditure included grants of £71.6m (83.4% of total net expenditure) paid to YOTs across England and Wales, which was the same as in 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</si>
</sst>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quot;£&quot;#,##0"/>
    <numFmt numFmtId="166" formatCode="[$£-809]#,##0"/>
    <numFmt numFmtId="167" formatCode="&quot;£&quot;#,##0&quot; thousand&quot;;[Red]\-&quot;£&quot;#,##0&quot; thousand&quot;"/>
    <numFmt numFmtId="168" formatCode="&quot;£&quot;#,##0;[Red]\-&quot;£&quot;#,##0"/>
  </numFmts>
  <fonts count="16">
    <font>
      <sz val="10"/>
      <color rgb="FF000000"/>
      <name val="Arial"/>
    </font>
    <font>
      <b/>
      <sz val="12"/>
      <color theme="1"/>
      <name val="Calibri"/>
    </font>
    <font>
      <b/>
      <sz val="12"/>
      <color rgb="FF000000"/>
      <name val="Calibri"/>
    </font>
    <font>
      <sz val="10"/>
      <name val="Arial"/>
    </font>
    <font>
      <sz val="12"/>
      <color theme="1"/>
      <name val="Calibri"/>
    </font>
    <font>
      <sz val="12"/>
      <color rgb="FF000000"/>
      <name val="Calibri"/>
    </font>
    <font>
      <u/>
      <sz val="12"/>
      <color theme="1"/>
      <name val="Calibri"/>
    </font>
    <font>
      <u/>
      <sz val="12"/>
      <color theme="1"/>
      <name val="Calibri"/>
    </font>
    <font>
      <u/>
      <sz val="12"/>
      <color rgb="FF000000"/>
      <name val="Calibri"/>
    </font>
    <font>
      <u/>
      <sz val="12"/>
      <color theme="1"/>
      <name val="Calibri"/>
    </font>
    <font>
      <u/>
      <sz val="12"/>
      <color theme="1"/>
      <name val="Calibri"/>
    </font>
    <font>
      <sz val="12"/>
      <color rgb="FF0B0C0C"/>
      <name val="Calibri"/>
    </font>
    <font>
      <sz val="10"/>
      <color rgb="FF000000"/>
      <name val="Roboto"/>
    </font>
    <font>
      <sz val="12"/>
      <color rgb="FF0B0C0C"/>
      <name val="Arial"/>
    </font>
    <font>
      <b/>
      <sz val="14"/>
      <color rgb="FF000000"/>
      <name val="Calibri"/>
    </font>
    <font>
      <b/>
      <sz val="14"/>
      <color theme="1"/>
      <name val="Calibri"/>
    </font>
  </fonts>
  <fills count="3">
    <fill>
      <patternFill patternType="none"/>
    </fill>
    <fill>
      <patternFill patternType="gray125"/>
    </fill>
    <fill>
      <patternFill patternType="solid">
        <fgColor rgb="FFFFFFFF"/>
        <bgColor rgb="FFFFFFFF"/>
      </patternFill>
    </fill>
  </fills>
  <borders count="5">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66">
    <xf numFmtId="0" fontId="0" fillId="0" borderId="0" xfId="0" applyFont="1" applyAlignment="1"/>
    <xf numFmtId="0" fontId="1" fillId="2" borderId="1" xfId="0" applyFont="1" applyFill="1" applyBorder="1" applyAlignment="1">
      <alignment horizontal="left" vertical="top" wrapText="1"/>
    </xf>
    <xf numFmtId="164" fontId="1" fillId="2" borderId="1" xfId="0" applyNumberFormat="1" applyFont="1" applyFill="1" applyBorder="1" applyAlignment="1">
      <alignment horizontal="left" vertical="top" wrapText="1"/>
    </xf>
    <xf numFmtId="165" fontId="1" fillId="2" borderId="1" xfId="0" applyNumberFormat="1" applyFont="1" applyFill="1" applyBorder="1" applyAlignment="1">
      <alignment horizontal="left" vertical="top" wrapText="1"/>
    </xf>
    <xf numFmtId="166" fontId="1" fillId="2" borderId="1" xfId="0" applyNumberFormat="1" applyFont="1" applyFill="1" applyBorder="1" applyAlignment="1">
      <alignment horizontal="left" vertical="top" wrapText="1"/>
    </xf>
    <xf numFmtId="2" fontId="1" fillId="2" borderId="1"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0" fontId="4" fillId="0" borderId="0" xfId="0" applyFont="1" applyAlignment="1">
      <alignment horizontal="left" vertical="top" wrapText="1"/>
    </xf>
    <xf numFmtId="0" fontId="2" fillId="2" borderId="1" xfId="0" applyFont="1" applyFill="1" applyBorder="1" applyAlignment="1">
      <alignment horizontal="left" vertical="top" wrapText="1"/>
    </xf>
    <xf numFmtId="165" fontId="2" fillId="2" borderId="1" xfId="0" applyNumberFormat="1" applyFont="1" applyFill="1" applyBorder="1" applyAlignment="1">
      <alignment horizontal="left" vertical="top" wrapText="1"/>
    </xf>
    <xf numFmtId="167" fontId="2" fillId="2" borderId="1" xfId="0" applyNumberFormat="1" applyFont="1" applyFill="1" applyBorder="1" applyAlignment="1">
      <alignment horizontal="left" vertical="top" wrapText="1"/>
    </xf>
    <xf numFmtId="167" fontId="1" fillId="2" borderId="1" xfId="0" applyNumberFormat="1" applyFont="1" applyFill="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165" fontId="4" fillId="0" borderId="0" xfId="0" applyNumberFormat="1" applyFont="1" applyAlignment="1">
      <alignment horizontal="left" vertical="top" wrapText="1"/>
    </xf>
    <xf numFmtId="166" fontId="4" fillId="0" borderId="0" xfId="0" applyNumberFormat="1" applyFont="1" applyAlignment="1">
      <alignment horizontal="left" vertical="top" wrapText="1"/>
    </xf>
    <xf numFmtId="165" fontId="5" fillId="0" borderId="0" xfId="0" applyNumberFormat="1" applyFont="1" applyAlignment="1">
      <alignment horizontal="left" vertical="top" wrapText="1"/>
    </xf>
    <xf numFmtId="3" fontId="5" fillId="0" borderId="0" xfId="0" applyNumberFormat="1" applyFont="1" applyAlignment="1">
      <alignment horizontal="center" vertical="top" wrapText="1"/>
    </xf>
    <xf numFmtId="1" fontId="4" fillId="0" borderId="0" xfId="0" applyNumberFormat="1" applyFont="1" applyAlignment="1">
      <alignment horizontal="center" vertical="top" wrapText="1"/>
    </xf>
    <xf numFmtId="0" fontId="1" fillId="0" borderId="0" xfId="0" applyFont="1" applyAlignment="1">
      <alignment horizontal="left" vertical="top" wrapText="1"/>
    </xf>
    <xf numFmtId="0" fontId="0" fillId="2" borderId="1" xfId="0" applyFont="1" applyFill="1" applyBorder="1" applyAlignment="1">
      <alignment vertical="top" wrapText="1"/>
    </xf>
    <xf numFmtId="2" fontId="4" fillId="0" borderId="0" xfId="0" applyNumberFormat="1" applyFont="1" applyAlignment="1">
      <alignment horizontal="left" vertical="top" wrapText="1"/>
    </xf>
    <xf numFmtId="168" fontId="4" fillId="0" borderId="0" xfId="0" applyNumberFormat="1" applyFont="1" applyAlignment="1">
      <alignment horizontal="left" vertical="top" wrapText="1"/>
    </xf>
    <xf numFmtId="1" fontId="5" fillId="0" borderId="0" xfId="0" applyNumberFormat="1" applyFont="1" applyAlignment="1">
      <alignment horizontal="center" vertical="top" wrapText="1"/>
    </xf>
    <xf numFmtId="164" fontId="4" fillId="0" borderId="0" xfId="0" applyNumberFormat="1" applyFont="1" applyAlignment="1">
      <alignment horizontal="left" vertical="top" wrapText="1"/>
    </xf>
    <xf numFmtId="3" fontId="5" fillId="0" borderId="0" xfId="0" applyNumberFormat="1" applyFont="1" applyAlignment="1">
      <alignment horizontal="left" vertical="top" wrapText="1"/>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49" fontId="4" fillId="0" borderId="0" xfId="0" applyNumberFormat="1" applyFont="1" applyAlignment="1">
      <alignment horizontal="left" vertical="top" wrapText="1"/>
    </xf>
    <xf numFmtId="0" fontId="8" fillId="0" borderId="0" xfId="0" applyFont="1" applyAlignment="1">
      <alignment horizontal="left" vertical="top" wrapText="1"/>
    </xf>
    <xf numFmtId="4" fontId="5" fillId="0" borderId="0" xfId="0" applyNumberFormat="1" applyFont="1" applyAlignment="1">
      <alignment horizontal="left" vertical="top" wrapText="1"/>
    </xf>
    <xf numFmtId="0" fontId="4" fillId="0" borderId="0" xfId="0" applyFont="1" applyAlignment="1">
      <alignment horizontal="center" vertical="top" wrapText="1"/>
    </xf>
    <xf numFmtId="3" fontId="5" fillId="2" borderId="1" xfId="0" applyNumberFormat="1" applyFont="1" applyFill="1" applyBorder="1" applyAlignment="1">
      <alignment horizontal="center" vertical="top" wrapText="1"/>
    </xf>
    <xf numFmtId="2" fontId="5" fillId="0" borderId="0" xfId="0" applyNumberFormat="1" applyFont="1" applyAlignment="1">
      <alignment horizontal="left" vertical="top" wrapText="1"/>
    </xf>
    <xf numFmtId="0" fontId="4" fillId="0" borderId="0" xfId="0" quotePrefix="1" applyFont="1" applyAlignment="1">
      <alignment horizontal="left" vertical="top" wrapText="1"/>
    </xf>
    <xf numFmtId="167" fontId="4" fillId="0" borderId="0" xfId="0" applyNumberFormat="1" applyFont="1" applyAlignment="1">
      <alignment horizontal="left" vertical="top" wrapText="1"/>
    </xf>
    <xf numFmtId="165" fontId="4" fillId="2" borderId="1" xfId="0" applyNumberFormat="1" applyFont="1" applyFill="1" applyBorder="1" applyAlignment="1">
      <alignment horizontal="left" vertical="top" wrapText="1"/>
    </xf>
    <xf numFmtId="0" fontId="5" fillId="2" borderId="1" xfId="0" applyFont="1" applyFill="1" applyBorder="1" applyAlignment="1">
      <alignment vertical="top" wrapText="1"/>
    </xf>
    <xf numFmtId="3" fontId="4" fillId="0" borderId="0" xfId="0" applyNumberFormat="1" applyFont="1" applyAlignment="1">
      <alignment horizontal="left" vertical="top" wrapText="1"/>
    </xf>
    <xf numFmtId="0" fontId="9" fillId="0" borderId="0" xfId="0" applyFont="1" applyAlignment="1">
      <alignment vertical="top" wrapText="1"/>
    </xf>
    <xf numFmtId="0" fontId="2" fillId="0" borderId="0" xfId="0" applyFont="1" applyAlignment="1">
      <alignment horizontal="left" vertical="top" wrapText="1"/>
    </xf>
    <xf numFmtId="0" fontId="5" fillId="0" borderId="0" xfId="0" applyFont="1" applyAlignment="1">
      <alignment horizontal="left" vertical="top" wrapText="1"/>
    </xf>
    <xf numFmtId="165" fontId="10" fillId="0" borderId="0" xfId="0" applyNumberFormat="1" applyFont="1" applyAlignment="1">
      <alignment horizontal="left" vertical="top" wrapText="1"/>
    </xf>
    <xf numFmtId="165" fontId="5" fillId="2" borderId="1" xfId="0" applyNumberFormat="1" applyFont="1" applyFill="1" applyBorder="1" applyAlignment="1">
      <alignment horizontal="left" vertical="top" wrapText="1"/>
    </xf>
    <xf numFmtId="0" fontId="11" fillId="2" borderId="1" xfId="0" applyFont="1" applyFill="1" applyBorder="1" applyAlignment="1">
      <alignment vertical="top"/>
    </xf>
    <xf numFmtId="0" fontId="4" fillId="0" borderId="0" xfId="0" applyFont="1" applyAlignment="1">
      <alignment horizontal="left" vertical="top"/>
    </xf>
    <xf numFmtId="17" fontId="4" fillId="0" borderId="0" xfId="0" applyNumberFormat="1" applyFont="1" applyAlignment="1">
      <alignment horizontal="left" vertical="top" wrapText="1"/>
    </xf>
    <xf numFmtId="10" fontId="1" fillId="0" borderId="0" xfId="0" applyNumberFormat="1" applyFont="1" applyAlignment="1">
      <alignment horizontal="left" vertical="top" wrapText="1"/>
    </xf>
    <xf numFmtId="0" fontId="12" fillId="2" borderId="1" xfId="0" applyFont="1" applyFill="1" applyBorder="1" applyAlignment="1">
      <alignment wrapText="1"/>
    </xf>
    <xf numFmtId="0" fontId="13" fillId="0" borderId="0" xfId="0" applyFont="1" applyAlignment="1">
      <alignment horizontal="left" vertical="top" wrapText="1"/>
    </xf>
    <xf numFmtId="165" fontId="4" fillId="0" borderId="0" xfId="0" quotePrefix="1" applyNumberFormat="1" applyFont="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wrapText="1"/>
    </xf>
    <xf numFmtId="0" fontId="11" fillId="0" borderId="0" xfId="0" applyFont="1" applyAlignment="1">
      <alignment horizontal="left" vertical="top" wrapText="1"/>
    </xf>
    <xf numFmtId="0" fontId="11" fillId="2" borderId="1" xfId="0" applyFont="1" applyFill="1" applyBorder="1" applyAlignment="1">
      <alignment vertical="top"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3" fontId="15"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5" fillId="2" borderId="1" xfId="0" applyFont="1" applyFill="1" applyBorder="1" applyAlignment="1">
      <alignment horizontal="left" vertical="top"/>
    </xf>
    <xf numFmtId="0" fontId="4" fillId="2" borderId="1" xfId="0" applyFont="1" applyFill="1" applyBorder="1" applyAlignment="1">
      <alignment horizontal="left" vertical="top"/>
    </xf>
    <xf numFmtId="167" fontId="2" fillId="2" borderId="2" xfId="0" applyNumberFormat="1" applyFont="1" applyFill="1" applyBorder="1" applyAlignment="1">
      <alignment horizontal="center" vertical="top" wrapText="1"/>
    </xf>
    <xf numFmtId="0" fontId="3" fillId="0" borderId="3" xfId="0" applyFont="1" applyBorder="1"/>
    <xf numFmtId="0" fontId="3" fillId="0" borderId="4" xfId="0" applyFont="1" applyBorder="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gov.uk/government/organisations/homes-england" TargetMode="External"/><Relationship Id="rId21" Type="http://schemas.openxmlformats.org/officeDocument/2006/relationships/hyperlink" Target="https://www.gov.uk/government/organisations/government-internal-audit-agency" TargetMode="External"/><Relationship Id="rId34" Type="http://schemas.openxmlformats.org/officeDocument/2006/relationships/hyperlink" Target="mailto:anne.miller@beis.gov.uk" TargetMode="External"/><Relationship Id="rId42" Type="http://schemas.openxmlformats.org/officeDocument/2006/relationships/hyperlink" Target="https://www.gov.uk/government/organisations/nuclear-research-advisory-council" TargetMode="External"/><Relationship Id="rId47" Type="http://schemas.openxmlformats.org/officeDocument/2006/relationships/hyperlink" Target="mailto:enquiries@pensions-ombudsman.org.uk" TargetMode="External"/><Relationship Id="rId50" Type="http://schemas.openxmlformats.org/officeDocument/2006/relationships/hyperlink" Target="mailto:kevin.clancy@royalmintmuseum.org.uk" TargetMode="External"/><Relationship Id="rId55" Type="http://schemas.openxmlformats.org/officeDocument/2006/relationships/hyperlink" Target="https://singlefinancialguidancebody.org.uk/" TargetMode="External"/><Relationship Id="rId63" Type="http://schemas.openxmlformats.org/officeDocument/2006/relationships/hyperlink" Target="http://www.uksport.gov.uk/" TargetMode="External"/><Relationship Id="rId7" Type="http://schemas.openxmlformats.org/officeDocument/2006/relationships/hyperlink" Target="mailto:contact@boundarycommission.org.uk" TargetMode="External"/><Relationship Id="rId2" Type="http://schemas.openxmlformats.org/officeDocument/2006/relationships/hyperlink" Target="mailto:tracy.sexton743@mod.gov.uk" TargetMode="External"/><Relationship Id="rId16" Type="http://schemas.openxmlformats.org/officeDocument/2006/relationships/hyperlink" Target="mailto:dor.enquiries@dft.gsi.gov.uk" TargetMode="External"/><Relationship Id="rId29" Type="http://schemas.openxmlformats.org/officeDocument/2006/relationships/hyperlink" Target="http://www.iwm.org.uk/" TargetMode="External"/><Relationship Id="rId11" Type="http://schemas.openxmlformats.org/officeDocument/2006/relationships/hyperlink" Target="https://www.bl.uk/" TargetMode="External"/><Relationship Id="rId24" Type="http://schemas.openxmlformats.org/officeDocument/2006/relationships/hyperlink" Target="https://www.gov.uk/government/organisations/hm-revenue-customs" TargetMode="External"/><Relationship Id="rId32" Type="http://schemas.openxmlformats.org/officeDocument/2006/relationships/hyperlink" Target="http://www.ico.org.uk/" TargetMode="External"/><Relationship Id="rId37" Type="http://schemas.openxmlformats.org/officeDocument/2006/relationships/hyperlink" Target="http://www.liverpoolmuseums.org.uk/" TargetMode="External"/><Relationship Id="rId40" Type="http://schemas.openxmlformats.org/officeDocument/2006/relationships/hyperlink" Target="mailto:info@nihrc.org" TargetMode="External"/><Relationship Id="rId45" Type="http://schemas.openxmlformats.org/officeDocument/2006/relationships/hyperlink" Target="mailto:info@paradescommissionni.org" TargetMode="External"/><Relationship Id="rId53" Type="http://schemas.openxmlformats.org/officeDocument/2006/relationships/hyperlink" Target="mailto:elizabeth.france@sia.gov.uk" TargetMode="External"/><Relationship Id="rId58" Type="http://schemas.openxmlformats.org/officeDocument/2006/relationships/hyperlink" Target="http://www.tate.org.uk/" TargetMode="External"/><Relationship Id="rId66" Type="http://schemas.openxmlformats.org/officeDocument/2006/relationships/hyperlink" Target="https://www.visitbritain.org/feedback-form" TargetMode="External"/><Relationship Id="rId5" Type="http://schemas.openxmlformats.org/officeDocument/2006/relationships/hyperlink" Target="https://www.gov.uk/government/organisations/armed-forces-pay-review-body" TargetMode="External"/><Relationship Id="rId61" Type="http://schemas.openxmlformats.org/officeDocument/2006/relationships/hyperlink" Target="mailto:pressofficer@dmo.gov.uk" TargetMode="External"/><Relationship Id="rId19" Type="http://schemas.openxmlformats.org/officeDocument/2006/relationships/hyperlink" Target="http://www.gamblingcommission.gov.uk/" TargetMode="External"/><Relationship Id="rId14" Type="http://schemas.openxmlformats.org/officeDocument/2006/relationships/hyperlink" Target="https://www.gov.uk/government/organisations/criminal-injuries-compensation-authority" TargetMode="External"/><Relationship Id="rId22" Type="http://schemas.openxmlformats.org/officeDocument/2006/relationships/hyperlink" Target="https://www.gov.uk/government/organisations/hm-courts-and-tribunals-service" TargetMode="External"/><Relationship Id="rId27" Type="http://schemas.openxmlformats.org/officeDocument/2006/relationships/hyperlink" Target="http://www.horniman.ac.uk/" TargetMode="External"/><Relationship Id="rId30" Type="http://schemas.openxmlformats.org/officeDocument/2006/relationships/hyperlink" Target="mailto:enquiries@policeconduct.gov.uk" TargetMode="External"/><Relationship Id="rId35" Type="http://schemas.openxmlformats.org/officeDocument/2006/relationships/hyperlink" Target="http://www.nationalgallery.org.uk/" TargetMode="External"/><Relationship Id="rId43" Type="http://schemas.openxmlformats.org/officeDocument/2006/relationships/hyperlink" Target="http://budgetresponsibility.org.uk/" TargetMode="External"/><Relationship Id="rId48" Type="http://schemas.openxmlformats.org/officeDocument/2006/relationships/hyperlink" Target="http://www.pensions-ombudsman.org.uk/" TargetMode="External"/><Relationship Id="rId56" Type="http://schemas.openxmlformats.org/officeDocument/2006/relationships/hyperlink" Target="mailto:ssac@ssac.gov.uk" TargetMode="External"/><Relationship Id="rId64" Type="http://schemas.openxmlformats.org/officeDocument/2006/relationships/hyperlink" Target="https://www.ukad.org.uk/" TargetMode="External"/><Relationship Id="rId8" Type="http://schemas.openxmlformats.org/officeDocument/2006/relationships/hyperlink" Target="http://www.boundarycommission.org.uk/" TargetMode="External"/><Relationship Id="rId51" Type="http://schemas.openxmlformats.org/officeDocument/2006/relationships/hyperlink" Target="mailto:Ilona.Kokle@beis.gov.uk" TargetMode="External"/><Relationship Id="rId3" Type="http://schemas.openxmlformats.org/officeDocument/2006/relationships/hyperlink" Target="https://www.gov.uk/government/organisations/advisory-committee-on-conscientious-objectors" TargetMode="External"/><Relationship Id="rId12" Type="http://schemas.openxmlformats.org/officeDocument/2006/relationships/hyperlink" Target="http://www.britishmuseum.org/" TargetMode="External"/><Relationship Id="rId17" Type="http://schemas.openxmlformats.org/officeDocument/2006/relationships/hyperlink" Target="https://webarchive.nationalarchives.gov.uk/20151215172524/http:/www.directlyoperatedrailways.co.uk/html/index.php" TargetMode="External"/><Relationship Id="rId25" Type="http://schemas.openxmlformats.org/officeDocument/2006/relationships/hyperlink" Target="http://www.historicengland.org.uk/" TargetMode="External"/><Relationship Id="rId33" Type="http://schemas.openxmlformats.org/officeDocument/2006/relationships/hyperlink" Target="mailto:jaas@judicialappointments.gov.uk" TargetMode="External"/><Relationship Id="rId38" Type="http://schemas.openxmlformats.org/officeDocument/2006/relationships/hyperlink" Target="http://www.npg.org.uk/" TargetMode="External"/><Relationship Id="rId46" Type="http://schemas.openxmlformats.org/officeDocument/2006/relationships/hyperlink" Target="http://www.paradescommission.org/" TargetMode="External"/><Relationship Id="rId59" Type="http://schemas.openxmlformats.org/officeDocument/2006/relationships/hyperlink" Target="https://www.housing-ombudsman.org.uk/" TargetMode="External"/><Relationship Id="rId67" Type="http://schemas.openxmlformats.org/officeDocument/2006/relationships/hyperlink" Target="http://www.wallacecollection.org/" TargetMode="External"/><Relationship Id="rId20" Type="http://schemas.openxmlformats.org/officeDocument/2006/relationships/hyperlink" Target="http://www.geffrye-museum.org.uk/" TargetMode="External"/><Relationship Id="rId41" Type="http://schemas.openxmlformats.org/officeDocument/2006/relationships/hyperlink" Target="http://www.nihrc.org/" TargetMode="External"/><Relationship Id="rId54" Type="http://schemas.openxmlformats.org/officeDocument/2006/relationships/hyperlink" Target="mailto:contact@maps.org.uk" TargetMode="External"/><Relationship Id="rId62" Type="http://schemas.openxmlformats.org/officeDocument/2006/relationships/hyperlink" Target="http://www.dmo.gov.uk/" TargetMode="External"/><Relationship Id="rId1" Type="http://schemas.openxmlformats.org/officeDocument/2006/relationships/hyperlink" Target="https://acaf.food.gov.uk/" TargetMode="External"/><Relationship Id="rId6" Type="http://schemas.openxmlformats.org/officeDocument/2006/relationships/hyperlink" Target="http://www.birmingham2022.com/" TargetMode="External"/><Relationship Id="rId15" Type="http://schemas.openxmlformats.org/officeDocument/2006/relationships/hyperlink" Target="https://www.gov.uk/government/organisations/defence-nuclear-safety-committee" TargetMode="External"/><Relationship Id="rId23" Type="http://schemas.openxmlformats.org/officeDocument/2006/relationships/hyperlink" Target="mailto:foi.request@hmrc.gov.uk" TargetMode="External"/><Relationship Id="rId28" Type="http://schemas.openxmlformats.org/officeDocument/2006/relationships/hyperlink" Target="http://www.hblb.org.uk/" TargetMode="External"/><Relationship Id="rId36" Type="http://schemas.openxmlformats.org/officeDocument/2006/relationships/hyperlink" Target="http://www.hlf.org.uk/" TargetMode="External"/><Relationship Id="rId49" Type="http://schemas.openxmlformats.org/officeDocument/2006/relationships/hyperlink" Target="http://www.artscouncil.org.uk/what-we-do/supporting-museums/cultural-property/export-controls/reviewing-committee/" TargetMode="External"/><Relationship Id="rId57" Type="http://schemas.openxmlformats.org/officeDocument/2006/relationships/hyperlink" Target="http://www.sportengland.org/" TargetMode="External"/><Relationship Id="rId10" Type="http://schemas.openxmlformats.org/officeDocument/2006/relationships/hyperlink" Target="mailto:Customer-Services@bl.uk" TargetMode="External"/><Relationship Id="rId31" Type="http://schemas.openxmlformats.org/officeDocument/2006/relationships/hyperlink" Target="mailto:iiac@dwp.gov.uk" TargetMode="External"/><Relationship Id="rId44" Type="http://schemas.openxmlformats.org/officeDocument/2006/relationships/hyperlink" Target="mailto:info@officeforstudents.org.uk" TargetMode="External"/><Relationship Id="rId52" Type="http://schemas.openxmlformats.org/officeDocument/2006/relationships/hyperlink" Target="http://www.sciencemuseum.org.uk/about_us/smg.aspx" TargetMode="External"/><Relationship Id="rId60" Type="http://schemas.openxmlformats.org/officeDocument/2006/relationships/hyperlink" Target="http://finds.org.uk/treasure" TargetMode="External"/><Relationship Id="rId65" Type="http://schemas.openxmlformats.org/officeDocument/2006/relationships/hyperlink" Target="http://www.vam.ac.uk/" TargetMode="External"/><Relationship Id="rId4" Type="http://schemas.openxmlformats.org/officeDocument/2006/relationships/hyperlink" Target="https://acmsf.food.gov.uk/" TargetMode="External"/><Relationship Id="rId9" Type="http://schemas.openxmlformats.org/officeDocument/2006/relationships/hyperlink" Target="https://www.bfi.org.uk/" TargetMode="External"/><Relationship Id="rId13" Type="http://schemas.openxmlformats.org/officeDocument/2006/relationships/hyperlink" Target="http://www.justice.gov.uk/contacts/?a=68536" TargetMode="External"/><Relationship Id="rId18" Type="http://schemas.openxmlformats.org/officeDocument/2006/relationships/hyperlink" Target="https://www.bing.com/search?q=ehrc&amp;form=EDGHPT&amp;qs=PF&amp;cvid=559dbedc842c4dcbad5952e0884191d7&amp;cc=GB&amp;setlang=en-US" TargetMode="External"/><Relationship Id="rId39" Type="http://schemas.openxmlformats.org/officeDocument/2006/relationships/hyperlink" Target="http://www.nhm.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8761D"/>
    <outlinePr summaryBelow="0" summaryRight="0"/>
    <pageSetUpPr fitToPage="1"/>
  </sheetPr>
  <dimension ref="A1:AZ1002"/>
  <sheetViews>
    <sheetView tabSelected="1" workbookViewId="0"/>
  </sheetViews>
  <sheetFormatPr baseColWidth="10" defaultColWidth="14.5" defaultRowHeight="15" customHeight="1"/>
  <cols>
    <col min="1" max="1" width="48.6640625" customWidth="1"/>
    <col min="2" max="5" width="16.33203125" customWidth="1"/>
    <col min="6" max="6" width="81.83203125" customWidth="1"/>
    <col min="7" max="14" width="16.33203125" customWidth="1"/>
    <col min="15" max="15" width="17.5" customWidth="1"/>
    <col min="16" max="16" width="16.33203125" customWidth="1"/>
    <col min="17" max="17" width="16.5" customWidth="1"/>
    <col min="18" max="23" width="16.33203125" customWidth="1"/>
    <col min="24" max="24" width="20.5" customWidth="1"/>
    <col min="25" max="25" width="23.33203125" customWidth="1"/>
    <col min="26" max="26" width="20.1640625" customWidth="1"/>
    <col min="27" max="27" width="26.83203125" customWidth="1"/>
    <col min="28" max="31" width="16.33203125" customWidth="1"/>
    <col min="32" max="32" width="24.6640625" customWidth="1"/>
    <col min="33" max="52" width="16.33203125" customWidth="1"/>
  </cols>
  <sheetData>
    <row r="1" spans="1:52" ht="25.5" customHeight="1">
      <c r="A1" s="1"/>
      <c r="B1" s="1"/>
      <c r="C1" s="1"/>
      <c r="D1" s="1"/>
      <c r="E1" s="1"/>
      <c r="F1" s="1"/>
      <c r="G1" s="2"/>
      <c r="H1" s="1"/>
      <c r="I1" s="1"/>
      <c r="J1" s="1"/>
      <c r="K1" s="1"/>
      <c r="L1" s="1"/>
      <c r="M1" s="1"/>
      <c r="N1" s="3"/>
      <c r="O1" s="4"/>
      <c r="P1" s="5"/>
      <c r="Q1" s="5"/>
      <c r="R1" s="1"/>
      <c r="S1" s="1"/>
      <c r="T1" s="1"/>
      <c r="U1" s="1"/>
      <c r="V1" s="1"/>
      <c r="W1" s="1"/>
      <c r="X1" s="63" t="s">
        <v>0</v>
      </c>
      <c r="Y1" s="64"/>
      <c r="Z1" s="65"/>
      <c r="AA1" s="63" t="s">
        <v>1</v>
      </c>
      <c r="AB1" s="64"/>
      <c r="AC1" s="65"/>
      <c r="AD1" s="1"/>
      <c r="AE1" s="1"/>
      <c r="AF1" s="6"/>
      <c r="AG1" s="7"/>
      <c r="AH1" s="7"/>
      <c r="AI1" s="7"/>
      <c r="AJ1" s="7"/>
      <c r="AK1" s="7"/>
      <c r="AL1" s="7"/>
      <c r="AM1" s="7"/>
      <c r="AN1" s="7"/>
      <c r="AO1" s="7"/>
      <c r="AP1" s="7"/>
      <c r="AQ1" s="7"/>
      <c r="AR1" s="7"/>
      <c r="AS1" s="7"/>
      <c r="AT1" s="7"/>
      <c r="AU1" s="7"/>
      <c r="AV1" s="7"/>
      <c r="AW1" s="7"/>
      <c r="AX1" s="7"/>
      <c r="AY1" s="7"/>
      <c r="AZ1" s="7"/>
    </row>
    <row r="2" spans="1:52" ht="63" customHeight="1">
      <c r="A2" s="8" t="s">
        <v>2</v>
      </c>
      <c r="B2" s="1" t="s">
        <v>3</v>
      </c>
      <c r="C2" s="8" t="s">
        <v>4</v>
      </c>
      <c r="D2" s="1" t="s">
        <v>5</v>
      </c>
      <c r="E2" s="1" t="s">
        <v>6</v>
      </c>
      <c r="F2" s="1" t="s">
        <v>7</v>
      </c>
      <c r="G2" s="2" t="s">
        <v>8</v>
      </c>
      <c r="H2" s="1" t="s">
        <v>9</v>
      </c>
      <c r="I2" s="1" t="s">
        <v>10</v>
      </c>
      <c r="J2" s="1" t="s">
        <v>11</v>
      </c>
      <c r="K2" s="1" t="s">
        <v>12</v>
      </c>
      <c r="L2" s="8" t="s">
        <v>13</v>
      </c>
      <c r="M2" s="8" t="s">
        <v>14</v>
      </c>
      <c r="N2" s="9" t="s">
        <v>15</v>
      </c>
      <c r="O2" s="3" t="s">
        <v>16</v>
      </c>
      <c r="P2" s="9" t="s">
        <v>17</v>
      </c>
      <c r="Q2" s="5" t="s">
        <v>18</v>
      </c>
      <c r="R2" s="1" t="s">
        <v>19</v>
      </c>
      <c r="S2" s="1" t="s">
        <v>20</v>
      </c>
      <c r="T2" s="1" t="s">
        <v>21</v>
      </c>
      <c r="U2" s="1" t="s">
        <v>22</v>
      </c>
      <c r="V2" s="1" t="s">
        <v>23</v>
      </c>
      <c r="W2" s="1" t="s">
        <v>24</v>
      </c>
      <c r="X2" s="10" t="s">
        <v>25</v>
      </c>
      <c r="Y2" s="11" t="s">
        <v>26</v>
      </c>
      <c r="Z2" s="11" t="s">
        <v>27</v>
      </c>
      <c r="AA2" s="11" t="s">
        <v>28</v>
      </c>
      <c r="AB2" s="11" t="s">
        <v>29</v>
      </c>
      <c r="AC2" s="11" t="s">
        <v>30</v>
      </c>
      <c r="AD2" s="1" t="s">
        <v>31</v>
      </c>
      <c r="AE2" s="1" t="s">
        <v>32</v>
      </c>
      <c r="AF2" s="6" t="s">
        <v>33</v>
      </c>
      <c r="AG2" s="7"/>
      <c r="AH2" s="7"/>
      <c r="AI2" s="7"/>
      <c r="AJ2" s="7"/>
      <c r="AK2" s="7"/>
      <c r="AL2" s="7"/>
      <c r="AM2" s="7"/>
      <c r="AN2" s="7"/>
      <c r="AO2" s="7"/>
      <c r="AP2" s="7"/>
      <c r="AQ2" s="7"/>
      <c r="AR2" s="7"/>
      <c r="AS2" s="7"/>
      <c r="AT2" s="7"/>
      <c r="AU2" s="7"/>
      <c r="AV2" s="7"/>
      <c r="AW2" s="7"/>
      <c r="AX2" s="7"/>
      <c r="AY2" s="7"/>
      <c r="AZ2" s="7"/>
    </row>
    <row r="3" spans="1:52" ht="115.5" customHeight="1">
      <c r="A3" s="12" t="s">
        <v>34</v>
      </c>
      <c r="B3" s="7">
        <v>1</v>
      </c>
      <c r="C3" s="13" t="s">
        <v>35</v>
      </c>
      <c r="D3" s="7" t="s">
        <v>36</v>
      </c>
      <c r="E3" s="7" t="s">
        <v>37</v>
      </c>
      <c r="F3" s="7" t="s">
        <v>38</v>
      </c>
      <c r="G3" s="7">
        <v>1999</v>
      </c>
      <c r="H3" s="7"/>
      <c r="I3" s="14" t="str">
        <f>HYPERLINK("mailto:ACAF@food.gov.uk","ACAF@food.gov.uk")</f>
        <v>ACAF@food.gov.uk</v>
      </c>
      <c r="J3" s="14" t="s">
        <v>39</v>
      </c>
      <c r="K3" s="7" t="s">
        <v>40</v>
      </c>
      <c r="L3" s="7" t="s">
        <v>41</v>
      </c>
      <c r="M3" s="7" t="s">
        <v>42</v>
      </c>
      <c r="N3" s="15" t="s">
        <v>43</v>
      </c>
      <c r="O3" s="16">
        <v>400</v>
      </c>
      <c r="P3" s="15" t="s">
        <v>44</v>
      </c>
      <c r="Q3" s="17" t="s">
        <v>45</v>
      </c>
      <c r="R3" s="7" t="s">
        <v>43</v>
      </c>
      <c r="S3" s="7" t="s">
        <v>43</v>
      </c>
      <c r="T3" s="7" t="s">
        <v>43</v>
      </c>
      <c r="U3" s="7" t="s">
        <v>46</v>
      </c>
      <c r="V3" s="7">
        <v>2016</v>
      </c>
      <c r="W3" s="7">
        <v>1</v>
      </c>
      <c r="X3" s="18">
        <v>24</v>
      </c>
      <c r="Y3" s="18">
        <v>0</v>
      </c>
      <c r="Z3" s="18">
        <v>24</v>
      </c>
      <c r="AA3" s="19">
        <v>15</v>
      </c>
      <c r="AB3" s="19">
        <v>0</v>
      </c>
      <c r="AC3" s="19">
        <v>0</v>
      </c>
      <c r="AD3" s="7"/>
      <c r="AE3" s="7"/>
      <c r="AF3" s="7"/>
      <c r="AG3" s="7"/>
      <c r="AH3" s="7"/>
      <c r="AI3" s="7"/>
      <c r="AJ3" s="7"/>
      <c r="AK3" s="7"/>
      <c r="AL3" s="7"/>
      <c r="AM3" s="7"/>
      <c r="AN3" s="7"/>
      <c r="AO3" s="7"/>
      <c r="AP3" s="7"/>
      <c r="AQ3" s="7"/>
      <c r="AR3" s="7"/>
      <c r="AS3" s="7"/>
      <c r="AT3" s="7"/>
      <c r="AU3" s="7"/>
      <c r="AV3" s="7"/>
      <c r="AW3" s="7"/>
      <c r="AX3" s="7"/>
      <c r="AY3" s="7"/>
      <c r="AZ3" s="7"/>
    </row>
    <row r="4" spans="1:52" ht="63" customHeight="1">
      <c r="A4" s="20" t="s">
        <v>47</v>
      </c>
      <c r="B4" s="7">
        <v>1</v>
      </c>
      <c r="C4" s="7" t="s">
        <v>48</v>
      </c>
      <c r="D4" s="7" t="s">
        <v>36</v>
      </c>
      <c r="E4" s="7" t="s">
        <v>37</v>
      </c>
      <c r="F4" s="7" t="s">
        <v>49</v>
      </c>
      <c r="G4" s="7">
        <v>1975</v>
      </c>
      <c r="H4" s="7"/>
      <c r="I4" s="14" t="str">
        <f>HYPERLINK("mailto:acoba@acoba.gov.uk","acoba@acoba.gov.uk")</f>
        <v>acoba@acoba.gov.uk</v>
      </c>
      <c r="J4" s="14" t="str">
        <f>HYPERLINK("http://acoba.independent.gov.uk/","http://acoba.independent.gov.uk/")</f>
        <v>http://acoba.independent.gov.uk/</v>
      </c>
      <c r="K4" s="7" t="s">
        <v>50</v>
      </c>
      <c r="L4" s="21" t="s">
        <v>51</v>
      </c>
      <c r="M4" s="13" t="s">
        <v>42</v>
      </c>
      <c r="N4" s="15" t="s">
        <v>43</v>
      </c>
      <c r="O4" s="16">
        <v>8000</v>
      </c>
      <c r="P4" s="15" t="s">
        <v>52</v>
      </c>
      <c r="Q4" s="22" t="s">
        <v>53</v>
      </c>
      <c r="R4" s="7" t="s">
        <v>37</v>
      </c>
      <c r="S4" s="7" t="s">
        <v>43</v>
      </c>
      <c r="T4" s="7" t="s">
        <v>43</v>
      </c>
      <c r="U4" s="7" t="s">
        <v>54</v>
      </c>
      <c r="V4" s="7"/>
      <c r="W4" s="13" t="s">
        <v>55</v>
      </c>
      <c r="X4" s="18">
        <v>326</v>
      </c>
      <c r="Y4" s="18">
        <v>0</v>
      </c>
      <c r="Z4" s="18">
        <v>326</v>
      </c>
      <c r="AA4" s="19">
        <v>326</v>
      </c>
      <c r="AB4" s="19">
        <v>0</v>
      </c>
      <c r="AC4" s="19">
        <v>0</v>
      </c>
      <c r="AD4" s="7"/>
      <c r="AE4" s="13" t="s">
        <v>56</v>
      </c>
      <c r="AF4" s="7"/>
      <c r="AG4" s="7"/>
      <c r="AH4" s="7"/>
      <c r="AI4" s="7"/>
      <c r="AJ4" s="7"/>
      <c r="AK4" s="7"/>
      <c r="AL4" s="7"/>
      <c r="AM4" s="7"/>
      <c r="AN4" s="7"/>
      <c r="AO4" s="7"/>
      <c r="AP4" s="7"/>
      <c r="AQ4" s="7"/>
      <c r="AR4" s="7"/>
      <c r="AS4" s="7"/>
      <c r="AT4" s="7"/>
      <c r="AU4" s="7"/>
      <c r="AV4" s="7"/>
      <c r="AW4" s="7"/>
      <c r="AX4" s="7"/>
      <c r="AY4" s="7"/>
      <c r="AZ4" s="7"/>
    </row>
    <row r="5" spans="1:52" ht="63" customHeight="1">
      <c r="A5" s="20" t="s">
        <v>57</v>
      </c>
      <c r="B5" s="7">
        <v>1</v>
      </c>
      <c r="C5" s="7" t="s">
        <v>58</v>
      </c>
      <c r="D5" s="7" t="s">
        <v>36</v>
      </c>
      <c r="E5" s="7" t="s">
        <v>37</v>
      </c>
      <c r="F5" s="7" t="s">
        <v>59</v>
      </c>
      <c r="G5" s="7">
        <v>2004</v>
      </c>
      <c r="H5" s="6"/>
      <c r="I5" s="14" t="str">
        <f>HYPERLINK("mailto:accea@dhsc.gov.uk","accea@dhsc.gov.uk")</f>
        <v>accea@dhsc.gov.uk</v>
      </c>
      <c r="J5" s="14" t="str">
        <f>HYPERLINK("https://www.gov.uk/government/organisations/advisory-committee-on-clinical-excellence-awards","https://www.gov.uk/government/organisations/advisory-committee-on-clinical-excellence-awards")</f>
        <v>https://www.gov.uk/government/organisations/advisory-committee-on-clinical-excellence-awards</v>
      </c>
      <c r="K5" s="7" t="s">
        <v>60</v>
      </c>
      <c r="L5" s="7" t="s">
        <v>61</v>
      </c>
      <c r="M5" s="7" t="s">
        <v>42</v>
      </c>
      <c r="N5" s="15" t="s">
        <v>43</v>
      </c>
      <c r="O5" s="16">
        <v>52540</v>
      </c>
      <c r="P5" s="15" t="s">
        <v>52</v>
      </c>
      <c r="Q5" s="17" t="s">
        <v>62</v>
      </c>
      <c r="R5" s="7" t="s">
        <v>63</v>
      </c>
      <c r="S5" s="7" t="s">
        <v>56</v>
      </c>
      <c r="T5" s="7" t="s">
        <v>63</v>
      </c>
      <c r="U5" s="7" t="s">
        <v>54</v>
      </c>
      <c r="V5" s="7">
        <v>2015</v>
      </c>
      <c r="W5" s="7">
        <v>3.5</v>
      </c>
      <c r="X5" s="18">
        <v>211</v>
      </c>
      <c r="Y5" s="18">
        <v>0</v>
      </c>
      <c r="Z5" s="18">
        <v>211</v>
      </c>
      <c r="AA5" s="19">
        <v>211</v>
      </c>
      <c r="AB5" s="19">
        <v>0</v>
      </c>
      <c r="AC5" s="19">
        <v>0</v>
      </c>
      <c r="AD5" s="7"/>
      <c r="AE5" s="13" t="s">
        <v>56</v>
      </c>
      <c r="AF5" s="7"/>
      <c r="AG5" s="7"/>
      <c r="AH5" s="7"/>
      <c r="AI5" s="7"/>
      <c r="AJ5" s="7"/>
      <c r="AK5" s="7"/>
      <c r="AL5" s="7"/>
      <c r="AM5" s="7"/>
      <c r="AN5" s="7"/>
      <c r="AO5" s="7"/>
      <c r="AP5" s="7"/>
      <c r="AQ5" s="7"/>
      <c r="AR5" s="7"/>
      <c r="AS5" s="7"/>
      <c r="AT5" s="7"/>
      <c r="AU5" s="7"/>
      <c r="AV5" s="7"/>
      <c r="AW5" s="7"/>
      <c r="AX5" s="7"/>
      <c r="AY5" s="7"/>
      <c r="AZ5" s="7"/>
    </row>
    <row r="6" spans="1:52" ht="63" customHeight="1">
      <c r="A6" s="20" t="s">
        <v>64</v>
      </c>
      <c r="B6" s="7">
        <v>1</v>
      </c>
      <c r="C6" s="7" t="s">
        <v>65</v>
      </c>
      <c r="D6" s="7" t="s">
        <v>36</v>
      </c>
      <c r="E6" s="7" t="s">
        <v>63</v>
      </c>
      <c r="F6" s="7" t="s">
        <v>66</v>
      </c>
      <c r="G6" s="7">
        <v>1970</v>
      </c>
      <c r="H6" s="7"/>
      <c r="I6" s="14" t="s">
        <v>67</v>
      </c>
      <c r="J6" s="14" t="s">
        <v>68</v>
      </c>
      <c r="K6" s="7" t="s">
        <v>69</v>
      </c>
      <c r="L6" s="7" t="s">
        <v>70</v>
      </c>
      <c r="M6" s="7" t="s">
        <v>71</v>
      </c>
      <c r="N6" s="15" t="s">
        <v>37</v>
      </c>
      <c r="O6" s="16"/>
      <c r="P6" s="23"/>
      <c r="Q6" s="23"/>
      <c r="R6" s="7" t="s">
        <v>56</v>
      </c>
      <c r="S6" s="7" t="s">
        <v>56</v>
      </c>
      <c r="T6" s="7" t="s">
        <v>56</v>
      </c>
      <c r="U6" s="7" t="s">
        <v>46</v>
      </c>
      <c r="V6" s="7">
        <v>2013</v>
      </c>
      <c r="W6" s="7">
        <v>0</v>
      </c>
      <c r="X6" s="18">
        <v>0</v>
      </c>
      <c r="Y6" s="18">
        <v>0</v>
      </c>
      <c r="Z6" s="18">
        <v>0</v>
      </c>
      <c r="AA6" s="19">
        <v>0</v>
      </c>
      <c r="AB6" s="19">
        <v>0</v>
      </c>
      <c r="AC6" s="19">
        <v>0</v>
      </c>
      <c r="AD6" s="7" t="s">
        <v>72</v>
      </c>
      <c r="AE6" s="7"/>
      <c r="AG6" s="7"/>
      <c r="AH6" s="7"/>
      <c r="AI6" s="7"/>
      <c r="AJ6" s="7"/>
      <c r="AK6" s="7"/>
      <c r="AL6" s="7"/>
      <c r="AM6" s="7"/>
      <c r="AN6" s="7"/>
      <c r="AO6" s="7"/>
      <c r="AP6" s="7"/>
      <c r="AQ6" s="7"/>
      <c r="AR6" s="7"/>
      <c r="AS6" s="7"/>
      <c r="AT6" s="7"/>
      <c r="AU6" s="7"/>
      <c r="AV6" s="7"/>
      <c r="AW6" s="7"/>
      <c r="AX6" s="7"/>
      <c r="AY6" s="7"/>
      <c r="AZ6" s="7"/>
    </row>
    <row r="7" spans="1:52" ht="63" customHeight="1">
      <c r="A7" s="20" t="s">
        <v>73</v>
      </c>
      <c r="B7" s="7">
        <v>1</v>
      </c>
      <c r="C7" s="13" t="s">
        <v>35</v>
      </c>
      <c r="D7" s="7" t="s">
        <v>36</v>
      </c>
      <c r="E7" s="7" t="s">
        <v>37</v>
      </c>
      <c r="F7" s="7" t="s">
        <v>74</v>
      </c>
      <c r="G7" s="7">
        <v>1987</v>
      </c>
      <c r="H7" s="7"/>
      <c r="I7" s="14" t="str">
        <f>HYPERLINK("mailto:acnfp@food.gov.uk","acnfp@food.gov.uk")</f>
        <v>acnfp@food.gov.uk</v>
      </c>
      <c r="J7" s="14" t="str">
        <f>HYPERLINK("https://acnfp.food.gov.uk/","https//acnfp.food.gov.uk")</f>
        <v>https//acnfp.food.gov.uk</v>
      </c>
      <c r="K7" s="7" t="s">
        <v>75</v>
      </c>
      <c r="L7" s="7" t="s">
        <v>76</v>
      </c>
      <c r="M7" s="7" t="s">
        <v>71</v>
      </c>
      <c r="N7" s="15" t="s">
        <v>43</v>
      </c>
      <c r="O7" s="16">
        <v>400</v>
      </c>
      <c r="P7" s="15" t="s">
        <v>44</v>
      </c>
      <c r="Q7" s="17" t="s">
        <v>77</v>
      </c>
      <c r="R7" s="7" t="s">
        <v>37</v>
      </c>
      <c r="S7" s="7" t="s">
        <v>43</v>
      </c>
      <c r="T7" s="7" t="s">
        <v>43</v>
      </c>
      <c r="U7" s="7" t="s">
        <v>54</v>
      </c>
      <c r="V7" s="7">
        <v>2016</v>
      </c>
      <c r="W7" s="7">
        <v>1</v>
      </c>
      <c r="X7" s="18">
        <v>30</v>
      </c>
      <c r="Y7" s="18">
        <v>0</v>
      </c>
      <c r="Z7" s="18">
        <v>30</v>
      </c>
      <c r="AA7" s="19">
        <v>30</v>
      </c>
      <c r="AB7" s="19">
        <v>0</v>
      </c>
      <c r="AC7" s="19">
        <v>0</v>
      </c>
      <c r="AD7" s="7" t="s">
        <v>72</v>
      </c>
      <c r="AE7" s="7"/>
      <c r="AG7" s="7"/>
      <c r="AH7" s="7"/>
      <c r="AI7" s="7"/>
      <c r="AJ7" s="7"/>
      <c r="AK7" s="7"/>
      <c r="AL7" s="7"/>
      <c r="AM7" s="7"/>
      <c r="AN7" s="7"/>
      <c r="AO7" s="7"/>
      <c r="AP7" s="7"/>
      <c r="AQ7" s="7"/>
      <c r="AR7" s="7"/>
      <c r="AS7" s="7"/>
      <c r="AT7" s="7"/>
      <c r="AU7" s="7"/>
      <c r="AV7" s="7"/>
      <c r="AW7" s="7"/>
      <c r="AX7" s="7"/>
      <c r="AY7" s="7"/>
      <c r="AZ7" s="7"/>
    </row>
    <row r="8" spans="1:52" ht="63" customHeight="1">
      <c r="A8" s="20" t="s">
        <v>78</v>
      </c>
      <c r="B8" s="7">
        <v>1</v>
      </c>
      <c r="C8" s="7" t="s">
        <v>79</v>
      </c>
      <c r="D8" s="7" t="s">
        <v>36</v>
      </c>
      <c r="E8" s="7" t="s">
        <v>37</v>
      </c>
      <c r="F8" s="7" t="s">
        <v>80</v>
      </c>
      <c r="G8" s="7">
        <v>1993</v>
      </c>
      <c r="H8" s="7"/>
      <c r="I8" s="14" t="str">
        <f>HYPERLINK("mailto:acre.secretariat@defra.gov.uk","acre.secretariat@defra.
gov.uk")</f>
        <v>acre.secretariat@defra.
gov.uk</v>
      </c>
      <c r="J8" s="14" t="str">
        <f>HYPERLINK("https://www.gov.uk/ government/organisations/advisory-committee-on-releases-to-the-environment","https://www.gov.uk/
government/organisations/advisory-committee-on-releases-to-the-environment")</f>
        <v>https://www.gov.uk/
government/organisations/advisory-committee-on-releases-to-the-environment</v>
      </c>
      <c r="K8" s="7" t="s">
        <v>81</v>
      </c>
      <c r="L8" s="7" t="s">
        <v>82</v>
      </c>
      <c r="M8" s="13" t="s">
        <v>42</v>
      </c>
      <c r="N8" s="15" t="s">
        <v>43</v>
      </c>
      <c r="O8" s="16">
        <v>223</v>
      </c>
      <c r="P8" s="15" t="s">
        <v>44</v>
      </c>
      <c r="Q8" s="17" t="s">
        <v>83</v>
      </c>
      <c r="R8" s="7" t="s">
        <v>43</v>
      </c>
      <c r="S8" s="7" t="s">
        <v>43</v>
      </c>
      <c r="T8" s="7" t="s">
        <v>43</v>
      </c>
      <c r="U8" s="7" t="s">
        <v>54</v>
      </c>
      <c r="V8" s="7">
        <v>2015</v>
      </c>
      <c r="W8" s="7">
        <v>0.6</v>
      </c>
      <c r="X8" s="18">
        <v>0</v>
      </c>
      <c r="Y8" s="18">
        <v>0</v>
      </c>
      <c r="Z8" s="18">
        <v>0</v>
      </c>
      <c r="AA8" s="19">
        <v>0</v>
      </c>
      <c r="AB8" s="19">
        <v>0</v>
      </c>
      <c r="AC8" s="19">
        <v>0</v>
      </c>
      <c r="AD8" s="7"/>
      <c r="AE8" s="7"/>
      <c r="AF8" s="7"/>
      <c r="AG8" s="7"/>
      <c r="AH8" s="7"/>
      <c r="AI8" s="7"/>
      <c r="AJ8" s="7"/>
      <c r="AK8" s="7"/>
      <c r="AL8" s="7"/>
      <c r="AM8" s="7"/>
      <c r="AN8" s="7"/>
      <c r="AO8" s="7"/>
      <c r="AP8" s="7"/>
      <c r="AQ8" s="7"/>
      <c r="AR8" s="7"/>
      <c r="AS8" s="7"/>
      <c r="AT8" s="7"/>
      <c r="AU8" s="7"/>
      <c r="AV8" s="7"/>
      <c r="AW8" s="7"/>
      <c r="AX8" s="7"/>
      <c r="AY8" s="7"/>
      <c r="AZ8" s="7"/>
    </row>
    <row r="9" spans="1:52" ht="63" customHeight="1">
      <c r="A9" s="20" t="s">
        <v>84</v>
      </c>
      <c r="B9" s="7">
        <v>1</v>
      </c>
      <c r="C9" s="13" t="s">
        <v>35</v>
      </c>
      <c r="D9" s="7" t="s">
        <v>36</v>
      </c>
      <c r="E9" s="7" t="s">
        <v>37</v>
      </c>
      <c r="F9" s="7" t="s">
        <v>85</v>
      </c>
      <c r="G9" s="7">
        <v>1990</v>
      </c>
      <c r="H9" s="7"/>
      <c r="I9" s="14" t="str">
        <f>HYPERLINK("mailto:acmsf@food.gov.uk","acmsf@food.gov.uk")</f>
        <v>acmsf@food.gov.uk</v>
      </c>
      <c r="J9" s="14" t="s">
        <v>86</v>
      </c>
      <c r="K9" s="7" t="s">
        <v>75</v>
      </c>
      <c r="L9" s="7" t="s">
        <v>87</v>
      </c>
      <c r="M9" s="7" t="s">
        <v>71</v>
      </c>
      <c r="N9" s="15" t="s">
        <v>43</v>
      </c>
      <c r="O9" s="16">
        <v>400</v>
      </c>
      <c r="P9" s="15" t="s">
        <v>44</v>
      </c>
      <c r="Q9" s="17" t="s">
        <v>45</v>
      </c>
      <c r="R9" s="7" t="s">
        <v>43</v>
      </c>
      <c r="S9" s="7" t="s">
        <v>43</v>
      </c>
      <c r="T9" s="7" t="s">
        <v>43</v>
      </c>
      <c r="U9" s="7" t="s">
        <v>54</v>
      </c>
      <c r="V9" s="7">
        <v>2016</v>
      </c>
      <c r="W9" s="7">
        <v>3</v>
      </c>
      <c r="X9" s="18">
        <v>28</v>
      </c>
      <c r="Y9" s="18">
        <v>0</v>
      </c>
      <c r="Z9" s="18">
        <v>28</v>
      </c>
      <c r="AA9" s="19">
        <v>11</v>
      </c>
      <c r="AB9" s="19">
        <v>0</v>
      </c>
      <c r="AC9" s="19">
        <v>0</v>
      </c>
      <c r="AD9" s="7"/>
      <c r="AE9" s="7"/>
      <c r="AF9" s="7"/>
      <c r="AG9" s="7"/>
      <c r="AH9" s="7"/>
      <c r="AI9" s="7"/>
      <c r="AJ9" s="7"/>
      <c r="AK9" s="7"/>
      <c r="AL9" s="7"/>
      <c r="AM9" s="7"/>
      <c r="AN9" s="7"/>
      <c r="AO9" s="7"/>
      <c r="AP9" s="7"/>
      <c r="AQ9" s="7"/>
      <c r="AR9" s="7"/>
      <c r="AS9" s="7"/>
      <c r="AT9" s="7"/>
      <c r="AU9" s="7"/>
      <c r="AV9" s="7"/>
      <c r="AW9" s="7"/>
      <c r="AX9" s="7"/>
      <c r="AY9" s="7"/>
      <c r="AZ9" s="7"/>
    </row>
    <row r="10" spans="1:52" ht="63" customHeight="1">
      <c r="A10" s="20" t="s">
        <v>88</v>
      </c>
      <c r="B10" s="7">
        <v>44</v>
      </c>
      <c r="C10" s="7" t="s">
        <v>89</v>
      </c>
      <c r="D10" s="7" t="s">
        <v>36</v>
      </c>
      <c r="E10" s="7" t="s">
        <v>37</v>
      </c>
      <c r="F10" s="7" t="s">
        <v>90</v>
      </c>
      <c r="G10" s="7">
        <v>2003</v>
      </c>
      <c r="H10" s="7"/>
      <c r="I10" s="14" t="str">
        <f>HYPERLINK("mailto:Nadine.Davis@judiciary.uk","Nadine.Davis@judiciary.uk")</f>
        <v>Nadine.Davis@judiciary.uk</v>
      </c>
      <c r="J10" s="14" t="str">
        <f>HYPERLINK("https://www.judiciary.uk/","www.judiciary.uk")</f>
        <v>www.judiciary.uk</v>
      </c>
      <c r="K10" s="7" t="s">
        <v>91</v>
      </c>
      <c r="L10" s="7" t="s">
        <v>92</v>
      </c>
      <c r="M10" s="13" t="s">
        <v>42</v>
      </c>
      <c r="N10" s="15" t="s">
        <v>37</v>
      </c>
      <c r="O10" s="16"/>
      <c r="P10" s="15"/>
      <c r="Q10" s="15"/>
      <c r="R10" s="7" t="s">
        <v>37</v>
      </c>
      <c r="S10" s="7" t="s">
        <v>37</v>
      </c>
      <c r="T10" s="7" t="s">
        <v>43</v>
      </c>
      <c r="U10" s="7" t="s">
        <v>46</v>
      </c>
      <c r="V10" s="7">
        <v>2018</v>
      </c>
      <c r="W10" s="7">
        <v>0</v>
      </c>
      <c r="X10" s="18">
        <v>0</v>
      </c>
      <c r="Y10" s="18">
        <v>0</v>
      </c>
      <c r="Z10" s="18">
        <v>0</v>
      </c>
      <c r="AA10" s="19">
        <v>0</v>
      </c>
      <c r="AB10" s="19">
        <v>0</v>
      </c>
      <c r="AC10" s="19">
        <v>0</v>
      </c>
      <c r="AD10" s="7"/>
      <c r="AE10" s="7"/>
      <c r="AF10" s="7"/>
      <c r="AG10" s="7"/>
      <c r="AH10" s="7"/>
      <c r="AI10" s="7"/>
      <c r="AJ10" s="7"/>
      <c r="AK10" s="7"/>
      <c r="AL10" s="7"/>
      <c r="AM10" s="7"/>
      <c r="AN10" s="7"/>
      <c r="AO10" s="7"/>
      <c r="AP10" s="7"/>
      <c r="AQ10" s="7"/>
      <c r="AR10" s="7"/>
      <c r="AS10" s="7"/>
      <c r="AT10" s="7"/>
      <c r="AU10" s="7"/>
      <c r="AV10" s="7"/>
      <c r="AW10" s="7"/>
      <c r="AX10" s="7"/>
      <c r="AY10" s="7"/>
      <c r="AZ10" s="7"/>
    </row>
    <row r="11" spans="1:52" ht="63" customHeight="1">
      <c r="A11" s="20" t="s">
        <v>93</v>
      </c>
      <c r="B11" s="7">
        <v>1</v>
      </c>
      <c r="C11" s="7" t="s">
        <v>94</v>
      </c>
      <c r="D11" s="7" t="s">
        <v>95</v>
      </c>
      <c r="E11" s="7" t="s">
        <v>63</v>
      </c>
      <c r="F11" s="7" t="s">
        <v>96</v>
      </c>
      <c r="G11" s="7">
        <v>1971</v>
      </c>
      <c r="H11" s="7"/>
      <c r="I11" s="14" t="str">
        <f>HYPERLINK("mailto:secretariat@acas.org.uk","secretariat@acas.org.uk")</f>
        <v>secretariat@acas.org.uk</v>
      </c>
      <c r="J11" s="14" t="str">
        <f>HYPERLINK("http://www.acas.org.uk","http://www.acas.org.uk")</f>
        <v>http://www.acas.org.uk</v>
      </c>
      <c r="K11" s="7" t="s">
        <v>97</v>
      </c>
      <c r="L11" s="7" t="s">
        <v>98</v>
      </c>
      <c r="M11" s="7" t="s">
        <v>42</v>
      </c>
      <c r="N11" s="15" t="s">
        <v>56</v>
      </c>
      <c r="O11" s="7" t="s">
        <v>99</v>
      </c>
      <c r="P11" s="15" t="s">
        <v>52</v>
      </c>
      <c r="Q11" s="17" t="s">
        <v>100</v>
      </c>
      <c r="R11" s="7" t="s">
        <v>63</v>
      </c>
      <c r="S11" s="7" t="s">
        <v>56</v>
      </c>
      <c r="T11" s="7" t="s">
        <v>56</v>
      </c>
      <c r="U11" s="7" t="s">
        <v>54</v>
      </c>
      <c r="V11" s="7">
        <v>2013</v>
      </c>
      <c r="W11" s="7">
        <v>782</v>
      </c>
      <c r="X11" s="18">
        <v>41085</v>
      </c>
      <c r="Y11" s="18">
        <v>5598</v>
      </c>
      <c r="Z11" s="18">
        <v>46683</v>
      </c>
      <c r="AA11" s="18">
        <v>54024</v>
      </c>
      <c r="AB11" s="18">
        <v>1028</v>
      </c>
      <c r="AC11" s="24">
        <v>0</v>
      </c>
      <c r="AD11" s="13" t="s">
        <v>56</v>
      </c>
      <c r="AE11" s="7"/>
      <c r="AF11" s="7"/>
      <c r="AG11" s="7"/>
      <c r="AH11" s="7"/>
      <c r="AI11" s="7"/>
      <c r="AJ11" s="7"/>
      <c r="AK11" s="7"/>
      <c r="AL11" s="7"/>
      <c r="AM11" s="7"/>
      <c r="AN11" s="7"/>
      <c r="AO11" s="7"/>
      <c r="AP11" s="7"/>
      <c r="AQ11" s="7"/>
      <c r="AR11" s="7"/>
      <c r="AS11" s="7"/>
      <c r="AT11" s="7"/>
      <c r="AU11" s="7"/>
      <c r="AV11" s="7"/>
      <c r="AW11" s="7"/>
      <c r="AX11" s="7"/>
      <c r="AY11" s="7"/>
      <c r="AZ11" s="7"/>
    </row>
    <row r="12" spans="1:52" ht="63" customHeight="1">
      <c r="A12" s="20" t="s">
        <v>101</v>
      </c>
      <c r="B12" s="7">
        <v>1</v>
      </c>
      <c r="C12" s="7" t="s">
        <v>79</v>
      </c>
      <c r="D12" s="7" t="s">
        <v>95</v>
      </c>
      <c r="E12" s="7" t="s">
        <v>37</v>
      </c>
      <c r="F12" s="7" t="s">
        <v>102</v>
      </c>
      <c r="G12" s="7">
        <v>2008</v>
      </c>
      <c r="H12" s="7"/>
      <c r="I12" s="14" t="str">
        <f>HYPERLINK("mailto:info@ahdb.org.uk","info@ahdb.org.uk")</f>
        <v>info@ahdb.org.uk</v>
      </c>
      <c r="J12" s="14" t="str">
        <f>HYPERLINK("http://www.ahdb.org.uk/","http://www.ahdb.org.uk/")</f>
        <v>http://www.ahdb.org.uk/</v>
      </c>
      <c r="K12" s="7" t="s">
        <v>103</v>
      </c>
      <c r="L12" s="7" t="s">
        <v>104</v>
      </c>
      <c r="M12" s="13" t="s">
        <v>42</v>
      </c>
      <c r="N12" s="16" t="s">
        <v>43</v>
      </c>
      <c r="O12" s="16">
        <v>50000</v>
      </c>
      <c r="P12" s="15" t="s">
        <v>52</v>
      </c>
      <c r="Q12" s="15" t="s">
        <v>105</v>
      </c>
      <c r="R12" s="7" t="s">
        <v>37</v>
      </c>
      <c r="S12" s="7" t="s">
        <v>43</v>
      </c>
      <c r="T12" s="7" t="s">
        <v>43</v>
      </c>
      <c r="U12" s="7" t="s">
        <v>54</v>
      </c>
      <c r="V12" s="7">
        <v>2018</v>
      </c>
      <c r="W12" s="7">
        <v>543</v>
      </c>
      <c r="X12" s="18">
        <v>0</v>
      </c>
      <c r="Y12" s="18">
        <v>66236</v>
      </c>
      <c r="Z12" s="18">
        <v>66236</v>
      </c>
      <c r="AA12" s="18">
        <v>0</v>
      </c>
      <c r="AB12" s="18">
        <v>0</v>
      </c>
      <c r="AC12" s="18">
        <v>73046</v>
      </c>
      <c r="AD12" s="7" t="s">
        <v>106</v>
      </c>
      <c r="AE12" s="7"/>
      <c r="AF12" s="7"/>
      <c r="AG12" s="7"/>
      <c r="AH12" s="7"/>
      <c r="AI12" s="7"/>
      <c r="AJ12" s="7"/>
      <c r="AK12" s="7"/>
      <c r="AL12" s="7"/>
      <c r="AM12" s="7"/>
      <c r="AN12" s="7"/>
      <c r="AO12" s="7"/>
      <c r="AP12" s="7"/>
      <c r="AQ12" s="7"/>
      <c r="AR12" s="7"/>
      <c r="AS12" s="7"/>
      <c r="AT12" s="7"/>
      <c r="AU12" s="7"/>
      <c r="AV12" s="7"/>
      <c r="AW12" s="7"/>
      <c r="AX12" s="7"/>
      <c r="AY12" s="7"/>
      <c r="AZ12" s="7"/>
    </row>
    <row r="13" spans="1:52" ht="63" customHeight="1">
      <c r="A13" s="20" t="s">
        <v>107</v>
      </c>
      <c r="B13" s="7">
        <v>1</v>
      </c>
      <c r="C13" s="7" t="s">
        <v>79</v>
      </c>
      <c r="D13" s="7" t="s">
        <v>108</v>
      </c>
      <c r="E13" s="7" t="s">
        <v>43</v>
      </c>
      <c r="F13" s="7" t="s">
        <v>109</v>
      </c>
      <c r="G13" s="7">
        <v>2014</v>
      </c>
      <c r="H13" s="7"/>
      <c r="I13" s="14" t="str">
        <f>HYPERLINK("apha.corporatecorrespondence@apha.gov.uk.","apha.corporatecorrespondence@apha.gov.uk.")</f>
        <v>apha.corporatecorrespondence@apha.gov.uk.</v>
      </c>
      <c r="J13" s="14" t="str">
        <f>HYPERLINK("https://www.gov.uk/government/organisations/animal-and-plant-health-agency","http://www.defra.gov.uk
/apha-en/")</f>
        <v>http://www.defra.gov.uk
/apha-en/</v>
      </c>
      <c r="K13" s="7" t="s">
        <v>110</v>
      </c>
      <c r="L13" s="7" t="s">
        <v>111</v>
      </c>
      <c r="M13" s="7" t="s">
        <v>42</v>
      </c>
      <c r="N13" s="15" t="s">
        <v>43</v>
      </c>
      <c r="O13" s="16">
        <v>500</v>
      </c>
      <c r="P13" s="15" t="s">
        <v>44</v>
      </c>
      <c r="Q13" s="15" t="s">
        <v>112</v>
      </c>
      <c r="R13" s="7" t="s">
        <v>37</v>
      </c>
      <c r="S13" s="7" t="s">
        <v>37</v>
      </c>
      <c r="T13" s="7" t="s">
        <v>43</v>
      </c>
      <c r="U13" s="7" t="s">
        <v>54</v>
      </c>
      <c r="V13" s="25"/>
      <c r="W13" s="26">
        <v>2243</v>
      </c>
      <c r="X13" s="18">
        <v>75236</v>
      </c>
      <c r="Y13" s="18">
        <v>65644</v>
      </c>
      <c r="Z13" s="18">
        <v>140880</v>
      </c>
      <c r="AA13" s="18">
        <v>150922</v>
      </c>
      <c r="AB13" s="18">
        <v>1501</v>
      </c>
      <c r="AC13" s="18">
        <v>0</v>
      </c>
      <c r="AD13" s="7" t="s">
        <v>113</v>
      </c>
      <c r="AE13" s="7"/>
      <c r="AG13" s="7"/>
      <c r="AH13" s="7"/>
      <c r="AI13" s="7"/>
      <c r="AJ13" s="7"/>
      <c r="AK13" s="7"/>
      <c r="AL13" s="7"/>
      <c r="AM13" s="7"/>
      <c r="AN13" s="7"/>
      <c r="AO13" s="7"/>
      <c r="AP13" s="7"/>
      <c r="AQ13" s="7"/>
      <c r="AR13" s="7"/>
      <c r="AS13" s="7"/>
      <c r="AT13" s="7"/>
      <c r="AU13" s="7"/>
      <c r="AV13" s="7"/>
      <c r="AW13" s="7"/>
      <c r="AX13" s="7"/>
      <c r="AY13" s="7"/>
      <c r="AZ13" s="7"/>
    </row>
    <row r="14" spans="1:52" ht="63" customHeight="1">
      <c r="A14" s="20" t="s">
        <v>114</v>
      </c>
      <c r="B14" s="7">
        <v>1</v>
      </c>
      <c r="C14" s="7" t="s">
        <v>65</v>
      </c>
      <c r="D14" s="7" t="s">
        <v>36</v>
      </c>
      <c r="E14" s="7" t="s">
        <v>37</v>
      </c>
      <c r="F14" s="7" t="s">
        <v>115</v>
      </c>
      <c r="G14" s="7">
        <v>1971</v>
      </c>
      <c r="H14" s="7"/>
      <c r="I14" s="14" t="str">
        <f>HYPERLINK("mailto:sharon.corder@100mod.gov.uk","sharon.corder@100mod.gov.uk")</f>
        <v>sharon.corder@100mod.gov.uk</v>
      </c>
      <c r="J14" s="14" t="s">
        <v>116</v>
      </c>
      <c r="K14" s="7" t="s">
        <v>117</v>
      </c>
      <c r="L14" s="27" t="s">
        <v>118</v>
      </c>
      <c r="M14" s="13" t="s">
        <v>42</v>
      </c>
      <c r="N14" s="15" t="s">
        <v>43</v>
      </c>
      <c r="O14" s="16">
        <v>16000</v>
      </c>
      <c r="P14" s="15" t="s">
        <v>52</v>
      </c>
      <c r="Q14" s="17" t="s">
        <v>119</v>
      </c>
      <c r="R14" s="7" t="s">
        <v>37</v>
      </c>
      <c r="S14" s="7" t="s">
        <v>37</v>
      </c>
      <c r="T14" s="7" t="s">
        <v>43</v>
      </c>
      <c r="U14" s="7"/>
      <c r="V14" s="7"/>
      <c r="W14" s="7">
        <v>4</v>
      </c>
      <c r="X14" s="18">
        <v>100</v>
      </c>
      <c r="Y14" s="18">
        <v>0</v>
      </c>
      <c r="Z14" s="18">
        <v>100</v>
      </c>
      <c r="AA14" s="24">
        <v>100</v>
      </c>
      <c r="AB14" s="24">
        <v>0</v>
      </c>
      <c r="AC14" s="24">
        <v>0</v>
      </c>
      <c r="AD14" s="7" t="s">
        <v>120</v>
      </c>
      <c r="AE14" s="13" t="s">
        <v>56</v>
      </c>
      <c r="AG14" s="7"/>
      <c r="AH14" s="7"/>
      <c r="AI14" s="7"/>
      <c r="AJ14" s="7"/>
      <c r="AK14" s="7"/>
      <c r="AL14" s="7"/>
      <c r="AM14" s="7"/>
      <c r="AN14" s="7"/>
      <c r="AO14" s="7"/>
      <c r="AP14" s="7"/>
      <c r="AQ14" s="7"/>
      <c r="AR14" s="7"/>
      <c r="AS14" s="7"/>
      <c r="AT14" s="7"/>
      <c r="AU14" s="7"/>
      <c r="AV14" s="7"/>
      <c r="AW14" s="7"/>
      <c r="AX14" s="7"/>
      <c r="AY14" s="7"/>
      <c r="AZ14" s="7"/>
    </row>
    <row r="15" spans="1:52" ht="63" customHeight="1">
      <c r="A15" s="20" t="s">
        <v>121</v>
      </c>
      <c r="B15" s="7">
        <v>1</v>
      </c>
      <c r="C15" s="7" t="s">
        <v>122</v>
      </c>
      <c r="D15" s="7" t="s">
        <v>95</v>
      </c>
      <c r="E15" s="7" t="s">
        <v>37</v>
      </c>
      <c r="F15" s="7" t="s">
        <v>123</v>
      </c>
      <c r="G15" s="7">
        <v>1946</v>
      </c>
      <c r="H15" s="7"/>
      <c r="I15" s="28" t="str">
        <f>HYPERLINK("enquiries@artscouncil.org.uk ","enquiries@artscouncil.org.uk ")</f>
        <v xml:space="preserve">enquiries@artscouncil.org.uk </v>
      </c>
      <c r="J15" s="14" t="str">
        <f>HYPERLINK("https://www.artscouncil.org.uk/","www.artscouncil.org.uk")</f>
        <v>www.artscouncil.org.uk</v>
      </c>
      <c r="K15" s="27" t="s">
        <v>124</v>
      </c>
      <c r="L15" s="7" t="s">
        <v>125</v>
      </c>
      <c r="M15" s="7" t="s">
        <v>42</v>
      </c>
      <c r="N15" s="15" t="s">
        <v>43</v>
      </c>
      <c r="O15" s="16">
        <v>40000</v>
      </c>
      <c r="P15" s="15" t="s">
        <v>52</v>
      </c>
      <c r="Q15" s="13" t="s">
        <v>126</v>
      </c>
      <c r="R15" s="7" t="s">
        <v>37</v>
      </c>
      <c r="S15" s="7" t="s">
        <v>43</v>
      </c>
      <c r="T15" s="7" t="s">
        <v>43</v>
      </c>
      <c r="U15" s="7" t="s">
        <v>54</v>
      </c>
      <c r="V15" s="7">
        <v>2017</v>
      </c>
      <c r="W15" s="13">
        <v>541.20000000000005</v>
      </c>
      <c r="X15" s="18">
        <v>486914</v>
      </c>
      <c r="Y15" s="18">
        <v>243267</v>
      </c>
      <c r="Z15" s="18">
        <v>730181</v>
      </c>
      <c r="AA15" s="18">
        <v>453240</v>
      </c>
      <c r="AB15" s="18">
        <v>34398</v>
      </c>
      <c r="AC15" s="18">
        <v>146781</v>
      </c>
      <c r="AD15" s="7"/>
      <c r="AE15" s="7"/>
      <c r="AF15" s="7"/>
      <c r="AG15" s="7"/>
      <c r="AH15" s="7"/>
      <c r="AI15" s="7"/>
      <c r="AJ15" s="7"/>
      <c r="AK15" s="7"/>
      <c r="AL15" s="7"/>
      <c r="AM15" s="7"/>
      <c r="AN15" s="7"/>
      <c r="AO15" s="7"/>
      <c r="AP15" s="7"/>
      <c r="AQ15" s="7"/>
      <c r="AR15" s="7"/>
      <c r="AS15" s="7"/>
      <c r="AT15" s="7"/>
      <c r="AU15" s="7"/>
      <c r="AV15" s="7"/>
      <c r="AW15" s="7"/>
      <c r="AX15" s="7"/>
      <c r="AY15" s="7"/>
      <c r="AZ15" s="7"/>
    </row>
    <row r="16" spans="1:52" ht="63" customHeight="1">
      <c r="A16" s="12" t="s">
        <v>127</v>
      </c>
      <c r="B16" s="7">
        <v>1</v>
      </c>
      <c r="C16" s="7" t="s">
        <v>122</v>
      </c>
      <c r="D16" s="7" t="s">
        <v>95</v>
      </c>
      <c r="E16" s="7" t="s">
        <v>37</v>
      </c>
      <c r="F16" s="7" t="s">
        <v>128</v>
      </c>
      <c r="G16" s="7">
        <v>2004</v>
      </c>
      <c r="H16" s="7"/>
      <c r="I16" s="14" t="str">
        <f>HYPERLINK("mailto:general.enquiries@tnlcommunityfund.org.uk","general.enquiries@tnlcommunityfund.org.uk")</f>
        <v>general.enquiries@tnlcommunityfund.org.uk</v>
      </c>
      <c r="J16" s="14" t="str">
        <f>HYPERLINK("https://www.tnlcommunityfund.org.uk/","www.tnlcommunityfund.org.uk")</f>
        <v>www.tnlcommunityfund.org.uk</v>
      </c>
      <c r="K16" s="7" t="s">
        <v>129</v>
      </c>
      <c r="L16" s="7" t="s">
        <v>130</v>
      </c>
      <c r="M16" s="7" t="s">
        <v>42</v>
      </c>
      <c r="N16" s="15" t="s">
        <v>43</v>
      </c>
      <c r="O16" s="16">
        <v>40000</v>
      </c>
      <c r="P16" s="15" t="s">
        <v>52</v>
      </c>
      <c r="Q16" s="13" t="s">
        <v>131</v>
      </c>
      <c r="R16" s="7" t="s">
        <v>37</v>
      </c>
      <c r="S16" s="7" t="s">
        <v>43</v>
      </c>
      <c r="T16" s="7" t="s">
        <v>43</v>
      </c>
      <c r="U16" s="7" t="s">
        <v>54</v>
      </c>
      <c r="V16" s="7">
        <v>2014</v>
      </c>
      <c r="W16" s="7">
        <v>824</v>
      </c>
      <c r="X16" s="18">
        <v>722502</v>
      </c>
      <c r="Y16" s="18">
        <v>0</v>
      </c>
      <c r="Z16" s="18">
        <v>722502</v>
      </c>
      <c r="AA16" s="18">
        <v>0</v>
      </c>
      <c r="AB16" s="18">
        <v>0</v>
      </c>
      <c r="AC16" s="18">
        <v>618881</v>
      </c>
      <c r="AD16" s="7"/>
      <c r="AE16" s="7"/>
      <c r="AF16" s="7"/>
      <c r="AG16" s="7"/>
      <c r="AH16" s="7"/>
      <c r="AI16" s="7"/>
      <c r="AJ16" s="7"/>
      <c r="AK16" s="7"/>
      <c r="AL16" s="7"/>
      <c r="AM16" s="7"/>
      <c r="AN16" s="7"/>
      <c r="AO16" s="7"/>
      <c r="AP16" s="7"/>
      <c r="AQ16" s="7"/>
      <c r="AR16" s="7"/>
      <c r="AS16" s="7"/>
      <c r="AT16" s="7"/>
      <c r="AU16" s="7"/>
      <c r="AV16" s="7"/>
      <c r="AW16" s="7"/>
      <c r="AX16" s="7"/>
      <c r="AY16" s="7"/>
      <c r="AZ16" s="7"/>
    </row>
    <row r="17" spans="1:52" ht="63" customHeight="1">
      <c r="A17" s="20" t="s">
        <v>132</v>
      </c>
      <c r="B17" s="7">
        <v>1</v>
      </c>
      <c r="C17" s="7" t="s">
        <v>133</v>
      </c>
      <c r="D17" s="7" t="s">
        <v>36</v>
      </c>
      <c r="E17" s="7" t="s">
        <v>37</v>
      </c>
      <c r="F17" s="7" t="s">
        <v>134</v>
      </c>
      <c r="G17" s="7">
        <v>2007</v>
      </c>
      <c r="H17" s="7"/>
      <c r="I17" s="14" t="str">
        <f>HYPERLINK("mailto:BFEG@homeoffice.gov.uk","BFEG@homeoffice.gov.uk")</f>
        <v>BFEG@homeoffice.gov.uk</v>
      </c>
      <c r="J17" s="14" t="str">
        <f>HYPERLINK("https://www.gov.uk/government/organisations/biometrics-and-forensics-ethics-group","https://www.gov.uk/government/organisations/biometrics-and-forensics-ethics-group")</f>
        <v>https://www.gov.uk/government/organisations/biometrics-and-forensics-ethics-group</v>
      </c>
      <c r="K17" s="7" t="s">
        <v>135</v>
      </c>
      <c r="L17" s="7" t="s">
        <v>136</v>
      </c>
      <c r="M17" s="7" t="s">
        <v>42</v>
      </c>
      <c r="N17" s="15" t="s">
        <v>37</v>
      </c>
      <c r="O17" s="16"/>
      <c r="P17" s="15"/>
      <c r="Q17" s="17" t="s">
        <v>137</v>
      </c>
      <c r="R17" s="7" t="s">
        <v>37</v>
      </c>
      <c r="S17" s="7" t="s">
        <v>43</v>
      </c>
      <c r="T17" s="7" t="s">
        <v>43</v>
      </c>
      <c r="U17" s="7" t="s">
        <v>46</v>
      </c>
      <c r="V17" s="7">
        <v>2017</v>
      </c>
      <c r="W17" s="7">
        <v>2</v>
      </c>
      <c r="X17" s="18">
        <v>0</v>
      </c>
      <c r="Y17" s="18">
        <v>0</v>
      </c>
      <c r="Z17" s="18">
        <v>0</v>
      </c>
      <c r="AA17" s="18">
        <v>0</v>
      </c>
      <c r="AB17" s="18">
        <v>0</v>
      </c>
      <c r="AC17" s="18">
        <v>0</v>
      </c>
      <c r="AD17" s="29" t="s">
        <v>138</v>
      </c>
      <c r="AE17" s="13" t="s">
        <v>56</v>
      </c>
      <c r="AF17" s="7"/>
      <c r="AG17" s="7"/>
      <c r="AH17" s="7"/>
      <c r="AI17" s="7"/>
      <c r="AJ17" s="7"/>
      <c r="AK17" s="7"/>
      <c r="AL17" s="7"/>
      <c r="AM17" s="7"/>
      <c r="AN17" s="7"/>
      <c r="AO17" s="7"/>
      <c r="AP17" s="7"/>
      <c r="AQ17" s="7"/>
      <c r="AR17" s="7"/>
      <c r="AS17" s="7"/>
      <c r="AT17" s="7"/>
      <c r="AU17" s="7"/>
      <c r="AV17" s="7"/>
      <c r="AW17" s="7"/>
      <c r="AX17" s="7"/>
      <c r="AY17" s="7"/>
      <c r="AZ17" s="7"/>
    </row>
    <row r="18" spans="1:52" ht="63" customHeight="1">
      <c r="A18" s="20" t="s">
        <v>139</v>
      </c>
      <c r="B18" s="7">
        <v>1</v>
      </c>
      <c r="C18" s="7" t="s">
        <v>122</v>
      </c>
      <c r="D18" s="7" t="s">
        <v>95</v>
      </c>
      <c r="E18" s="7" t="s">
        <v>37</v>
      </c>
      <c r="F18" s="7" t="s">
        <v>140</v>
      </c>
      <c r="G18" s="7">
        <v>2017</v>
      </c>
      <c r="H18" s="7"/>
      <c r="I18" s="14" t="str">
        <f>HYPERLINK("mailto:generalenquiries@birmingham2022.com","generalenquiries@birmingham2022.com")</f>
        <v>generalenquiries@birmingham2022.com</v>
      </c>
      <c r="J18" s="14" t="s">
        <v>141</v>
      </c>
      <c r="K18" s="7" t="s">
        <v>142</v>
      </c>
      <c r="L18" s="7" t="s">
        <v>143</v>
      </c>
      <c r="M18" s="13" t="s">
        <v>42</v>
      </c>
      <c r="N18" s="15" t="s">
        <v>43</v>
      </c>
      <c r="O18" s="16">
        <v>20000</v>
      </c>
      <c r="P18" s="15" t="s">
        <v>52</v>
      </c>
      <c r="Q18" s="13" t="s">
        <v>144</v>
      </c>
      <c r="R18" s="7" t="s">
        <v>37</v>
      </c>
      <c r="S18" s="7" t="s">
        <v>43</v>
      </c>
      <c r="T18" s="7" t="s">
        <v>43</v>
      </c>
      <c r="U18" s="7" t="s">
        <v>46</v>
      </c>
      <c r="V18" s="7"/>
      <c r="W18" s="7">
        <v>18</v>
      </c>
      <c r="X18" s="18">
        <v>22351</v>
      </c>
      <c r="Y18" s="18">
        <v>2156</v>
      </c>
      <c r="Z18" s="18">
        <v>24507</v>
      </c>
      <c r="AA18" s="18">
        <v>24506</v>
      </c>
      <c r="AB18" s="18">
        <v>0</v>
      </c>
      <c r="AC18" s="18">
        <v>0</v>
      </c>
      <c r="AD18" s="7"/>
      <c r="AE18" s="7"/>
      <c r="AF18" s="7"/>
      <c r="AG18" s="7"/>
      <c r="AH18" s="7"/>
      <c r="AI18" s="7"/>
      <c r="AJ18" s="7"/>
      <c r="AK18" s="7"/>
      <c r="AL18" s="7"/>
      <c r="AM18" s="7"/>
      <c r="AN18" s="7"/>
      <c r="AO18" s="7"/>
      <c r="AP18" s="7"/>
      <c r="AQ18" s="7"/>
      <c r="AR18" s="7"/>
      <c r="AS18" s="7"/>
      <c r="AT18" s="7"/>
      <c r="AU18" s="7"/>
      <c r="AV18" s="7"/>
      <c r="AW18" s="7"/>
      <c r="AX18" s="7"/>
      <c r="AY18" s="7"/>
      <c r="AZ18" s="7"/>
    </row>
    <row r="19" spans="1:52" ht="63" customHeight="1">
      <c r="A19" s="20" t="s">
        <v>145</v>
      </c>
      <c r="B19" s="7">
        <v>1</v>
      </c>
      <c r="C19" s="7" t="s">
        <v>48</v>
      </c>
      <c r="D19" s="7" t="s">
        <v>36</v>
      </c>
      <c r="E19" s="7" t="s">
        <v>37</v>
      </c>
      <c r="F19" s="7" t="s">
        <v>146</v>
      </c>
      <c r="G19" s="7">
        <v>1955</v>
      </c>
      <c r="H19" s="7" t="s">
        <v>147</v>
      </c>
      <c r="I19" s="14" t="str">
        <f>HYPERLINK("mailto:information@boundarycommissionengland.gov.uk","information@boundarycommissionengland.gov.uk")</f>
        <v>information@boundarycommissionengland.gov.uk</v>
      </c>
      <c r="J19" s="14" t="str">
        <f>HYPERLINK("http://boundarycommissionforengland.independent.gov.uk/","http://boundarycommissionforengland.independent.gov.uk/")</f>
        <v>http://boundarycommissionforengland.independent.gov.uk/</v>
      </c>
      <c r="K19" s="7" t="s">
        <v>148</v>
      </c>
      <c r="L19" s="27" t="s">
        <v>149</v>
      </c>
      <c r="M19" s="13" t="s">
        <v>42</v>
      </c>
      <c r="N19" s="17" t="s">
        <v>37</v>
      </c>
      <c r="O19" s="16"/>
      <c r="P19" s="15"/>
      <c r="Q19" s="22"/>
      <c r="R19" s="7" t="s">
        <v>37</v>
      </c>
      <c r="S19" s="7" t="s">
        <v>43</v>
      </c>
      <c r="T19" s="7" t="s">
        <v>43</v>
      </c>
      <c r="U19" s="7" t="s">
        <v>54</v>
      </c>
      <c r="V19" s="7">
        <v>2015</v>
      </c>
      <c r="W19" s="7">
        <v>1.4</v>
      </c>
      <c r="X19" s="18">
        <v>580</v>
      </c>
      <c r="Y19" s="18">
        <v>0</v>
      </c>
      <c r="Z19" s="18">
        <v>580</v>
      </c>
      <c r="AA19" s="18">
        <v>543</v>
      </c>
      <c r="AB19" s="18">
        <v>0</v>
      </c>
      <c r="AC19" s="18">
        <v>0</v>
      </c>
      <c r="AD19" s="7"/>
      <c r="AE19" s="13" t="s">
        <v>56</v>
      </c>
      <c r="AF19" s="7"/>
      <c r="AG19" s="7"/>
      <c r="AH19" s="7"/>
      <c r="AI19" s="7"/>
      <c r="AJ19" s="7"/>
      <c r="AK19" s="7"/>
      <c r="AL19" s="7"/>
      <c r="AM19" s="7"/>
      <c r="AN19" s="7"/>
      <c r="AO19" s="7"/>
      <c r="AP19" s="7"/>
      <c r="AQ19" s="7"/>
      <c r="AR19" s="7"/>
      <c r="AS19" s="7"/>
      <c r="AT19" s="7"/>
      <c r="AU19" s="7"/>
      <c r="AV19" s="7"/>
      <c r="AW19" s="7"/>
      <c r="AX19" s="7"/>
      <c r="AY19" s="7"/>
      <c r="AZ19" s="7"/>
    </row>
    <row r="20" spans="1:52" ht="63" customHeight="1">
      <c r="A20" s="20" t="s">
        <v>150</v>
      </c>
      <c r="B20" s="7">
        <v>1</v>
      </c>
      <c r="C20" s="7" t="s">
        <v>151</v>
      </c>
      <c r="D20" s="7" t="s">
        <v>36</v>
      </c>
      <c r="E20" s="7" t="s">
        <v>37</v>
      </c>
      <c r="F20" s="7" t="s">
        <v>152</v>
      </c>
      <c r="G20" s="7">
        <v>1986</v>
      </c>
      <c r="H20" s="7" t="s">
        <v>153</v>
      </c>
      <c r="I20" s="14" t="s">
        <v>154</v>
      </c>
      <c r="J20" s="30" t="s">
        <v>155</v>
      </c>
      <c r="K20" s="7" t="s">
        <v>156</v>
      </c>
      <c r="L20" s="13" t="s">
        <v>157</v>
      </c>
      <c r="M20" s="13" t="s">
        <v>71</v>
      </c>
      <c r="N20" s="17" t="s">
        <v>37</v>
      </c>
      <c r="O20" s="16"/>
      <c r="P20" s="15"/>
      <c r="Q20" s="15" t="s">
        <v>158</v>
      </c>
      <c r="R20" s="7" t="s">
        <v>37</v>
      </c>
      <c r="S20" s="7" t="s">
        <v>37</v>
      </c>
      <c r="T20" s="7" t="s">
        <v>43</v>
      </c>
      <c r="U20" s="7" t="s">
        <v>54</v>
      </c>
      <c r="V20" s="7">
        <v>2016</v>
      </c>
      <c r="W20" s="7">
        <v>1</v>
      </c>
      <c r="X20" s="18">
        <v>196</v>
      </c>
      <c r="Y20" s="18">
        <v>0</v>
      </c>
      <c r="Z20" s="18">
        <v>196</v>
      </c>
      <c r="AA20" s="24">
        <v>196</v>
      </c>
      <c r="AB20" s="24">
        <v>0</v>
      </c>
      <c r="AC20" s="24">
        <v>0</v>
      </c>
      <c r="AD20" s="7"/>
      <c r="AE20" s="7"/>
      <c r="AF20" s="7"/>
      <c r="AG20" s="7"/>
      <c r="AH20" s="7"/>
      <c r="AI20" s="7"/>
      <c r="AJ20" s="7"/>
      <c r="AK20" s="7"/>
      <c r="AL20" s="7"/>
      <c r="AM20" s="7"/>
      <c r="AN20" s="7"/>
      <c r="AO20" s="7"/>
      <c r="AP20" s="7"/>
      <c r="AQ20" s="7"/>
      <c r="AR20" s="7"/>
      <c r="AS20" s="7"/>
      <c r="AT20" s="7"/>
      <c r="AU20" s="7"/>
      <c r="AV20" s="7"/>
      <c r="AW20" s="7"/>
      <c r="AX20" s="7"/>
      <c r="AY20" s="7"/>
      <c r="AZ20" s="7"/>
    </row>
    <row r="21" spans="1:52" ht="63" customHeight="1">
      <c r="A21" s="20" t="s">
        <v>159</v>
      </c>
      <c r="B21" s="7">
        <v>1</v>
      </c>
      <c r="C21" s="7" t="s">
        <v>160</v>
      </c>
      <c r="D21" s="7" t="s">
        <v>36</v>
      </c>
      <c r="E21" s="7" t="s">
        <v>63</v>
      </c>
      <c r="F21" s="7" t="s">
        <v>161</v>
      </c>
      <c r="G21" s="7">
        <v>1944</v>
      </c>
      <c r="H21" s="7" t="s">
        <v>162</v>
      </c>
      <c r="I21" s="14" t="str">
        <f>HYPERLINK("mailto:bcs@scottishboundaries.gov.uk","bcs@scottishboundaries.gov.uk")</f>
        <v>bcs@scottishboundaries.gov.uk</v>
      </c>
      <c r="J21" s="14" t="str">
        <f>HYPERLINK("http://www.bcomm-scotland.independent.gov.uk/","http://www.bcomm-scotland.independent.gov.uk/")</f>
        <v>http://www.bcomm-scotland.independent.gov.uk/</v>
      </c>
      <c r="K21" s="7" t="s">
        <v>163</v>
      </c>
      <c r="L21" s="13" t="s">
        <v>164</v>
      </c>
      <c r="M21" s="7" t="s">
        <v>71</v>
      </c>
      <c r="N21" s="17" t="s">
        <v>37</v>
      </c>
      <c r="O21" s="16"/>
      <c r="P21" s="23"/>
      <c r="Q21" s="23"/>
      <c r="R21" s="7" t="s">
        <v>56</v>
      </c>
      <c r="S21" s="7" t="s">
        <v>56</v>
      </c>
      <c r="T21" s="7" t="s">
        <v>56</v>
      </c>
      <c r="U21" s="7" t="s">
        <v>54</v>
      </c>
      <c r="V21" s="7">
        <v>2016</v>
      </c>
      <c r="W21" s="7">
        <v>6</v>
      </c>
      <c r="X21" s="18">
        <v>400</v>
      </c>
      <c r="Y21" s="18">
        <v>0</v>
      </c>
      <c r="Z21" s="18">
        <v>400</v>
      </c>
      <c r="AA21" s="19">
        <v>400</v>
      </c>
      <c r="AB21" s="24">
        <v>0</v>
      </c>
      <c r="AC21" s="24">
        <v>0</v>
      </c>
      <c r="AD21" s="7"/>
      <c r="AE21" s="7"/>
      <c r="AF21" s="7"/>
      <c r="AG21" s="7"/>
      <c r="AH21" s="7"/>
      <c r="AI21" s="7"/>
      <c r="AJ21" s="7"/>
      <c r="AK21" s="7"/>
      <c r="AL21" s="7"/>
      <c r="AM21" s="7"/>
      <c r="AN21" s="7"/>
      <c r="AO21" s="7"/>
      <c r="AP21" s="7"/>
      <c r="AQ21" s="7"/>
      <c r="AR21" s="7"/>
      <c r="AS21" s="7"/>
      <c r="AT21" s="7"/>
      <c r="AU21" s="7"/>
      <c r="AV21" s="7"/>
      <c r="AW21" s="7"/>
      <c r="AX21" s="7"/>
      <c r="AY21" s="7"/>
      <c r="AZ21" s="7"/>
    </row>
    <row r="22" spans="1:52" ht="63" customHeight="1">
      <c r="A22" s="20" t="s">
        <v>165</v>
      </c>
      <c r="B22" s="7">
        <v>1</v>
      </c>
      <c r="C22" s="7" t="s">
        <v>48</v>
      </c>
      <c r="D22" s="7" t="s">
        <v>36</v>
      </c>
      <c r="E22" s="7" t="s">
        <v>37</v>
      </c>
      <c r="F22" s="7" t="s">
        <v>166</v>
      </c>
      <c r="G22" s="7">
        <v>1944</v>
      </c>
      <c r="H22" s="7" t="s">
        <v>147</v>
      </c>
      <c r="I22" s="14" t="str">
        <f>HYPERLINK("bcomm.wales@gov.wales","bcomm.wales@gov.wales")</f>
        <v>bcomm.wales@gov.wales</v>
      </c>
      <c r="J22" s="14" t="str">
        <f>HYPERLINK("http://bcomm-wales.gov.uk","http://bcomm-wales.gov.uk")</f>
        <v>http://bcomm-wales.gov.uk</v>
      </c>
      <c r="K22" s="7" t="s">
        <v>148</v>
      </c>
      <c r="L22" s="27" t="s">
        <v>167</v>
      </c>
      <c r="M22" s="13" t="s">
        <v>42</v>
      </c>
      <c r="N22" s="17" t="s">
        <v>37</v>
      </c>
      <c r="O22" s="16"/>
      <c r="P22" s="15"/>
      <c r="Q22" s="22"/>
      <c r="R22" s="7" t="s">
        <v>37</v>
      </c>
      <c r="S22" s="7" t="s">
        <v>43</v>
      </c>
      <c r="T22" s="7" t="s">
        <v>43</v>
      </c>
      <c r="U22" s="7" t="s">
        <v>54</v>
      </c>
      <c r="V22" s="7">
        <v>2015</v>
      </c>
      <c r="W22" s="7">
        <v>3</v>
      </c>
      <c r="X22" s="18">
        <v>140</v>
      </c>
      <c r="Y22" s="18">
        <v>0</v>
      </c>
      <c r="Z22" s="18">
        <v>140</v>
      </c>
      <c r="AA22" s="24">
        <v>130</v>
      </c>
      <c r="AB22" s="24">
        <v>0</v>
      </c>
      <c r="AC22" s="24">
        <v>0</v>
      </c>
      <c r="AD22" s="29" t="s">
        <v>168</v>
      </c>
      <c r="AE22" s="13" t="s">
        <v>56</v>
      </c>
      <c r="AF22" s="7"/>
      <c r="AG22" s="7"/>
      <c r="AH22" s="7"/>
      <c r="AI22" s="7"/>
      <c r="AJ22" s="7"/>
      <c r="AK22" s="7"/>
      <c r="AL22" s="7"/>
      <c r="AM22" s="7"/>
      <c r="AN22" s="7"/>
      <c r="AO22" s="7"/>
      <c r="AP22" s="7"/>
      <c r="AQ22" s="7"/>
      <c r="AR22" s="7"/>
      <c r="AS22" s="7"/>
      <c r="AT22" s="7"/>
      <c r="AU22" s="7"/>
      <c r="AV22" s="7"/>
      <c r="AW22" s="7"/>
      <c r="AX22" s="7"/>
      <c r="AY22" s="7"/>
      <c r="AZ22" s="7"/>
    </row>
    <row r="23" spans="1:52" ht="63" customHeight="1">
      <c r="A23" s="20" t="s">
        <v>169</v>
      </c>
      <c r="B23" s="7">
        <v>1</v>
      </c>
      <c r="C23" s="7" t="s">
        <v>170</v>
      </c>
      <c r="D23" s="7" t="s">
        <v>95</v>
      </c>
      <c r="E23" s="7" t="s">
        <v>37</v>
      </c>
      <c r="F23" s="7" t="s">
        <v>171</v>
      </c>
      <c r="G23" s="7">
        <v>1934</v>
      </c>
      <c r="H23" s="7"/>
      <c r="I23" s="14" t="str">
        <f>HYPERLINK("mailto:general.enquiries@britishcouncil.org","general.enquiries@britishcouncil.org")</f>
        <v>general.enquiries@britishcouncil.org</v>
      </c>
      <c r="J23" s="14" t="str">
        <f>HYPERLINK("https://www.britishcouncil.org/","https://www.britishcouncil.org/")</f>
        <v>https://www.britishcouncil.org/</v>
      </c>
      <c r="K23" s="7" t="s">
        <v>172</v>
      </c>
      <c r="L23" s="13" t="s">
        <v>173</v>
      </c>
      <c r="M23" s="7" t="s">
        <v>71</v>
      </c>
      <c r="N23" s="15" t="s">
        <v>37</v>
      </c>
      <c r="O23" s="16"/>
      <c r="P23" s="15"/>
      <c r="Q23" s="17" t="s">
        <v>174</v>
      </c>
      <c r="R23" s="7" t="s">
        <v>37</v>
      </c>
      <c r="S23" s="7" t="s">
        <v>43</v>
      </c>
      <c r="T23" s="7" t="s">
        <v>43</v>
      </c>
      <c r="U23" s="7" t="s">
        <v>54</v>
      </c>
      <c r="V23" s="7">
        <v>2019</v>
      </c>
      <c r="W23" s="26">
        <v>10963</v>
      </c>
      <c r="X23" s="18">
        <v>183800</v>
      </c>
      <c r="Y23" s="18">
        <v>1065732</v>
      </c>
      <c r="Z23" s="18">
        <v>1249532</v>
      </c>
      <c r="AA23" s="18">
        <v>1050400</v>
      </c>
      <c r="AB23" s="18">
        <v>10000</v>
      </c>
      <c r="AC23" s="18">
        <v>0</v>
      </c>
      <c r="AD23" s="7"/>
      <c r="AE23" s="7"/>
      <c r="AF23" s="7"/>
      <c r="AG23" s="7"/>
      <c r="AH23" s="7"/>
      <c r="AI23" s="7"/>
      <c r="AJ23" s="7"/>
      <c r="AK23" s="7"/>
      <c r="AL23" s="7"/>
      <c r="AM23" s="7"/>
      <c r="AN23" s="7"/>
      <c r="AO23" s="7"/>
      <c r="AP23" s="7"/>
      <c r="AQ23" s="7"/>
      <c r="AR23" s="7"/>
      <c r="AS23" s="7"/>
      <c r="AT23" s="7"/>
      <c r="AU23" s="7"/>
      <c r="AV23" s="7"/>
      <c r="AW23" s="7"/>
      <c r="AX23" s="7"/>
      <c r="AY23" s="7"/>
      <c r="AZ23" s="7"/>
    </row>
    <row r="24" spans="1:52" ht="63" customHeight="1">
      <c r="A24" s="20" t="s">
        <v>175</v>
      </c>
      <c r="B24" s="7">
        <v>1</v>
      </c>
      <c r="C24" s="7" t="s">
        <v>122</v>
      </c>
      <c r="D24" s="7" t="s">
        <v>95</v>
      </c>
      <c r="E24" s="7" t="s">
        <v>37</v>
      </c>
      <c r="F24" s="7" t="s">
        <v>176</v>
      </c>
      <c r="G24" s="7">
        <v>2011</v>
      </c>
      <c r="H24" s="7"/>
      <c r="I24" s="14" t="str">
        <f>HYPERLINK("https://www.bfi.org.uk/","Contact form on website")</f>
        <v>Contact form on website</v>
      </c>
      <c r="J24" s="14" t="s">
        <v>177</v>
      </c>
      <c r="K24" s="13" t="s">
        <v>178</v>
      </c>
      <c r="L24" s="7" t="s">
        <v>179</v>
      </c>
      <c r="M24" s="13" t="s">
        <v>42</v>
      </c>
      <c r="N24" s="15" t="s">
        <v>37</v>
      </c>
      <c r="O24" s="16"/>
      <c r="P24" s="15"/>
      <c r="Q24" s="13" t="s">
        <v>180</v>
      </c>
      <c r="R24" s="7" t="s">
        <v>37</v>
      </c>
      <c r="S24" s="7" t="s">
        <v>43</v>
      </c>
      <c r="T24" s="7" t="s">
        <v>43</v>
      </c>
      <c r="U24" s="7" t="s">
        <v>54</v>
      </c>
      <c r="V24" s="7"/>
      <c r="W24" s="7">
        <v>497.5</v>
      </c>
      <c r="X24" s="18">
        <v>21718</v>
      </c>
      <c r="Y24" s="18">
        <v>73452</v>
      </c>
      <c r="Z24" s="18">
        <v>95170</v>
      </c>
      <c r="AA24" s="18">
        <v>19125</v>
      </c>
      <c r="AB24" s="18">
        <v>4730</v>
      </c>
      <c r="AC24" s="18">
        <v>77827</v>
      </c>
      <c r="AD24" s="7"/>
      <c r="AE24" s="7"/>
      <c r="AF24" s="7"/>
      <c r="AG24" s="7"/>
      <c r="AH24" s="7"/>
      <c r="AI24" s="7"/>
      <c r="AJ24" s="7"/>
      <c r="AK24" s="7"/>
      <c r="AL24" s="7"/>
      <c r="AM24" s="7"/>
      <c r="AN24" s="7"/>
      <c r="AO24" s="7"/>
      <c r="AP24" s="7"/>
      <c r="AQ24" s="7"/>
      <c r="AR24" s="7"/>
      <c r="AS24" s="7"/>
      <c r="AT24" s="7"/>
      <c r="AU24" s="7"/>
      <c r="AV24" s="7"/>
      <c r="AW24" s="7"/>
      <c r="AX24" s="7"/>
      <c r="AY24" s="7"/>
      <c r="AZ24" s="7"/>
    </row>
    <row r="25" spans="1:52" ht="63" customHeight="1">
      <c r="A25" s="20" t="s">
        <v>181</v>
      </c>
      <c r="B25" s="7">
        <v>1</v>
      </c>
      <c r="C25" s="7" t="s">
        <v>94</v>
      </c>
      <c r="D25" s="7" t="s">
        <v>95</v>
      </c>
      <c r="E25" s="7" t="s">
        <v>56</v>
      </c>
      <c r="F25" s="7" t="s">
        <v>182</v>
      </c>
      <c r="G25" s="7">
        <v>1973</v>
      </c>
      <c r="H25" s="7"/>
      <c r="I25" s="14" t="str">
        <f>HYPERLINK("mailto:britishhallmarkingcouncilsec@gmail.com","britishhallmarkingcouncilsec@gmail.com")</f>
        <v>britishhallmarkingcouncilsec@gmail.com</v>
      </c>
      <c r="J25" s="14" t="str">
        <f>HYPERLINK("https://www.gov.uk/government/organisations/british-hallmarking-council","https://www.gov.uk/government/organisations/british-hallmarking-council")</f>
        <v>https://www.gov.uk/government/organisations/british-hallmarking-council</v>
      </c>
      <c r="K25" s="7" t="s">
        <v>97</v>
      </c>
      <c r="L25" s="7" t="s">
        <v>183</v>
      </c>
      <c r="M25" s="7" t="s">
        <v>71</v>
      </c>
      <c r="N25" s="15" t="s">
        <v>56</v>
      </c>
      <c r="O25" s="16">
        <v>18000</v>
      </c>
      <c r="P25" s="15" t="s">
        <v>52</v>
      </c>
      <c r="Q25" s="15" t="s">
        <v>184</v>
      </c>
      <c r="R25" s="7" t="s">
        <v>63</v>
      </c>
      <c r="S25" s="7" t="s">
        <v>56</v>
      </c>
      <c r="T25" s="7" t="s">
        <v>56</v>
      </c>
      <c r="U25" s="7" t="s">
        <v>54</v>
      </c>
      <c r="V25" s="7">
        <v>2015</v>
      </c>
      <c r="W25" s="7">
        <v>0</v>
      </c>
      <c r="X25" s="18">
        <v>0</v>
      </c>
      <c r="Y25" s="18">
        <v>0</v>
      </c>
      <c r="Z25" s="18">
        <v>0</v>
      </c>
      <c r="AA25" s="24">
        <v>1083</v>
      </c>
      <c r="AB25" s="24">
        <v>0</v>
      </c>
      <c r="AC25" s="24">
        <v>0</v>
      </c>
      <c r="AD25" s="7" t="s">
        <v>185</v>
      </c>
      <c r="AE25" s="7"/>
      <c r="AF25" s="7"/>
      <c r="AG25" s="7"/>
      <c r="AH25" s="7"/>
      <c r="AI25" s="7"/>
      <c r="AJ25" s="7"/>
      <c r="AK25" s="7"/>
      <c r="AL25" s="7"/>
      <c r="AM25" s="7"/>
      <c r="AN25" s="7"/>
      <c r="AO25" s="7"/>
      <c r="AP25" s="7"/>
      <c r="AQ25" s="7"/>
      <c r="AR25" s="7"/>
      <c r="AS25" s="7"/>
      <c r="AT25" s="7"/>
      <c r="AU25" s="7"/>
      <c r="AV25" s="7"/>
      <c r="AW25" s="7"/>
      <c r="AX25" s="7"/>
      <c r="AY25" s="7"/>
      <c r="AZ25" s="7"/>
    </row>
    <row r="26" spans="1:52" ht="63" customHeight="1">
      <c r="A26" s="20" t="s">
        <v>186</v>
      </c>
      <c r="B26" s="7">
        <v>1</v>
      </c>
      <c r="C26" s="7" t="s">
        <v>122</v>
      </c>
      <c r="D26" s="7" t="s">
        <v>95</v>
      </c>
      <c r="E26" s="7" t="s">
        <v>37</v>
      </c>
      <c r="F26" s="7" t="s">
        <v>187</v>
      </c>
      <c r="G26" s="7">
        <v>1753</v>
      </c>
      <c r="H26" s="7" t="s">
        <v>188</v>
      </c>
      <c r="I26" s="14" t="s">
        <v>189</v>
      </c>
      <c r="J26" s="14" t="s">
        <v>190</v>
      </c>
      <c r="K26" s="7" t="s">
        <v>191</v>
      </c>
      <c r="L26" s="7" t="s">
        <v>192</v>
      </c>
      <c r="M26" s="13" t="s">
        <v>42</v>
      </c>
      <c r="N26" s="15" t="s">
        <v>43</v>
      </c>
      <c r="O26" s="16">
        <v>35180</v>
      </c>
      <c r="P26" s="15" t="s">
        <v>52</v>
      </c>
      <c r="Q26" s="13" t="s">
        <v>193</v>
      </c>
      <c r="R26" s="7" t="s">
        <v>56</v>
      </c>
      <c r="S26" s="7" t="s">
        <v>56</v>
      </c>
      <c r="T26" s="7" t="s">
        <v>56</v>
      </c>
      <c r="U26" s="7" t="s">
        <v>54</v>
      </c>
      <c r="V26" s="7">
        <v>2017</v>
      </c>
      <c r="W26" s="31">
        <v>1494.5</v>
      </c>
      <c r="X26" s="18">
        <v>93443</v>
      </c>
      <c r="Y26" s="18">
        <v>28760</v>
      </c>
      <c r="Z26" s="18">
        <v>122203</v>
      </c>
      <c r="AA26" s="18">
        <v>106636</v>
      </c>
      <c r="AB26" s="18">
        <v>4900</v>
      </c>
      <c r="AC26" s="18">
        <v>37362</v>
      </c>
      <c r="AD26" s="7"/>
      <c r="AE26" s="7"/>
      <c r="AF26" s="7"/>
      <c r="AG26" s="7"/>
      <c r="AH26" s="7"/>
      <c r="AI26" s="7"/>
      <c r="AJ26" s="7"/>
      <c r="AK26" s="7"/>
      <c r="AL26" s="7"/>
      <c r="AM26" s="7"/>
      <c r="AN26" s="7"/>
      <c r="AO26" s="7"/>
      <c r="AP26" s="7"/>
      <c r="AQ26" s="7"/>
      <c r="AR26" s="7"/>
      <c r="AS26" s="7"/>
      <c r="AT26" s="7"/>
      <c r="AU26" s="7"/>
      <c r="AV26" s="7"/>
      <c r="AW26" s="7"/>
      <c r="AX26" s="7"/>
      <c r="AY26" s="7"/>
      <c r="AZ26" s="7"/>
    </row>
    <row r="27" spans="1:52" ht="63" customHeight="1">
      <c r="A27" s="20" t="s">
        <v>194</v>
      </c>
      <c r="B27" s="7">
        <v>1</v>
      </c>
      <c r="C27" s="7" t="s">
        <v>122</v>
      </c>
      <c r="D27" s="7" t="s">
        <v>95</v>
      </c>
      <c r="E27" s="7" t="s">
        <v>37</v>
      </c>
      <c r="F27" s="7" t="s">
        <v>195</v>
      </c>
      <c r="G27" s="7">
        <v>1753</v>
      </c>
      <c r="H27" s="7"/>
      <c r="I27" s="14" t="str">
        <f>HYPERLINK("mailto:INFORMATION@britishmuseum.org","INFORMATION@britishmuseum.org")</f>
        <v>INFORMATION@britishmuseum.org</v>
      </c>
      <c r="J27" s="14" t="s">
        <v>196</v>
      </c>
      <c r="K27" s="7" t="s">
        <v>197</v>
      </c>
      <c r="L27" s="7" t="s">
        <v>198</v>
      </c>
      <c r="M27" s="7" t="s">
        <v>71</v>
      </c>
      <c r="N27" s="15" t="s">
        <v>37</v>
      </c>
      <c r="O27" s="16"/>
      <c r="P27" s="15"/>
      <c r="Q27" s="13" t="s">
        <v>199</v>
      </c>
      <c r="R27" s="7" t="s">
        <v>43</v>
      </c>
      <c r="S27" s="7" t="s">
        <v>43</v>
      </c>
      <c r="T27" s="7" t="s">
        <v>43</v>
      </c>
      <c r="U27" s="7" t="s">
        <v>54</v>
      </c>
      <c r="V27" s="7">
        <v>2017</v>
      </c>
      <c r="W27" s="13">
        <v>746.78</v>
      </c>
      <c r="X27" s="18">
        <v>52543</v>
      </c>
      <c r="Y27" s="18">
        <v>53125</v>
      </c>
      <c r="Z27" s="18">
        <v>105668</v>
      </c>
      <c r="AA27" s="18">
        <v>56962</v>
      </c>
      <c r="AB27" s="18">
        <v>17973</v>
      </c>
      <c r="AC27" s="18">
        <v>-647</v>
      </c>
      <c r="AD27" s="7"/>
      <c r="AE27" s="7"/>
      <c r="AF27" s="7"/>
      <c r="AG27" s="7"/>
      <c r="AH27" s="7"/>
      <c r="AI27" s="7"/>
      <c r="AJ27" s="7"/>
      <c r="AK27" s="7"/>
      <c r="AL27" s="7"/>
      <c r="AM27" s="7"/>
      <c r="AN27" s="7"/>
      <c r="AO27" s="7"/>
      <c r="AP27" s="7"/>
      <c r="AQ27" s="7"/>
      <c r="AR27" s="7"/>
      <c r="AS27" s="7"/>
      <c r="AT27" s="7"/>
      <c r="AU27" s="7"/>
      <c r="AV27" s="7"/>
      <c r="AW27" s="7"/>
      <c r="AX27" s="7"/>
      <c r="AY27" s="7"/>
      <c r="AZ27" s="7"/>
    </row>
    <row r="28" spans="1:52" ht="63" customHeight="1">
      <c r="A28" s="20" t="s">
        <v>200</v>
      </c>
      <c r="B28" s="7">
        <v>1</v>
      </c>
      <c r="C28" s="7" t="s">
        <v>58</v>
      </c>
      <c r="D28" s="7" t="s">
        <v>36</v>
      </c>
      <c r="E28" s="7" t="s">
        <v>37</v>
      </c>
      <c r="F28" s="7" t="s">
        <v>201</v>
      </c>
      <c r="G28" s="7">
        <v>1970</v>
      </c>
      <c r="H28" s="7"/>
      <c r="I28" s="14" t="str">
        <f>HYPERLINK("mailto:bpcom@mhra.gov.uk","bpcom@mhra.gov.uk")</f>
        <v>bpcom@mhra.gov.uk</v>
      </c>
      <c r="J28" s="14" t="str">
        <f>HYPERLINK("https://www.pharmacopoeia.com/","www.pharmacopoeia.com")</f>
        <v>www.pharmacopoeia.com</v>
      </c>
      <c r="K28" s="7" t="s">
        <v>202</v>
      </c>
      <c r="L28" s="7" t="s">
        <v>203</v>
      </c>
      <c r="M28" s="7" t="s">
        <v>42</v>
      </c>
      <c r="N28" s="15" t="s">
        <v>43</v>
      </c>
      <c r="O28" s="16">
        <v>500</v>
      </c>
      <c r="P28" s="15" t="s">
        <v>44</v>
      </c>
      <c r="Q28" s="17" t="s">
        <v>204</v>
      </c>
      <c r="R28" s="7" t="s">
        <v>37</v>
      </c>
      <c r="S28" s="7" t="s">
        <v>43</v>
      </c>
      <c r="T28" s="7" t="s">
        <v>43</v>
      </c>
      <c r="U28" s="7" t="s">
        <v>54</v>
      </c>
      <c r="V28" s="7">
        <v>2015</v>
      </c>
      <c r="W28" s="32">
        <v>0</v>
      </c>
      <c r="X28" s="18">
        <v>0</v>
      </c>
      <c r="Y28" s="18">
        <v>0</v>
      </c>
      <c r="Z28" s="18">
        <v>0</v>
      </c>
      <c r="AA28" s="18">
        <v>66</v>
      </c>
      <c r="AB28" s="18">
        <v>0</v>
      </c>
      <c r="AC28" s="18">
        <v>0</v>
      </c>
      <c r="AD28" s="7"/>
      <c r="AE28" s="13" t="s">
        <v>56</v>
      </c>
      <c r="AF28" s="7"/>
      <c r="AG28" s="7"/>
      <c r="AH28" s="7"/>
      <c r="AI28" s="7"/>
      <c r="AJ28" s="7"/>
      <c r="AK28" s="7"/>
      <c r="AL28" s="7"/>
      <c r="AM28" s="7"/>
      <c r="AN28" s="7"/>
      <c r="AO28" s="7"/>
      <c r="AP28" s="7"/>
      <c r="AQ28" s="7"/>
      <c r="AR28" s="7"/>
      <c r="AS28" s="7"/>
      <c r="AT28" s="7"/>
      <c r="AU28" s="7"/>
      <c r="AV28" s="7"/>
      <c r="AW28" s="7"/>
      <c r="AX28" s="7"/>
      <c r="AY28" s="7"/>
      <c r="AZ28" s="7"/>
    </row>
    <row r="29" spans="1:52" ht="63" customHeight="1">
      <c r="A29" s="20" t="s">
        <v>205</v>
      </c>
      <c r="B29" s="7">
        <v>1</v>
      </c>
      <c r="C29" s="7" t="s">
        <v>206</v>
      </c>
      <c r="D29" s="7" t="s">
        <v>95</v>
      </c>
      <c r="E29" s="7" t="s">
        <v>37</v>
      </c>
      <c r="F29" s="7" t="s">
        <v>207</v>
      </c>
      <c r="G29" s="7">
        <v>2004</v>
      </c>
      <c r="H29" s="7"/>
      <c r="I29" s="14" t="str">
        <f>HYPERLINK("mailto:general.enquiries@btpa.police.uk","general.enquiries@btpa.police.uk")</f>
        <v>general.enquiries@btpa.police.uk</v>
      </c>
      <c r="J29" s="14" t="str">
        <f>HYPERLINK("http://btpa.police.uk/","http://btpa.police.uk/")</f>
        <v>http://btpa.police.uk/</v>
      </c>
      <c r="K29" s="7" t="s">
        <v>208</v>
      </c>
      <c r="L29" s="7" t="s">
        <v>209</v>
      </c>
      <c r="M29" s="13" t="s">
        <v>42</v>
      </c>
      <c r="N29" s="15" t="s">
        <v>43</v>
      </c>
      <c r="O29" s="16">
        <v>32000</v>
      </c>
      <c r="P29" s="15" t="s">
        <v>52</v>
      </c>
      <c r="Q29" s="15" t="s">
        <v>210</v>
      </c>
      <c r="R29" s="7" t="s">
        <v>43</v>
      </c>
      <c r="S29" s="7" t="s">
        <v>43</v>
      </c>
      <c r="T29" s="7" t="s">
        <v>43</v>
      </c>
      <c r="U29" s="7" t="s">
        <v>54</v>
      </c>
      <c r="V29" s="7">
        <v>2014</v>
      </c>
      <c r="W29" s="33">
        <v>5072</v>
      </c>
      <c r="X29" s="18">
        <v>0</v>
      </c>
      <c r="Y29" s="18">
        <v>303306</v>
      </c>
      <c r="Z29" s="18">
        <v>303306</v>
      </c>
      <c r="AA29" s="18">
        <v>287437</v>
      </c>
      <c r="AB29" s="18">
        <v>9573</v>
      </c>
      <c r="AC29" s="18">
        <v>14253</v>
      </c>
      <c r="AD29" s="7"/>
      <c r="AE29" s="7"/>
      <c r="AF29" s="7"/>
      <c r="AG29" s="7"/>
      <c r="AH29" s="7"/>
      <c r="AI29" s="7"/>
      <c r="AJ29" s="7"/>
      <c r="AK29" s="7"/>
      <c r="AL29" s="7"/>
      <c r="AM29" s="7"/>
      <c r="AN29" s="7"/>
      <c r="AO29" s="7"/>
      <c r="AP29" s="7"/>
      <c r="AQ29" s="7"/>
      <c r="AR29" s="7"/>
      <c r="AS29" s="7"/>
      <c r="AT29" s="7"/>
      <c r="AU29" s="7"/>
      <c r="AV29" s="7"/>
      <c r="AW29" s="7"/>
      <c r="AX29" s="7"/>
      <c r="AY29" s="7"/>
      <c r="AZ29" s="7"/>
    </row>
    <row r="30" spans="1:52" ht="63" customHeight="1">
      <c r="A30" s="20" t="s">
        <v>211</v>
      </c>
      <c r="B30" s="7">
        <v>1</v>
      </c>
      <c r="C30" s="7" t="s">
        <v>212</v>
      </c>
      <c r="D30" s="7" t="s">
        <v>36</v>
      </c>
      <c r="E30" s="7" t="s">
        <v>37</v>
      </c>
      <c r="F30" s="13" t="s">
        <v>213</v>
      </c>
      <c r="G30" s="7">
        <v>1962</v>
      </c>
      <c r="H30" s="7"/>
      <c r="I30" s="14" t="str">
        <f>HYPERLINK("mailto:BRACSecretariat@communities.gov.uk","BRACSecretariat@communities.gov.uk")</f>
        <v>BRACSecretariat@communities.gov.uk</v>
      </c>
      <c r="J30" s="14" t="str">
        <f>HYPERLINK("https://www.gov.uk/government/organisations/building-regulations-advisory-committee","https://www.gov.uk/government/organisations/building-regulations-advisory-committee")</f>
        <v>https://www.gov.uk/government/organisations/building-regulations-advisory-committee</v>
      </c>
      <c r="K30" s="7" t="s">
        <v>214</v>
      </c>
      <c r="L30" s="13" t="s">
        <v>215</v>
      </c>
      <c r="M30" s="13" t="s">
        <v>42</v>
      </c>
      <c r="N30" s="15" t="s">
        <v>37</v>
      </c>
      <c r="O30" s="16"/>
      <c r="P30" s="15"/>
      <c r="Q30" s="17" t="s">
        <v>216</v>
      </c>
      <c r="R30" s="7" t="s">
        <v>37</v>
      </c>
      <c r="S30" s="7" t="s">
        <v>37</v>
      </c>
      <c r="T30" s="7" t="s">
        <v>43</v>
      </c>
      <c r="U30" s="7"/>
      <c r="V30" s="7"/>
      <c r="W30" s="32">
        <v>0</v>
      </c>
      <c r="X30" s="18">
        <v>3</v>
      </c>
      <c r="Y30" s="18">
        <v>0</v>
      </c>
      <c r="Z30" s="18">
        <v>3</v>
      </c>
      <c r="AA30" s="18">
        <v>0</v>
      </c>
      <c r="AB30" s="18">
        <v>0</v>
      </c>
      <c r="AC30" s="18">
        <v>0</v>
      </c>
      <c r="AD30" s="7"/>
      <c r="AE30" s="13" t="s">
        <v>56</v>
      </c>
      <c r="AF30" s="7"/>
      <c r="AG30" s="7"/>
      <c r="AH30" s="7"/>
      <c r="AI30" s="7"/>
      <c r="AJ30" s="7"/>
      <c r="AK30" s="7"/>
      <c r="AL30" s="7"/>
      <c r="AM30" s="7"/>
      <c r="AN30" s="7"/>
      <c r="AO30" s="7"/>
      <c r="AP30" s="7"/>
      <c r="AQ30" s="7"/>
      <c r="AR30" s="7"/>
      <c r="AS30" s="7"/>
      <c r="AT30" s="7"/>
      <c r="AU30" s="7"/>
      <c r="AV30" s="7"/>
      <c r="AW30" s="7"/>
      <c r="AX30" s="7"/>
      <c r="AY30" s="7"/>
      <c r="AZ30" s="7"/>
    </row>
    <row r="31" spans="1:52" ht="63" customHeight="1">
      <c r="A31" s="20" t="s">
        <v>217</v>
      </c>
      <c r="B31" s="7">
        <v>1</v>
      </c>
      <c r="C31" s="7" t="s">
        <v>58</v>
      </c>
      <c r="D31" s="7" t="s">
        <v>95</v>
      </c>
      <c r="E31" s="7" t="s">
        <v>43</v>
      </c>
      <c r="F31" s="7" t="s">
        <v>218</v>
      </c>
      <c r="G31" s="7">
        <v>2009</v>
      </c>
      <c r="H31" s="7"/>
      <c r="I31" s="14" t="str">
        <f>HYPERLINK("mailto:enquiries@cqc.org.uk","enquiries@cqc.org.uk")</f>
        <v>enquiries@cqc.org.uk</v>
      </c>
      <c r="J31" s="14" t="str">
        <f>HYPERLINK("http://www.cqc.org.uk/","http://www.cqc.org.uk/")</f>
        <v>http://www.cqc.org.uk/</v>
      </c>
      <c r="K31" s="7" t="s">
        <v>219</v>
      </c>
      <c r="L31" s="7" t="s">
        <v>220</v>
      </c>
      <c r="M31" s="7" t="s">
        <v>42</v>
      </c>
      <c r="N31" s="15" t="s">
        <v>43</v>
      </c>
      <c r="O31" s="16">
        <v>63000</v>
      </c>
      <c r="P31" s="15" t="s">
        <v>52</v>
      </c>
      <c r="Q31" s="17" t="s">
        <v>221</v>
      </c>
      <c r="R31" s="7" t="s">
        <v>43</v>
      </c>
      <c r="S31" s="7" t="s">
        <v>43</v>
      </c>
      <c r="T31" s="7" t="s">
        <v>43</v>
      </c>
      <c r="U31" s="7" t="s">
        <v>54</v>
      </c>
      <c r="V31" s="7">
        <v>2010</v>
      </c>
      <c r="W31" s="26">
        <v>3210</v>
      </c>
      <c r="X31" s="18">
        <v>39450</v>
      </c>
      <c r="Y31" s="18">
        <v>205805</v>
      </c>
      <c r="Z31" s="18">
        <v>245255</v>
      </c>
      <c r="AA31" s="18">
        <v>227774</v>
      </c>
      <c r="AB31" s="18">
        <v>10307</v>
      </c>
      <c r="AC31" s="18">
        <v>4097</v>
      </c>
      <c r="AD31" s="7"/>
      <c r="AE31" s="13" t="s">
        <v>56</v>
      </c>
      <c r="AF31" s="7"/>
      <c r="AG31" s="7"/>
      <c r="AH31" s="7"/>
      <c r="AI31" s="7"/>
      <c r="AJ31" s="7"/>
      <c r="AK31" s="7"/>
      <c r="AL31" s="7"/>
      <c r="AM31" s="7"/>
      <c r="AN31" s="7"/>
      <c r="AO31" s="7"/>
      <c r="AP31" s="7"/>
      <c r="AQ31" s="7"/>
      <c r="AR31" s="7"/>
      <c r="AS31" s="7"/>
      <c r="AT31" s="7"/>
      <c r="AU31" s="7"/>
      <c r="AV31" s="7"/>
      <c r="AW31" s="7"/>
      <c r="AX31" s="7"/>
      <c r="AY31" s="7"/>
      <c r="AZ31" s="7"/>
    </row>
    <row r="32" spans="1:52" ht="63" customHeight="1">
      <c r="A32" s="20" t="s">
        <v>222</v>
      </c>
      <c r="B32" s="7">
        <v>1</v>
      </c>
      <c r="C32" s="7" t="s">
        <v>94</v>
      </c>
      <c r="D32" s="7" t="s">
        <v>95</v>
      </c>
      <c r="E32" s="7" t="s">
        <v>63</v>
      </c>
      <c r="F32" s="7" t="s">
        <v>223</v>
      </c>
      <c r="G32" s="7">
        <v>2000</v>
      </c>
      <c r="H32" s="7"/>
      <c r="I32" s="14" t="str">
        <f>HYPERLINK("mailto:enquiries@cac.gov.uk","enquiries@cac.gov.uk")</f>
        <v>enquiries@cac.gov.uk</v>
      </c>
      <c r="J32" s="14" t="str">
        <f>HYPERLINK("https://www.gov.uk/government/organisations/central-arbitration-committee","https://www.gov.uk/government/organisations/central-arbitration-committee")</f>
        <v>https://www.gov.uk/government/organisations/central-arbitration-committee</v>
      </c>
      <c r="K32" s="7" t="s">
        <v>97</v>
      </c>
      <c r="L32" s="7" t="s">
        <v>224</v>
      </c>
      <c r="M32" s="7" t="s">
        <v>42</v>
      </c>
      <c r="N32" s="15" t="s">
        <v>56</v>
      </c>
      <c r="O32" s="16">
        <v>25357</v>
      </c>
      <c r="P32" s="15" t="s">
        <v>52</v>
      </c>
      <c r="Q32" s="17" t="s">
        <v>225</v>
      </c>
      <c r="R32" s="7" t="s">
        <v>226</v>
      </c>
      <c r="S32" s="7" t="s">
        <v>227</v>
      </c>
      <c r="T32" s="7" t="s">
        <v>43</v>
      </c>
      <c r="U32" s="7" t="s">
        <v>54</v>
      </c>
      <c r="V32" s="7">
        <v>2018</v>
      </c>
      <c r="W32" s="7">
        <v>8</v>
      </c>
      <c r="X32" s="18">
        <v>2198</v>
      </c>
      <c r="Y32" s="18">
        <v>0</v>
      </c>
      <c r="Z32" s="18">
        <v>2198</v>
      </c>
      <c r="AA32" s="18">
        <v>1242</v>
      </c>
      <c r="AB32" s="18">
        <v>0</v>
      </c>
      <c r="AC32" s="18">
        <v>0</v>
      </c>
      <c r="AD32" s="7" t="s">
        <v>185</v>
      </c>
      <c r="AE32" s="7"/>
      <c r="AF32" s="7"/>
      <c r="AG32" s="7"/>
      <c r="AH32" s="7"/>
      <c r="AI32" s="7"/>
      <c r="AJ32" s="7"/>
      <c r="AK32" s="7"/>
      <c r="AL32" s="7"/>
      <c r="AM32" s="7"/>
      <c r="AN32" s="7"/>
      <c r="AO32" s="7"/>
      <c r="AP32" s="7"/>
      <c r="AQ32" s="7"/>
      <c r="AR32" s="7"/>
      <c r="AS32" s="7"/>
      <c r="AT32" s="7"/>
      <c r="AU32" s="7"/>
      <c r="AV32" s="7"/>
      <c r="AW32" s="7"/>
      <c r="AX32" s="7"/>
      <c r="AY32" s="7"/>
      <c r="AZ32" s="7"/>
    </row>
    <row r="33" spans="1:52" ht="63" customHeight="1">
      <c r="A33" s="20" t="s">
        <v>228</v>
      </c>
      <c r="B33" s="7">
        <v>1</v>
      </c>
      <c r="C33" s="7" t="s">
        <v>79</v>
      </c>
      <c r="D33" s="7" t="s">
        <v>108</v>
      </c>
      <c r="E33" s="7" t="s">
        <v>37</v>
      </c>
      <c r="F33" s="7" t="s">
        <v>229</v>
      </c>
      <c r="G33" s="7">
        <v>1997</v>
      </c>
      <c r="H33" s="7"/>
      <c r="I33" s="14" t="str">
        <f>HYPERLINK("mailto:CMBOffice@cefas.co.uk","CMBOffice@cefas.co.uk")</f>
        <v>CMBOffice@cefas.co.uk</v>
      </c>
      <c r="J33" s="14" t="str">
        <f>HYPERLINK("https://www.gov.uk/government /organisations/centre-for-environment-fisheries-and-aquaculture-science","https://www.gov.uk/government
/organisations/centre-for-environment-fisheries-and-aquaculture-science")</f>
        <v>https://www.gov.uk/government
/organisations/centre-for-environment-fisheries-and-aquaculture-science</v>
      </c>
      <c r="K33" s="13" t="s">
        <v>230</v>
      </c>
      <c r="L33" s="7" t="s">
        <v>231</v>
      </c>
      <c r="M33" s="7" t="s">
        <v>42</v>
      </c>
      <c r="N33" s="15" t="s">
        <v>43</v>
      </c>
      <c r="O33" s="16">
        <v>10000</v>
      </c>
      <c r="P33" s="15" t="s">
        <v>52</v>
      </c>
      <c r="Q33" s="15" t="s">
        <v>112</v>
      </c>
      <c r="R33" s="7" t="s">
        <v>37</v>
      </c>
      <c r="S33" s="7" t="s">
        <v>43</v>
      </c>
      <c r="T33" s="7" t="s">
        <v>43</v>
      </c>
      <c r="U33" s="7" t="s">
        <v>54</v>
      </c>
      <c r="V33" s="25"/>
      <c r="W33" s="7">
        <v>629</v>
      </c>
      <c r="X33" s="18">
        <v>35851</v>
      </c>
      <c r="Y33" s="18">
        <v>23455</v>
      </c>
      <c r="Z33" s="18">
        <v>59306</v>
      </c>
      <c r="AA33" s="18">
        <v>51607</v>
      </c>
      <c r="AB33" s="18">
        <v>21611</v>
      </c>
      <c r="AC33" s="18">
        <v>0</v>
      </c>
      <c r="AD33" s="7"/>
      <c r="AE33" s="7"/>
      <c r="AF33" s="7"/>
      <c r="AG33" s="7"/>
      <c r="AH33" s="7"/>
      <c r="AI33" s="7"/>
      <c r="AJ33" s="7"/>
      <c r="AK33" s="7"/>
      <c r="AL33" s="7"/>
      <c r="AM33" s="7"/>
      <c r="AN33" s="7"/>
      <c r="AO33" s="7"/>
      <c r="AP33" s="7"/>
      <c r="AQ33" s="7"/>
      <c r="AR33" s="7"/>
      <c r="AS33" s="7"/>
      <c r="AT33" s="7"/>
      <c r="AU33" s="7"/>
      <c r="AV33" s="7"/>
      <c r="AW33" s="7"/>
      <c r="AX33" s="7"/>
      <c r="AY33" s="7"/>
      <c r="AZ33" s="7"/>
    </row>
    <row r="34" spans="1:52" ht="63" customHeight="1">
      <c r="A34" s="20" t="s">
        <v>232</v>
      </c>
      <c r="B34" s="7">
        <v>1</v>
      </c>
      <c r="C34" s="7" t="s">
        <v>122</v>
      </c>
      <c r="D34" s="7" t="s">
        <v>233</v>
      </c>
      <c r="E34" s="7" t="s">
        <v>43</v>
      </c>
      <c r="F34" s="7" t="s">
        <v>234</v>
      </c>
      <c r="G34" s="7">
        <v>1853</v>
      </c>
      <c r="H34" s="7"/>
      <c r="I34" s="14" t="str">
        <f>HYPERLINK("mailto:CEO@charitycommission.gov.uk","CEO@charitycommission.gov.uk")</f>
        <v>CEO@charitycommission.gov.uk</v>
      </c>
      <c r="J34" s="14" t="str">
        <f>HYPERLINK("https://www.gov.uk/government/organisations/charity-commission%20 ","https://www.gov.uk/government/organisations/charity-commission%20 ")</f>
        <v xml:space="preserve">https://www.gov.uk/government/organisations/charity-commission%20 </v>
      </c>
      <c r="K34" s="7" t="s">
        <v>235</v>
      </c>
      <c r="L34" s="7" t="s">
        <v>236</v>
      </c>
      <c r="M34" s="7" t="s">
        <v>42</v>
      </c>
      <c r="N34" s="7" t="s">
        <v>43</v>
      </c>
      <c r="O34" s="16">
        <v>60000</v>
      </c>
      <c r="P34" s="7" t="s">
        <v>52</v>
      </c>
      <c r="Q34" s="13" t="s">
        <v>100</v>
      </c>
      <c r="R34" s="7" t="s">
        <v>43</v>
      </c>
      <c r="S34" s="7" t="s">
        <v>37</v>
      </c>
      <c r="T34" s="7" t="s">
        <v>43</v>
      </c>
      <c r="U34" s="7" t="s">
        <v>54</v>
      </c>
      <c r="V34" s="7"/>
      <c r="W34" s="7">
        <v>410</v>
      </c>
      <c r="X34" s="18">
        <v>25500</v>
      </c>
      <c r="Y34" s="18">
        <v>1600</v>
      </c>
      <c r="Z34" s="18">
        <f>(X34+Y34)</f>
        <v>27100</v>
      </c>
      <c r="AA34" s="18">
        <f>25183-159-1501-13-19-61</f>
        <v>23430</v>
      </c>
      <c r="AB34" s="18">
        <f>2002</f>
        <v>2002</v>
      </c>
      <c r="AC34" s="18">
        <v>0</v>
      </c>
      <c r="AD34" s="7"/>
      <c r="AE34" s="7"/>
      <c r="AF34" s="7"/>
      <c r="AG34" s="7"/>
      <c r="AH34" s="7"/>
      <c r="AI34" s="7"/>
      <c r="AJ34" s="7"/>
      <c r="AK34" s="7"/>
      <c r="AL34" s="7"/>
      <c r="AM34" s="7"/>
      <c r="AN34" s="7"/>
      <c r="AO34" s="7"/>
      <c r="AP34" s="7"/>
      <c r="AQ34" s="7"/>
      <c r="AR34" s="7"/>
      <c r="AS34" s="7"/>
      <c r="AT34" s="7"/>
      <c r="AU34" s="7"/>
      <c r="AV34" s="7"/>
      <c r="AW34" s="7"/>
      <c r="AX34" s="7"/>
      <c r="AY34" s="7"/>
      <c r="AZ34" s="7"/>
    </row>
    <row r="35" spans="1:52" ht="63" customHeight="1">
      <c r="A35" s="20" t="s">
        <v>237</v>
      </c>
      <c r="B35" s="7">
        <v>1</v>
      </c>
      <c r="C35" s="7" t="s">
        <v>89</v>
      </c>
      <c r="D35" s="7" t="s">
        <v>95</v>
      </c>
      <c r="E35" s="7" t="s">
        <v>37</v>
      </c>
      <c r="F35" s="7" t="s">
        <v>238</v>
      </c>
      <c r="G35" s="7">
        <v>2001</v>
      </c>
      <c r="H35" s="7"/>
      <c r="I35" s="14" t="str">
        <f>HYPERLINK("https://www.cafcass.gov.uk/contact-us/ ","Please contact on our website")</f>
        <v>Please contact on our website</v>
      </c>
      <c r="J35" s="14" t="str">
        <f>HYPERLINK("https://www.cafcass.gov.uk/","www.cafcass.gov.uk")</f>
        <v>www.cafcass.gov.uk</v>
      </c>
      <c r="K35" s="7" t="s">
        <v>239</v>
      </c>
      <c r="L35" s="27" t="s">
        <v>240</v>
      </c>
      <c r="M35" s="13" t="s">
        <v>42</v>
      </c>
      <c r="N35" s="15" t="s">
        <v>43</v>
      </c>
      <c r="O35" s="16">
        <v>400</v>
      </c>
      <c r="P35" s="15" t="s">
        <v>44</v>
      </c>
      <c r="Q35" s="17" t="s">
        <v>241</v>
      </c>
      <c r="R35" s="7" t="s">
        <v>37</v>
      </c>
      <c r="S35" s="7" t="s">
        <v>37</v>
      </c>
      <c r="T35" s="7" t="s">
        <v>43</v>
      </c>
      <c r="U35" s="7" t="s">
        <v>46</v>
      </c>
      <c r="V35" s="7"/>
      <c r="W35" s="31">
        <v>1800.59</v>
      </c>
      <c r="X35" s="18">
        <v>119628</v>
      </c>
      <c r="Y35" s="18">
        <v>75</v>
      </c>
      <c r="Z35" s="18">
        <v>119703</v>
      </c>
      <c r="AA35" s="18">
        <v>118947</v>
      </c>
      <c r="AB35" s="18">
        <v>0</v>
      </c>
      <c r="AC35" s="18">
        <v>16191</v>
      </c>
      <c r="AD35" s="7"/>
      <c r="AE35" s="13" t="s">
        <v>56</v>
      </c>
      <c r="AF35" s="7"/>
      <c r="AG35" s="7"/>
      <c r="AH35" s="7"/>
      <c r="AI35" s="7"/>
      <c r="AJ35" s="7"/>
      <c r="AK35" s="7"/>
      <c r="AL35" s="7"/>
      <c r="AM35" s="7"/>
      <c r="AN35" s="7"/>
      <c r="AO35" s="7"/>
      <c r="AP35" s="7"/>
      <c r="AQ35" s="7"/>
      <c r="AR35" s="7"/>
      <c r="AS35" s="7"/>
      <c r="AT35" s="7"/>
      <c r="AU35" s="7"/>
      <c r="AV35" s="7"/>
      <c r="AW35" s="7"/>
      <c r="AX35" s="7"/>
      <c r="AY35" s="7"/>
      <c r="AZ35" s="7"/>
    </row>
    <row r="36" spans="1:52" ht="63" customHeight="1">
      <c r="A36" s="20" t="s">
        <v>242</v>
      </c>
      <c r="B36" s="7">
        <v>1</v>
      </c>
      <c r="C36" s="7" t="s">
        <v>89</v>
      </c>
      <c r="D36" s="13" t="s">
        <v>36</v>
      </c>
      <c r="E36" s="7" t="s">
        <v>43</v>
      </c>
      <c r="F36" s="7" t="s">
        <v>243</v>
      </c>
      <c r="G36" s="7">
        <v>1997</v>
      </c>
      <c r="H36" s="7"/>
      <c r="I36" s="14" t="str">
        <f>HYPERLINK("mailto:cjc@judiciary.uk","cjc@judiciary.uk")</f>
        <v>cjc@judiciary.uk</v>
      </c>
      <c r="J36" s="14" t="str">
        <f>HYPERLINK("http://www.judiciary.gov.uk/about-the-judiciary/advisory-bodies/cjc","http://www.judiciary.gov.uk/about-the-judiciary/advisory-bodies/cjc")</f>
        <v>http://www.judiciary.gov.uk/about-the-judiciary/advisory-bodies/cjc</v>
      </c>
      <c r="K36" s="13" t="s">
        <v>244</v>
      </c>
      <c r="L36" s="27" t="s">
        <v>245</v>
      </c>
      <c r="M36" s="27" t="s">
        <v>246</v>
      </c>
      <c r="N36" s="15" t="s">
        <v>37</v>
      </c>
      <c r="O36" s="16"/>
      <c r="P36" s="15"/>
      <c r="Q36" s="17" t="s">
        <v>247</v>
      </c>
      <c r="R36" s="7" t="s">
        <v>37</v>
      </c>
      <c r="S36" s="7" t="s">
        <v>43</v>
      </c>
      <c r="T36" s="7" t="s">
        <v>43</v>
      </c>
      <c r="U36" s="7" t="s">
        <v>46</v>
      </c>
      <c r="V36" s="27">
        <v>2013</v>
      </c>
      <c r="W36" s="7">
        <v>2</v>
      </c>
      <c r="X36" s="18">
        <v>40</v>
      </c>
      <c r="Y36" s="18">
        <v>0</v>
      </c>
      <c r="Z36" s="18">
        <v>40</v>
      </c>
      <c r="AA36" s="18">
        <v>0</v>
      </c>
      <c r="AB36" s="18">
        <v>0</v>
      </c>
      <c r="AC36" s="18">
        <v>0</v>
      </c>
      <c r="AD36" s="7"/>
      <c r="AE36" s="7"/>
      <c r="AF36" s="7"/>
      <c r="AG36" s="7"/>
      <c r="AH36" s="7"/>
      <c r="AI36" s="7"/>
      <c r="AJ36" s="7"/>
      <c r="AK36" s="7"/>
      <c r="AL36" s="7"/>
      <c r="AM36" s="7"/>
      <c r="AN36" s="7"/>
      <c r="AO36" s="7"/>
      <c r="AP36" s="7"/>
      <c r="AQ36" s="7"/>
      <c r="AR36" s="7"/>
      <c r="AS36" s="7"/>
      <c r="AT36" s="7"/>
      <c r="AU36" s="7"/>
      <c r="AV36" s="7"/>
      <c r="AW36" s="7"/>
      <c r="AX36" s="7"/>
      <c r="AY36" s="7"/>
      <c r="AZ36" s="7"/>
    </row>
    <row r="37" spans="1:52" ht="63" customHeight="1">
      <c r="A37" s="20" t="s">
        <v>248</v>
      </c>
      <c r="B37" s="7">
        <v>1</v>
      </c>
      <c r="C37" s="7" t="s">
        <v>94</v>
      </c>
      <c r="D37" s="7" t="s">
        <v>95</v>
      </c>
      <c r="E37" s="7" t="s">
        <v>63</v>
      </c>
      <c r="F37" s="7" t="s">
        <v>249</v>
      </c>
      <c r="G37" s="7">
        <v>2004</v>
      </c>
      <c r="H37" s="7"/>
      <c r="I37" s="14" t="str">
        <f>HYPERLINK("mailto:info@cnpa.pnn.police.uk","info@cnpa.pnn.police.uk")</f>
        <v>info@cnpa.pnn.police.uk</v>
      </c>
      <c r="J37" s="14" t="str">
        <f>HYPERLINK("https://www.gov.uk/government/organisations/civil-nuclear-police-authority","https://www.gov.uk/government/organisations/civil-nuclear-police-authority")</f>
        <v>https://www.gov.uk/government/organisations/civil-nuclear-police-authority</v>
      </c>
      <c r="K37" s="7" t="s">
        <v>250</v>
      </c>
      <c r="L37" s="7" t="s">
        <v>251</v>
      </c>
      <c r="M37" s="7" t="s">
        <v>42</v>
      </c>
      <c r="N37" s="15" t="s">
        <v>56</v>
      </c>
      <c r="O37" s="16">
        <v>67500</v>
      </c>
      <c r="P37" s="15" t="s">
        <v>52</v>
      </c>
      <c r="Q37" s="15" t="s">
        <v>252</v>
      </c>
      <c r="R37" s="7" t="s">
        <v>63</v>
      </c>
      <c r="S37" s="7" t="s">
        <v>56</v>
      </c>
      <c r="T37" s="7" t="s">
        <v>56</v>
      </c>
      <c r="U37" s="7" t="s">
        <v>253</v>
      </c>
      <c r="V37" s="7">
        <v>2010</v>
      </c>
      <c r="W37" s="26">
        <v>1546</v>
      </c>
      <c r="X37" s="18">
        <v>828</v>
      </c>
      <c r="Y37" s="18">
        <v>112049</v>
      </c>
      <c r="Z37" s="18">
        <v>112877</v>
      </c>
      <c r="AA37" s="18">
        <v>113304</v>
      </c>
      <c r="AB37" s="18">
        <v>4429</v>
      </c>
      <c r="AC37" s="18">
        <v>0</v>
      </c>
      <c r="AD37" s="7" t="s">
        <v>185</v>
      </c>
      <c r="AE37" s="7"/>
      <c r="AF37" s="7"/>
      <c r="AG37" s="7"/>
      <c r="AH37" s="7"/>
      <c r="AI37" s="7"/>
      <c r="AJ37" s="7"/>
      <c r="AK37" s="7"/>
      <c r="AL37" s="7"/>
      <c r="AM37" s="7"/>
      <c r="AN37" s="7"/>
      <c r="AO37" s="7"/>
      <c r="AP37" s="7"/>
      <c r="AQ37" s="7"/>
      <c r="AR37" s="7"/>
      <c r="AS37" s="7"/>
      <c r="AT37" s="7"/>
      <c r="AU37" s="7"/>
      <c r="AV37" s="7"/>
      <c r="AW37" s="7"/>
      <c r="AX37" s="7"/>
      <c r="AY37" s="7"/>
      <c r="AZ37" s="7"/>
    </row>
    <row r="38" spans="1:52" ht="63" customHeight="1">
      <c r="A38" s="20" t="s">
        <v>254</v>
      </c>
      <c r="B38" s="7">
        <v>1</v>
      </c>
      <c r="C38" s="7" t="s">
        <v>89</v>
      </c>
      <c r="D38" s="7" t="s">
        <v>36</v>
      </c>
      <c r="E38" s="7" t="s">
        <v>37</v>
      </c>
      <c r="F38" s="7" t="s">
        <v>255</v>
      </c>
      <c r="G38" s="7">
        <v>1998</v>
      </c>
      <c r="H38" s="7"/>
      <c r="I38" s="14" t="str">
        <f>HYPERLINK("mailto:carl.poole@justice.gov.uk","carl.poole@justice.gov.uk")</f>
        <v>carl.poole@justice.gov.uk</v>
      </c>
      <c r="J38" s="14" t="str">
        <f>HYPERLINK("https://www.gov.uk/government/organisations/civil-procedure-rules-committee","https://www.gov.uk/government/organisations/civil-procedure-rules-committee")</f>
        <v>https://www.gov.uk/government/organisations/civil-procedure-rules-committee</v>
      </c>
      <c r="K38" s="7" t="s">
        <v>256</v>
      </c>
      <c r="L38" s="27" t="s">
        <v>257</v>
      </c>
      <c r="M38" s="27" t="s">
        <v>246</v>
      </c>
      <c r="N38" s="15" t="s">
        <v>37</v>
      </c>
      <c r="O38" s="16"/>
      <c r="P38" s="15"/>
      <c r="Q38" s="17" t="s">
        <v>258</v>
      </c>
      <c r="R38" s="7" t="s">
        <v>43</v>
      </c>
      <c r="S38" s="7" t="s">
        <v>43</v>
      </c>
      <c r="T38" s="7" t="s">
        <v>43</v>
      </c>
      <c r="U38" s="7" t="s">
        <v>46</v>
      </c>
      <c r="V38" s="7"/>
      <c r="W38" s="7">
        <v>1</v>
      </c>
      <c r="X38" s="18">
        <v>0</v>
      </c>
      <c r="Y38" s="18">
        <v>0</v>
      </c>
      <c r="Z38" s="18">
        <v>0</v>
      </c>
      <c r="AA38" s="18">
        <v>0</v>
      </c>
      <c r="AB38" s="18">
        <v>0</v>
      </c>
      <c r="AC38" s="18">
        <v>0</v>
      </c>
      <c r="AD38" s="7"/>
      <c r="AE38" s="7"/>
      <c r="AF38" s="7"/>
      <c r="AG38" s="7"/>
      <c r="AH38" s="7"/>
      <c r="AI38" s="7"/>
      <c r="AJ38" s="7"/>
      <c r="AK38" s="7"/>
      <c r="AL38" s="7"/>
      <c r="AM38" s="7"/>
      <c r="AN38" s="7"/>
      <c r="AO38" s="7"/>
      <c r="AP38" s="7"/>
      <c r="AQ38" s="7"/>
      <c r="AR38" s="7"/>
      <c r="AS38" s="7"/>
      <c r="AT38" s="7"/>
      <c r="AU38" s="7"/>
      <c r="AV38" s="7"/>
      <c r="AW38" s="7"/>
      <c r="AX38" s="7"/>
      <c r="AY38" s="7"/>
      <c r="AZ38" s="7"/>
    </row>
    <row r="39" spans="1:52" ht="63" customHeight="1">
      <c r="A39" s="20" t="s">
        <v>259</v>
      </c>
      <c r="B39" s="7">
        <v>1</v>
      </c>
      <c r="C39" s="7" t="s">
        <v>48</v>
      </c>
      <c r="D39" s="7" t="s">
        <v>95</v>
      </c>
      <c r="E39" s="7" t="s">
        <v>43</v>
      </c>
      <c r="F39" s="7" t="s">
        <v>260</v>
      </c>
      <c r="G39" s="7">
        <v>1855</v>
      </c>
      <c r="H39" s="7" t="s">
        <v>261</v>
      </c>
      <c r="I39" s="14" t="str">
        <f>HYPERLINK("mailto:info@csc.gov.uk","info@csc.gov.uk")</f>
        <v>info@csc.gov.uk</v>
      </c>
      <c r="J39" s="14" t="str">
        <f>HYPERLINK("https://civilservicecommission.independent.gov.uk/","https://civilservicecommission.independent.gov.uk/")</f>
        <v>https://civilservicecommission.independent.gov.uk/</v>
      </c>
      <c r="K39" s="7" t="s">
        <v>50</v>
      </c>
      <c r="L39" s="7" t="s">
        <v>262</v>
      </c>
      <c r="M39" s="7" t="s">
        <v>42</v>
      </c>
      <c r="N39" s="15" t="s">
        <v>43</v>
      </c>
      <c r="O39" s="16">
        <v>55000</v>
      </c>
      <c r="P39" s="15" t="s">
        <v>52</v>
      </c>
      <c r="Q39" s="34" t="s">
        <v>263</v>
      </c>
      <c r="R39" s="7" t="s">
        <v>37</v>
      </c>
      <c r="S39" s="7" t="s">
        <v>43</v>
      </c>
      <c r="T39" s="7" t="s">
        <v>43</v>
      </c>
      <c r="U39" s="7" t="s">
        <v>54</v>
      </c>
      <c r="V39" s="7">
        <v>2015</v>
      </c>
      <c r="W39" s="7">
        <v>17.2</v>
      </c>
      <c r="X39" s="18">
        <v>1530</v>
      </c>
      <c r="Y39" s="18">
        <v>0</v>
      </c>
      <c r="Z39" s="18">
        <v>1530</v>
      </c>
      <c r="AA39" s="18">
        <v>1530</v>
      </c>
      <c r="AB39" s="18">
        <v>0</v>
      </c>
      <c r="AC39" s="18">
        <v>0</v>
      </c>
      <c r="AD39" s="7" t="s">
        <v>264</v>
      </c>
      <c r="AE39" s="7"/>
      <c r="AF39" s="7"/>
      <c r="AG39" s="7"/>
      <c r="AH39" s="7"/>
      <c r="AI39" s="7"/>
      <c r="AJ39" s="7"/>
      <c r="AK39" s="7"/>
      <c r="AL39" s="7"/>
      <c r="AM39" s="7"/>
      <c r="AN39" s="7"/>
      <c r="AO39" s="7"/>
      <c r="AP39" s="7"/>
      <c r="AQ39" s="7"/>
      <c r="AR39" s="7"/>
      <c r="AS39" s="7"/>
      <c r="AT39" s="7"/>
      <c r="AU39" s="7"/>
      <c r="AV39" s="7"/>
      <c r="AW39" s="7"/>
      <c r="AX39" s="7"/>
      <c r="AY39" s="7"/>
      <c r="AZ39" s="7"/>
    </row>
    <row r="40" spans="1:52" ht="63" customHeight="1">
      <c r="A40" s="20" t="s">
        <v>265</v>
      </c>
      <c r="B40" s="7">
        <v>1</v>
      </c>
      <c r="C40" s="7" t="s">
        <v>94</v>
      </c>
      <c r="D40" s="7" t="s">
        <v>95</v>
      </c>
      <c r="E40" s="7" t="s">
        <v>56</v>
      </c>
      <c r="F40" s="7" t="s">
        <v>266</v>
      </c>
      <c r="G40" s="7">
        <v>1994</v>
      </c>
      <c r="H40" s="7"/>
      <c r="I40" s="14" t="str">
        <f>HYPERLINK("mailto:thecoalauthority@coal.gov.uk","thecoalauthority@coal.gov.uk")</f>
        <v>thecoalauthority@coal.gov.uk</v>
      </c>
      <c r="J40" s="14" t="str">
        <f>HYPERLINK("https://www.gov.uk/government/organisations/the-coal-authority","https://www.gov.uk/government/organisations/the-coal-authority")</f>
        <v>https://www.gov.uk/government/organisations/the-coal-authority</v>
      </c>
      <c r="K40" s="7" t="s">
        <v>250</v>
      </c>
      <c r="L40" s="7" t="s">
        <v>267</v>
      </c>
      <c r="M40" s="7" t="s">
        <v>42</v>
      </c>
      <c r="N40" s="15" t="s">
        <v>56</v>
      </c>
      <c r="O40" s="16">
        <v>27050</v>
      </c>
      <c r="P40" s="15" t="s">
        <v>52</v>
      </c>
      <c r="Q40" s="15" t="s">
        <v>268</v>
      </c>
      <c r="R40" s="7" t="s">
        <v>56</v>
      </c>
      <c r="S40" s="7" t="s">
        <v>56</v>
      </c>
      <c r="T40" s="7" t="s">
        <v>56</v>
      </c>
      <c r="U40" s="7" t="s">
        <v>54</v>
      </c>
      <c r="V40" s="7">
        <v>2017</v>
      </c>
      <c r="W40" s="7">
        <v>235</v>
      </c>
      <c r="X40" s="18">
        <v>28500</v>
      </c>
      <c r="Y40" s="18">
        <v>26405</v>
      </c>
      <c r="Z40" s="18">
        <v>54905</v>
      </c>
      <c r="AA40" s="18">
        <v>40378</v>
      </c>
      <c r="AB40" s="18">
        <v>14440</v>
      </c>
      <c r="AC40" s="18">
        <v>0</v>
      </c>
      <c r="AD40" s="7" t="s">
        <v>185</v>
      </c>
      <c r="AE40" s="7"/>
      <c r="AF40" s="7"/>
      <c r="AG40" s="7"/>
      <c r="AH40" s="7"/>
      <c r="AI40" s="7"/>
      <c r="AJ40" s="7"/>
      <c r="AK40" s="7"/>
      <c r="AL40" s="7"/>
      <c r="AM40" s="7"/>
      <c r="AN40" s="7"/>
      <c r="AO40" s="7"/>
      <c r="AP40" s="7"/>
      <c r="AQ40" s="7"/>
      <c r="AR40" s="7"/>
      <c r="AS40" s="7"/>
      <c r="AT40" s="7"/>
      <c r="AU40" s="7"/>
      <c r="AV40" s="7"/>
      <c r="AW40" s="7"/>
      <c r="AX40" s="7"/>
      <c r="AY40" s="7"/>
      <c r="AZ40" s="7"/>
    </row>
    <row r="41" spans="1:52" ht="63" customHeight="1">
      <c r="A41" s="20" t="s">
        <v>269</v>
      </c>
      <c r="B41" s="7">
        <v>1</v>
      </c>
      <c r="C41" s="7" t="s">
        <v>58</v>
      </c>
      <c r="D41" s="7" t="s">
        <v>36</v>
      </c>
      <c r="E41" s="7" t="s">
        <v>43</v>
      </c>
      <c r="F41" s="7" t="s">
        <v>270</v>
      </c>
      <c r="G41" s="7">
        <v>2005</v>
      </c>
      <c r="H41" s="7"/>
      <c r="I41" s="14" t="str">
        <f>HYPERLINK("mailto:ExpertCommitteeSupport@mhra.gov.uk","ExpertCommitteeSupport@mhra.gov.uk")</f>
        <v>ExpertCommitteeSupport@mhra.gov.uk</v>
      </c>
      <c r="J41" s="14" t="str">
        <f>HYPERLINK("https://www.gov.uk/government/organisations/commission-on-human-medicines","https://www.gov.uk/government/organisations/commission-on-human-medicines")</f>
        <v>https://www.gov.uk/government/organisations/commission-on-human-medicines</v>
      </c>
      <c r="K41" s="7" t="s">
        <v>271</v>
      </c>
      <c r="L41" s="7" t="s">
        <v>272</v>
      </c>
      <c r="M41" s="7" t="s">
        <v>42</v>
      </c>
      <c r="N41" s="15" t="s">
        <v>43</v>
      </c>
      <c r="O41" s="16">
        <v>500</v>
      </c>
      <c r="P41" s="15" t="s">
        <v>44</v>
      </c>
      <c r="Q41" s="15" t="s">
        <v>273</v>
      </c>
      <c r="R41" s="7" t="s">
        <v>37</v>
      </c>
      <c r="S41" s="7" t="s">
        <v>43</v>
      </c>
      <c r="T41" s="7" t="s">
        <v>43</v>
      </c>
      <c r="U41" s="7" t="s">
        <v>54</v>
      </c>
      <c r="V41" s="13">
        <v>2015</v>
      </c>
      <c r="W41" s="7">
        <v>0</v>
      </c>
      <c r="X41" s="18">
        <v>0</v>
      </c>
      <c r="Y41" s="18">
        <v>0</v>
      </c>
      <c r="Z41" s="18">
        <v>0</v>
      </c>
      <c r="AA41" s="18">
        <v>95</v>
      </c>
      <c r="AB41" s="18">
        <v>0</v>
      </c>
      <c r="AC41" s="18">
        <v>0</v>
      </c>
      <c r="AD41" s="7"/>
      <c r="AE41" s="13" t="s">
        <v>56</v>
      </c>
      <c r="AF41" s="7"/>
      <c r="AG41" s="7"/>
      <c r="AH41" s="7"/>
      <c r="AI41" s="7"/>
      <c r="AJ41" s="7"/>
      <c r="AK41" s="7"/>
      <c r="AL41" s="7"/>
      <c r="AM41" s="7"/>
      <c r="AN41" s="7"/>
      <c r="AO41" s="7"/>
      <c r="AP41" s="7"/>
      <c r="AQ41" s="7"/>
      <c r="AR41" s="7"/>
      <c r="AS41" s="7"/>
      <c r="AT41" s="7"/>
      <c r="AU41" s="7"/>
      <c r="AV41" s="7"/>
      <c r="AW41" s="7"/>
      <c r="AX41" s="7"/>
      <c r="AY41" s="7"/>
      <c r="AZ41" s="7"/>
    </row>
    <row r="42" spans="1:52" ht="63" customHeight="1">
      <c r="A42" s="20" t="s">
        <v>274</v>
      </c>
      <c r="B42" s="7">
        <v>1</v>
      </c>
      <c r="C42" s="7" t="s">
        <v>275</v>
      </c>
      <c r="D42" s="7" t="s">
        <v>95</v>
      </c>
      <c r="E42" s="7" t="s">
        <v>37</v>
      </c>
      <c r="F42" s="7" t="s">
        <v>276</v>
      </c>
      <c r="G42" s="13">
        <v>1786</v>
      </c>
      <c r="H42" s="7" t="s">
        <v>277</v>
      </c>
      <c r="I42" s="14" t="s">
        <v>278</v>
      </c>
      <c r="J42" s="14" t="str">
        <f>HYPERLINK("https://www.dmo.gov.uk/responsibilities/public-sector-funds-crnd/","https://www.dmo.gov.uk/responsibilities/public-sector-funds-crnd/")</f>
        <v>https://www.dmo.gov.uk/responsibilities/public-sector-funds-crnd/</v>
      </c>
      <c r="K42" s="35" t="s">
        <v>279</v>
      </c>
      <c r="L42" s="27" t="s">
        <v>46</v>
      </c>
      <c r="M42" s="13" t="s">
        <v>46</v>
      </c>
      <c r="N42" s="17" t="s">
        <v>46</v>
      </c>
      <c r="O42" s="16"/>
      <c r="P42" s="15"/>
      <c r="Q42" s="15"/>
      <c r="R42" s="7" t="s">
        <v>37</v>
      </c>
      <c r="S42" s="7" t="s">
        <v>37</v>
      </c>
      <c r="T42" s="7" t="s">
        <v>43</v>
      </c>
      <c r="U42" s="35" t="s">
        <v>279</v>
      </c>
      <c r="V42" s="7"/>
      <c r="W42" s="7">
        <v>0</v>
      </c>
      <c r="X42" s="18">
        <v>40</v>
      </c>
      <c r="Y42" s="18">
        <v>0</v>
      </c>
      <c r="Z42" s="18">
        <v>40</v>
      </c>
      <c r="AA42" s="18">
        <v>0</v>
      </c>
      <c r="AB42" s="18">
        <v>0</v>
      </c>
      <c r="AC42" s="18">
        <v>0</v>
      </c>
      <c r="AD42" s="7"/>
      <c r="AE42" s="7"/>
      <c r="AF42" s="7"/>
      <c r="AG42" s="7"/>
      <c r="AH42" s="7"/>
      <c r="AI42" s="7"/>
      <c r="AJ42" s="7"/>
      <c r="AK42" s="7"/>
      <c r="AL42" s="7"/>
      <c r="AM42" s="7"/>
      <c r="AN42" s="7"/>
      <c r="AO42" s="7"/>
      <c r="AP42" s="7"/>
      <c r="AQ42" s="7"/>
      <c r="AR42" s="7"/>
      <c r="AS42" s="7"/>
      <c r="AT42" s="7"/>
      <c r="AU42" s="7"/>
      <c r="AV42" s="7"/>
      <c r="AW42" s="7"/>
      <c r="AX42" s="7"/>
      <c r="AY42" s="7"/>
      <c r="AZ42" s="7"/>
    </row>
    <row r="43" spans="1:52" ht="63" customHeight="1">
      <c r="A43" s="20" t="s">
        <v>280</v>
      </c>
      <c r="B43" s="7">
        <v>1</v>
      </c>
      <c r="C43" s="7" t="s">
        <v>94</v>
      </c>
      <c r="D43" s="7" t="s">
        <v>95</v>
      </c>
      <c r="E43" s="7" t="s">
        <v>63</v>
      </c>
      <c r="F43" s="7" t="s">
        <v>281</v>
      </c>
      <c r="G43" s="7">
        <v>2008</v>
      </c>
      <c r="H43" s="7"/>
      <c r="I43" s="14" t="str">
        <f>HYPERLINK("mailto:communications@theccc.gsi.gov.uk","communications@theccc.gsi.gov.uk")</f>
        <v>communications@theccc.gsi.gov.uk</v>
      </c>
      <c r="J43" s="14" t="str">
        <f>HYPERLINK("http://www.theccc.org.uk/","http://www.theccc.org.uk/")</f>
        <v>http://www.theccc.org.uk/</v>
      </c>
      <c r="K43" s="7" t="s">
        <v>282</v>
      </c>
      <c r="L43" s="7" t="s">
        <v>283</v>
      </c>
      <c r="M43" s="7" t="s">
        <v>42</v>
      </c>
      <c r="N43" s="15" t="s">
        <v>56</v>
      </c>
      <c r="O43" s="16">
        <v>29395</v>
      </c>
      <c r="P43" s="15" t="s">
        <v>52</v>
      </c>
      <c r="Q43" s="15" t="s">
        <v>284</v>
      </c>
      <c r="R43" s="7" t="s">
        <v>63</v>
      </c>
      <c r="S43" s="7" t="s">
        <v>56</v>
      </c>
      <c r="T43" s="7" t="s">
        <v>56</v>
      </c>
      <c r="U43" s="7" t="s">
        <v>54</v>
      </c>
      <c r="V43" s="7">
        <v>2018</v>
      </c>
      <c r="W43" s="7">
        <v>32.5</v>
      </c>
      <c r="X43" s="18">
        <v>4575</v>
      </c>
      <c r="Y43" s="18">
        <v>0</v>
      </c>
      <c r="Z43" s="18">
        <v>4575</v>
      </c>
      <c r="AA43" s="18">
        <v>4575</v>
      </c>
      <c r="AB43" s="18">
        <v>0</v>
      </c>
      <c r="AC43" s="18">
        <v>0</v>
      </c>
      <c r="AD43" s="7" t="s">
        <v>185</v>
      </c>
      <c r="AE43" s="7"/>
      <c r="AF43" s="7"/>
      <c r="AG43" s="7"/>
      <c r="AH43" s="7"/>
      <c r="AI43" s="7"/>
      <c r="AJ43" s="7"/>
      <c r="AK43" s="7"/>
      <c r="AL43" s="7"/>
      <c r="AM43" s="7"/>
      <c r="AN43" s="7"/>
      <c r="AO43" s="7"/>
      <c r="AP43" s="7"/>
      <c r="AQ43" s="7"/>
      <c r="AR43" s="7"/>
      <c r="AS43" s="7"/>
      <c r="AT43" s="7"/>
      <c r="AU43" s="7"/>
      <c r="AV43" s="7"/>
      <c r="AW43" s="7"/>
      <c r="AX43" s="7"/>
      <c r="AY43" s="7"/>
      <c r="AZ43" s="7"/>
    </row>
    <row r="44" spans="1:52" ht="63" customHeight="1">
      <c r="A44" s="20" t="s">
        <v>285</v>
      </c>
      <c r="B44" s="7">
        <v>1</v>
      </c>
      <c r="C44" s="7" t="s">
        <v>94</v>
      </c>
      <c r="D44" s="7" t="s">
        <v>36</v>
      </c>
      <c r="E44" s="7" t="s">
        <v>63</v>
      </c>
      <c r="F44" s="7" t="s">
        <v>286</v>
      </c>
      <c r="G44" s="7">
        <v>2001</v>
      </c>
      <c r="H44" s="7"/>
      <c r="I44" s="14" t="str">
        <f>HYPERLINK("mailto:cfp@beis.gov.uk","cfp@beis.gov.uk")</f>
        <v>cfp@beis.gov.uk</v>
      </c>
      <c r="J44" s="14" t="str">
        <f>HYPERLINK("https://www.gov.uk/government/organisations/committee-on-fuel-poverty","https://www.gov.uk/government/organisations/committee-on-fuel-poverty")</f>
        <v>https://www.gov.uk/government/organisations/committee-on-fuel-poverty</v>
      </c>
      <c r="K44" s="7" t="s">
        <v>287</v>
      </c>
      <c r="L44" s="7" t="s">
        <v>288</v>
      </c>
      <c r="M44" s="7" t="s">
        <v>42</v>
      </c>
      <c r="N44" s="15" t="s">
        <v>56</v>
      </c>
      <c r="O44" s="16">
        <v>14000</v>
      </c>
      <c r="P44" s="15" t="s">
        <v>52</v>
      </c>
      <c r="Q44" s="15" t="s">
        <v>289</v>
      </c>
      <c r="R44" s="7" t="s">
        <v>63</v>
      </c>
      <c r="S44" s="7" t="s">
        <v>56</v>
      </c>
      <c r="T44" s="7" t="s">
        <v>56</v>
      </c>
      <c r="U44" s="7" t="s">
        <v>46</v>
      </c>
      <c r="V44" s="7">
        <v>2014</v>
      </c>
      <c r="W44" s="7">
        <v>0</v>
      </c>
      <c r="X44" s="18">
        <v>0</v>
      </c>
      <c r="Y44" s="18">
        <v>0</v>
      </c>
      <c r="Z44" s="18">
        <v>0</v>
      </c>
      <c r="AA44" s="18">
        <v>0</v>
      </c>
      <c r="AB44" s="18">
        <v>0</v>
      </c>
      <c r="AC44" s="18">
        <v>0</v>
      </c>
      <c r="AD44" s="7" t="s">
        <v>290</v>
      </c>
      <c r="AE44" s="7"/>
      <c r="AF44" s="7"/>
      <c r="AG44" s="7"/>
      <c r="AH44" s="7"/>
      <c r="AI44" s="7"/>
      <c r="AJ44" s="7"/>
      <c r="AK44" s="7"/>
      <c r="AL44" s="7"/>
      <c r="AM44" s="7"/>
      <c r="AN44" s="7"/>
      <c r="AO44" s="7"/>
      <c r="AP44" s="7"/>
      <c r="AQ44" s="7"/>
      <c r="AR44" s="7"/>
      <c r="AS44" s="7"/>
      <c r="AT44" s="7"/>
      <c r="AU44" s="7"/>
      <c r="AV44" s="7"/>
      <c r="AW44" s="7"/>
      <c r="AX44" s="7"/>
      <c r="AY44" s="7"/>
      <c r="AZ44" s="7"/>
    </row>
    <row r="45" spans="1:52" ht="63" customHeight="1">
      <c r="A45" s="20" t="s">
        <v>291</v>
      </c>
      <c r="B45" s="7">
        <v>1</v>
      </c>
      <c r="C45" s="13" t="s">
        <v>35</v>
      </c>
      <c r="D45" s="7" t="s">
        <v>36</v>
      </c>
      <c r="E45" s="7" t="s">
        <v>37</v>
      </c>
      <c r="F45" s="7" t="s">
        <v>292</v>
      </c>
      <c r="G45" s="7">
        <v>1978</v>
      </c>
      <c r="H45" s="7"/>
      <c r="I45" s="14" t="str">
        <f>HYPERLINK("mailto:com@phe.gov.uk","com@phe.gov.uk")</f>
        <v>com@phe.gov.uk</v>
      </c>
      <c r="J45" s="14" t="str">
        <f>HYPERLINK("https://www.gov.uk/government/organisations/committee-on-mutagenicity-of-chemicals-in-food-consumer-products-and-the-environment","https://www.gov.uk/government/organisations/committee-on-mutagenicity-of-chemicals-in-food-consumer-products-and-the-environment")</f>
        <v>https://www.gov.uk/government/organisations/committee-on-mutagenicity-of-chemicals-in-food-consumer-products-and-the-environment</v>
      </c>
      <c r="K45" s="7" t="s">
        <v>293</v>
      </c>
      <c r="L45" s="7" t="s">
        <v>294</v>
      </c>
      <c r="M45" s="7" t="s">
        <v>42</v>
      </c>
      <c r="N45" s="15" t="s">
        <v>37</v>
      </c>
      <c r="O45" s="16"/>
      <c r="P45" s="15"/>
      <c r="Q45" s="17" t="s">
        <v>295</v>
      </c>
      <c r="R45" s="7" t="s">
        <v>43</v>
      </c>
      <c r="S45" s="7" t="s">
        <v>43</v>
      </c>
      <c r="T45" s="7" t="s">
        <v>43</v>
      </c>
      <c r="U45" s="7" t="s">
        <v>54</v>
      </c>
      <c r="V45" s="7">
        <v>2017</v>
      </c>
      <c r="W45" s="7">
        <v>13</v>
      </c>
      <c r="X45" s="18">
        <v>0</v>
      </c>
      <c r="Y45" s="18">
        <v>0</v>
      </c>
      <c r="Z45" s="18">
        <v>0</v>
      </c>
      <c r="AA45" s="18">
        <v>8.8000000000000007</v>
      </c>
      <c r="AB45" s="18">
        <v>0</v>
      </c>
      <c r="AC45" s="18">
        <v>0</v>
      </c>
      <c r="AD45" s="7"/>
      <c r="AE45" s="13" t="s">
        <v>56</v>
      </c>
      <c r="AF45" s="7"/>
      <c r="AG45" s="7"/>
      <c r="AH45" s="7"/>
      <c r="AI45" s="7"/>
      <c r="AJ45" s="7"/>
      <c r="AK45" s="7"/>
      <c r="AL45" s="7"/>
      <c r="AM45" s="7"/>
      <c r="AN45" s="7"/>
      <c r="AO45" s="7"/>
      <c r="AP45" s="7"/>
      <c r="AQ45" s="7"/>
      <c r="AR45" s="7"/>
      <c r="AS45" s="7"/>
      <c r="AT45" s="7"/>
      <c r="AU45" s="7"/>
      <c r="AV45" s="7"/>
      <c r="AW45" s="7"/>
      <c r="AX45" s="7"/>
      <c r="AY45" s="7"/>
      <c r="AZ45" s="7"/>
    </row>
    <row r="46" spans="1:52" ht="63" customHeight="1">
      <c r="A46" s="20" t="s">
        <v>296</v>
      </c>
      <c r="B46" s="7">
        <v>1</v>
      </c>
      <c r="C46" s="7" t="s">
        <v>94</v>
      </c>
      <c r="D46" s="7" t="s">
        <v>36</v>
      </c>
      <c r="E46" s="7" t="s">
        <v>63</v>
      </c>
      <c r="F46" s="7" t="s">
        <v>297</v>
      </c>
      <c r="G46" s="7">
        <v>2003</v>
      </c>
      <c r="H46" s="7"/>
      <c r="I46" s="14" t="str">
        <f>HYPERLINK("mailto:corwm@beis.gov.uk","corwm@beis.gov.uk")</f>
        <v>corwm@beis.gov.uk</v>
      </c>
      <c r="J46" s="14" t="str">
        <f>HYPERLINK("http://www.gov.uk/government/organisations/committee-on-radioactive-waste-management","http://www.gov.uk/government/organisations/committee-on-radioactive-waste-management")</f>
        <v>http://www.gov.uk/government/organisations/committee-on-radioactive-waste-management</v>
      </c>
      <c r="K46" s="7" t="s">
        <v>250</v>
      </c>
      <c r="L46" s="7" t="s">
        <v>298</v>
      </c>
      <c r="M46" s="7" t="s">
        <v>42</v>
      </c>
      <c r="N46" s="15" t="s">
        <v>56</v>
      </c>
      <c r="O46" s="16">
        <v>26129</v>
      </c>
      <c r="P46" s="15" t="s">
        <v>52</v>
      </c>
      <c r="Q46" s="15" t="s">
        <v>299</v>
      </c>
      <c r="R46" s="7" t="s">
        <v>56</v>
      </c>
      <c r="S46" s="7" t="s">
        <v>56</v>
      </c>
      <c r="T46" s="7" t="s">
        <v>56</v>
      </c>
      <c r="U46" s="7" t="s">
        <v>54</v>
      </c>
      <c r="V46" s="7">
        <v>2015</v>
      </c>
      <c r="W46" s="7">
        <v>0</v>
      </c>
      <c r="X46" s="18">
        <v>320</v>
      </c>
      <c r="Y46" s="18">
        <v>0</v>
      </c>
      <c r="Z46" s="18">
        <v>320</v>
      </c>
      <c r="AA46" s="18">
        <v>320</v>
      </c>
      <c r="AB46" s="18">
        <v>0</v>
      </c>
      <c r="AC46" s="18">
        <v>0</v>
      </c>
      <c r="AD46" s="7" t="s">
        <v>185</v>
      </c>
      <c r="AE46" s="7"/>
      <c r="AF46" s="7"/>
      <c r="AG46" s="7"/>
      <c r="AH46" s="7"/>
      <c r="AI46" s="7"/>
      <c r="AJ46" s="7"/>
      <c r="AK46" s="7"/>
      <c r="AL46" s="7"/>
      <c r="AM46" s="7"/>
      <c r="AN46" s="7"/>
      <c r="AO46" s="7"/>
      <c r="AP46" s="7"/>
      <c r="AQ46" s="7"/>
      <c r="AR46" s="7"/>
      <c r="AS46" s="7"/>
      <c r="AT46" s="7"/>
      <c r="AU46" s="7"/>
      <c r="AV46" s="7"/>
      <c r="AW46" s="7"/>
      <c r="AX46" s="7"/>
      <c r="AY46" s="7"/>
      <c r="AZ46" s="7"/>
    </row>
    <row r="47" spans="1:52" ht="63" customHeight="1">
      <c r="A47" s="20" t="s">
        <v>300</v>
      </c>
      <c r="B47" s="7">
        <v>1</v>
      </c>
      <c r="C47" s="7" t="s">
        <v>48</v>
      </c>
      <c r="D47" s="7" t="s">
        <v>36</v>
      </c>
      <c r="E47" s="7" t="s">
        <v>37</v>
      </c>
      <c r="F47" s="7" t="s">
        <v>301</v>
      </c>
      <c r="G47" s="7">
        <v>1994</v>
      </c>
      <c r="H47" s="7"/>
      <c r="I47" s="14" t="str">
        <f>HYPERLINK("mailto:public@public-standards.gov.uk","public@public-standards.gov.uk")</f>
        <v>public@public-standards.gov.uk</v>
      </c>
      <c r="J47" s="14" t="str">
        <f>HYPERLINK("https://www.gov.uk/government/organisations/the-committee-on-standards-in-public-life","https://www.gov.uk/government/organisations/the-committee-on-standards-in-public-life")</f>
        <v>https://www.gov.uk/government/organisations/the-committee-on-standards-in-public-life</v>
      </c>
      <c r="K47" s="7" t="s">
        <v>50</v>
      </c>
      <c r="L47" s="27" t="s">
        <v>302</v>
      </c>
      <c r="M47" s="13" t="s">
        <v>42</v>
      </c>
      <c r="N47" s="15" t="s">
        <v>43</v>
      </c>
      <c r="O47" s="16">
        <v>36000</v>
      </c>
      <c r="P47" s="15" t="s">
        <v>52</v>
      </c>
      <c r="Q47" s="22" t="s">
        <v>303</v>
      </c>
      <c r="R47" s="7" t="s">
        <v>37</v>
      </c>
      <c r="S47" s="7" t="s">
        <v>43</v>
      </c>
      <c r="T47" s="7" t="s">
        <v>43</v>
      </c>
      <c r="U47" s="7" t="s">
        <v>54</v>
      </c>
      <c r="V47" s="7">
        <v>2012</v>
      </c>
      <c r="W47" s="7">
        <v>5</v>
      </c>
      <c r="X47" s="18">
        <v>339</v>
      </c>
      <c r="Y47" s="18">
        <v>0</v>
      </c>
      <c r="Z47" s="18">
        <v>339</v>
      </c>
      <c r="AA47" s="18">
        <v>361</v>
      </c>
      <c r="AB47" s="18">
        <v>0</v>
      </c>
      <c r="AC47" s="18">
        <v>0</v>
      </c>
      <c r="AD47" s="7"/>
      <c r="AE47" s="13" t="s">
        <v>56</v>
      </c>
      <c r="AF47" s="7"/>
      <c r="AG47" s="7"/>
      <c r="AH47" s="7"/>
      <c r="AI47" s="7"/>
      <c r="AJ47" s="7"/>
      <c r="AK47" s="7"/>
      <c r="AL47" s="7"/>
      <c r="AM47" s="7"/>
      <c r="AN47" s="7"/>
      <c r="AO47" s="7"/>
      <c r="AP47" s="7"/>
      <c r="AQ47" s="7"/>
      <c r="AR47" s="7"/>
      <c r="AS47" s="7"/>
      <c r="AT47" s="7"/>
      <c r="AU47" s="7"/>
      <c r="AV47" s="7"/>
      <c r="AW47" s="7"/>
      <c r="AX47" s="7"/>
      <c r="AY47" s="7"/>
      <c r="AZ47" s="7"/>
    </row>
    <row r="48" spans="1:52" ht="63" customHeight="1">
      <c r="A48" s="20" t="s">
        <v>304</v>
      </c>
      <c r="B48" s="7">
        <v>1</v>
      </c>
      <c r="C48" s="13" t="s">
        <v>35</v>
      </c>
      <c r="D48" s="7" t="s">
        <v>36</v>
      </c>
      <c r="E48" s="7" t="s">
        <v>37</v>
      </c>
      <c r="F48" s="7" t="s">
        <v>305</v>
      </c>
      <c r="G48" s="7">
        <v>1978</v>
      </c>
      <c r="H48" s="7"/>
      <c r="I48" s="14" t="str">
        <f>HYPERLINK("mailto:cot@food.gov.uk","cot@food.gov.uk")</f>
        <v>cot@food.gov.uk</v>
      </c>
      <c r="J48" s="14" t="str">
        <f>HYPERLINK("https://cot.food.gov.uk","https://cot.food.gov.uk")</f>
        <v>https://cot.food.gov.uk</v>
      </c>
      <c r="K48" s="7" t="s">
        <v>75</v>
      </c>
      <c r="L48" s="7" t="s">
        <v>306</v>
      </c>
      <c r="M48" s="7" t="s">
        <v>71</v>
      </c>
      <c r="N48" s="15" t="s">
        <v>43</v>
      </c>
      <c r="O48" s="16">
        <v>400</v>
      </c>
      <c r="P48" s="15" t="s">
        <v>44</v>
      </c>
      <c r="Q48" s="17" t="s">
        <v>307</v>
      </c>
      <c r="R48" s="7" t="s">
        <v>43</v>
      </c>
      <c r="S48" s="7" t="s">
        <v>43</v>
      </c>
      <c r="T48" s="7" t="s">
        <v>43</v>
      </c>
      <c r="U48" s="7" t="s">
        <v>54</v>
      </c>
      <c r="V48" s="7">
        <v>2015</v>
      </c>
      <c r="W48" s="7">
        <v>7</v>
      </c>
      <c r="X48" s="18">
        <v>68</v>
      </c>
      <c r="Y48" s="18">
        <v>0</v>
      </c>
      <c r="Z48" s="18">
        <v>68</v>
      </c>
      <c r="AA48" s="18">
        <v>41</v>
      </c>
      <c r="AB48" s="18">
        <v>0</v>
      </c>
      <c r="AC48" s="18">
        <v>0</v>
      </c>
      <c r="AD48" s="7"/>
      <c r="AE48" s="7"/>
      <c r="AF48" s="7"/>
      <c r="AG48" s="7"/>
      <c r="AH48" s="7"/>
      <c r="AI48" s="7"/>
      <c r="AJ48" s="7"/>
      <c r="AK48" s="7"/>
      <c r="AL48" s="7"/>
      <c r="AM48" s="7"/>
      <c r="AN48" s="7"/>
      <c r="AO48" s="7"/>
      <c r="AP48" s="7"/>
      <c r="AQ48" s="7"/>
      <c r="AR48" s="7"/>
      <c r="AS48" s="7"/>
      <c r="AT48" s="7"/>
      <c r="AU48" s="7"/>
      <c r="AV48" s="7"/>
      <c r="AW48" s="7"/>
      <c r="AX48" s="7"/>
      <c r="AY48" s="7"/>
      <c r="AZ48" s="7"/>
    </row>
    <row r="49" spans="1:52" ht="63" customHeight="1">
      <c r="A49" s="20" t="s">
        <v>308</v>
      </c>
      <c r="B49" s="7">
        <v>1</v>
      </c>
      <c r="C49" s="7" t="s">
        <v>309</v>
      </c>
      <c r="D49" s="7" t="s">
        <v>95</v>
      </c>
      <c r="E49" s="7" t="s">
        <v>37</v>
      </c>
      <c r="F49" s="7" t="s">
        <v>310</v>
      </c>
      <c r="G49" s="7">
        <v>1959</v>
      </c>
      <c r="H49" s="7"/>
      <c r="I49" s="14" t="str">
        <f>HYPERLINK("info@cscuk.org.uk ","info@cscuk.org.uk ")</f>
        <v xml:space="preserve">info@cscuk.org.uk </v>
      </c>
      <c r="J49" s="14" t="str">
        <f>HYPERLINK("http://cscuk.dfid.gov.uk/","http://cscuk.dfid.gov.uk/")</f>
        <v>http://cscuk.dfid.gov.uk/</v>
      </c>
      <c r="K49" s="7" t="s">
        <v>311</v>
      </c>
      <c r="L49" s="15" t="s">
        <v>312</v>
      </c>
      <c r="M49" s="36" t="s">
        <v>42</v>
      </c>
      <c r="N49" s="15" t="s">
        <v>43</v>
      </c>
      <c r="O49" s="16">
        <v>8000</v>
      </c>
      <c r="P49" s="15" t="s">
        <v>52</v>
      </c>
      <c r="Q49" s="15" t="s">
        <v>313</v>
      </c>
      <c r="R49" s="7" t="s">
        <v>43</v>
      </c>
      <c r="S49" s="7" t="s">
        <v>43</v>
      </c>
      <c r="T49" s="7" t="s">
        <v>43</v>
      </c>
      <c r="U49" s="7" t="s">
        <v>54</v>
      </c>
      <c r="V49" s="7">
        <v>2015</v>
      </c>
      <c r="W49" s="7">
        <v>0</v>
      </c>
      <c r="X49" s="18">
        <v>28200</v>
      </c>
      <c r="Y49" s="18">
        <v>0</v>
      </c>
      <c r="Z49" s="18">
        <v>28200</v>
      </c>
      <c r="AA49" s="18">
        <v>27895</v>
      </c>
      <c r="AB49" s="18">
        <v>0</v>
      </c>
      <c r="AC49" s="18">
        <v>406</v>
      </c>
      <c r="AD49" s="7"/>
      <c r="AE49" s="13" t="s">
        <v>56</v>
      </c>
      <c r="AF49" s="7"/>
      <c r="AG49" s="7"/>
      <c r="AH49" s="7"/>
      <c r="AI49" s="7"/>
      <c r="AJ49" s="7"/>
      <c r="AK49" s="7"/>
      <c r="AL49" s="7"/>
      <c r="AM49" s="7"/>
      <c r="AN49" s="7"/>
      <c r="AO49" s="7"/>
      <c r="AP49" s="7"/>
      <c r="AQ49" s="7"/>
      <c r="AR49" s="7"/>
      <c r="AS49" s="7"/>
      <c r="AT49" s="7"/>
      <c r="AU49" s="7"/>
      <c r="AV49" s="7"/>
      <c r="AW49" s="7"/>
      <c r="AX49" s="7"/>
      <c r="AY49" s="7"/>
      <c r="AZ49" s="7"/>
    </row>
    <row r="50" spans="1:52" ht="63" customHeight="1">
      <c r="A50" s="20" t="s">
        <v>314</v>
      </c>
      <c r="B50" s="7">
        <v>1</v>
      </c>
      <c r="C50" s="7" t="s">
        <v>94</v>
      </c>
      <c r="D50" s="7" t="s">
        <v>108</v>
      </c>
      <c r="E50" s="7" t="s">
        <v>63</v>
      </c>
      <c r="F50" s="7" t="s">
        <v>315</v>
      </c>
      <c r="G50" s="7">
        <v>1844</v>
      </c>
      <c r="H50" s="7"/>
      <c r="I50" s="14" t="str">
        <f>HYPERLINK("mailto:enquiries@companies-house.gov.uk","enquiries@companies-house.gov.uk")</f>
        <v>enquiries@companies-house.gov.uk</v>
      </c>
      <c r="J50" s="14" t="str">
        <f>HYPERLINK("https://www.gov.uk/government/organisations/companies-house","https://www.gov.uk/government/organisations/companies-house")</f>
        <v>https://www.gov.uk/government/organisations/companies-house</v>
      </c>
      <c r="K50" s="7" t="s">
        <v>97</v>
      </c>
      <c r="L50" s="7" t="s">
        <v>316</v>
      </c>
      <c r="M50" s="7" t="s">
        <v>42</v>
      </c>
      <c r="N50" s="15" t="s">
        <v>56</v>
      </c>
      <c r="O50" s="16">
        <v>28450</v>
      </c>
      <c r="P50" s="15" t="s">
        <v>52</v>
      </c>
      <c r="Q50" s="17" t="s">
        <v>317</v>
      </c>
      <c r="R50" s="7" t="s">
        <v>63</v>
      </c>
      <c r="S50" s="7" t="s">
        <v>63</v>
      </c>
      <c r="T50" s="7" t="s">
        <v>56</v>
      </c>
      <c r="U50" s="7" t="s">
        <v>54</v>
      </c>
      <c r="V50" s="7">
        <v>2013</v>
      </c>
      <c r="W50" s="7">
        <v>847</v>
      </c>
      <c r="X50" s="18">
        <v>0</v>
      </c>
      <c r="Y50" s="18">
        <v>71697</v>
      </c>
      <c r="Z50" s="18">
        <f t="shared" ref="Z50:Z51" si="0">IF(SUM(Y50)&lt;&gt;0,SUM(Y50),"")</f>
        <v>71697</v>
      </c>
      <c r="AA50" s="18">
        <v>67593</v>
      </c>
      <c r="AB50" s="18">
        <v>0</v>
      </c>
      <c r="AC50" s="18">
        <v>0</v>
      </c>
      <c r="AD50" s="7"/>
      <c r="AE50" s="7"/>
      <c r="AF50" s="7"/>
      <c r="AG50" s="7"/>
      <c r="AH50" s="7"/>
      <c r="AI50" s="7"/>
      <c r="AJ50" s="7"/>
      <c r="AK50" s="7"/>
      <c r="AL50" s="7"/>
      <c r="AM50" s="7"/>
      <c r="AN50" s="7"/>
      <c r="AO50" s="7"/>
      <c r="AP50" s="7"/>
      <c r="AQ50" s="7"/>
      <c r="AR50" s="7"/>
      <c r="AS50" s="7"/>
      <c r="AT50" s="7"/>
      <c r="AU50" s="7"/>
      <c r="AV50" s="7"/>
      <c r="AW50" s="7"/>
      <c r="AX50" s="7"/>
      <c r="AY50" s="7"/>
      <c r="AZ50" s="7"/>
    </row>
    <row r="51" spans="1:52" ht="63" customHeight="1">
      <c r="A51" s="20" t="s">
        <v>318</v>
      </c>
      <c r="B51" s="7">
        <v>1</v>
      </c>
      <c r="C51" s="7" t="s">
        <v>275</v>
      </c>
      <c r="D51" s="7" t="s">
        <v>233</v>
      </c>
      <c r="E51" s="7" t="s">
        <v>43</v>
      </c>
      <c r="F51" s="7" t="s">
        <v>319</v>
      </c>
      <c r="G51" s="7">
        <v>2014</v>
      </c>
      <c r="H51" s="7"/>
      <c r="I51" s="14" t="str">
        <f>HYPERLINK("mailto:general.enquiries@cma.gov.uk","general.enquiries@cma.gov.uk")</f>
        <v>general.enquiries@cma.gov.uk</v>
      </c>
      <c r="J51" s="14" t="str">
        <f>HYPERLINK("http://www.gov.uk/cma","http://www.gov.uk/cma")</f>
        <v>http://www.gov.uk/cma</v>
      </c>
      <c r="K51" s="7" t="s">
        <v>320</v>
      </c>
      <c r="L51" s="7" t="s">
        <v>321</v>
      </c>
      <c r="M51" s="7" t="s">
        <v>42</v>
      </c>
      <c r="N51" s="15" t="s">
        <v>43</v>
      </c>
      <c r="O51" s="16" t="s">
        <v>322</v>
      </c>
      <c r="P51" s="15" t="s">
        <v>52</v>
      </c>
      <c r="Q51" s="15" t="s">
        <v>323</v>
      </c>
      <c r="R51" s="7" t="s">
        <v>37</v>
      </c>
      <c r="S51" s="7" t="s">
        <v>43</v>
      </c>
      <c r="T51" s="7" t="s">
        <v>43</v>
      </c>
      <c r="U51" s="7" t="s">
        <v>54</v>
      </c>
      <c r="V51" s="7">
        <v>2016</v>
      </c>
      <c r="W51" s="7">
        <v>739.34</v>
      </c>
      <c r="X51" s="18">
        <v>0</v>
      </c>
      <c r="Y51" s="18">
        <v>6000</v>
      </c>
      <c r="Z51" s="18">
        <f t="shared" si="0"/>
        <v>6000</v>
      </c>
      <c r="AA51" s="18">
        <v>99469</v>
      </c>
      <c r="AB51" s="18">
        <v>17300</v>
      </c>
      <c r="AC51" s="18">
        <v>10000</v>
      </c>
      <c r="AD51" s="7"/>
      <c r="AE51" s="7"/>
      <c r="AF51" s="7"/>
      <c r="AG51" s="7"/>
      <c r="AH51" s="7"/>
      <c r="AI51" s="7"/>
      <c r="AJ51" s="7"/>
      <c r="AK51" s="7"/>
      <c r="AL51" s="7"/>
      <c r="AM51" s="7"/>
      <c r="AN51" s="7"/>
      <c r="AO51" s="7"/>
      <c r="AP51" s="7"/>
      <c r="AQ51" s="7"/>
      <c r="AR51" s="7"/>
      <c r="AS51" s="7"/>
      <c r="AT51" s="7"/>
      <c r="AU51" s="7"/>
      <c r="AV51" s="7"/>
      <c r="AW51" s="7"/>
      <c r="AX51" s="7"/>
      <c r="AY51" s="7"/>
      <c r="AZ51" s="7"/>
    </row>
    <row r="52" spans="1:52" ht="63" customHeight="1">
      <c r="A52" s="20" t="s">
        <v>324</v>
      </c>
      <c r="B52" s="7">
        <v>1</v>
      </c>
      <c r="C52" s="7" t="s">
        <v>94</v>
      </c>
      <c r="D52" s="7" t="s">
        <v>95</v>
      </c>
      <c r="E52" s="7" t="s">
        <v>63</v>
      </c>
      <c r="F52" s="7" t="s">
        <v>325</v>
      </c>
      <c r="G52" s="7">
        <v>2003</v>
      </c>
      <c r="H52" s="7"/>
      <c r="I52" s="14" t="str">
        <f t="shared" ref="I52:I53" si="1">HYPERLINK("mailto:info@catribunal.org.uk","info@catribunal.org.uk")</f>
        <v>info@catribunal.org.uk</v>
      </c>
      <c r="J52" s="14" t="str">
        <f t="shared" ref="J52:J53" si="2">HYPERLINK("http://www.catribunal.org.uk/","http://www.catribunal.org.uk/")</f>
        <v>http://www.catribunal.org.uk/</v>
      </c>
      <c r="K52" s="7" t="s">
        <v>97</v>
      </c>
      <c r="L52" s="13" t="s">
        <v>326</v>
      </c>
      <c r="M52" s="7" t="s">
        <v>42</v>
      </c>
      <c r="N52" s="15" t="s">
        <v>56</v>
      </c>
      <c r="O52" s="16" t="s">
        <v>327</v>
      </c>
      <c r="P52" s="15" t="s">
        <v>52</v>
      </c>
      <c r="Q52" s="17" t="s">
        <v>328</v>
      </c>
      <c r="R52" s="7" t="s">
        <v>56</v>
      </c>
      <c r="S52" s="7" t="s">
        <v>56</v>
      </c>
      <c r="T52" s="7" t="s">
        <v>56</v>
      </c>
      <c r="U52" s="7" t="s">
        <v>46</v>
      </c>
      <c r="V52" s="7">
        <v>2014</v>
      </c>
      <c r="W52" s="7">
        <v>0</v>
      </c>
      <c r="X52" s="18">
        <v>670</v>
      </c>
      <c r="Y52" s="18">
        <v>1.5</v>
      </c>
      <c r="Z52" s="18">
        <v>672</v>
      </c>
      <c r="AA52" s="18">
        <v>672</v>
      </c>
      <c r="AB52" s="18">
        <v>0</v>
      </c>
      <c r="AC52" s="18">
        <v>29</v>
      </c>
      <c r="AD52" s="7" t="s">
        <v>185</v>
      </c>
      <c r="AE52" s="7"/>
      <c r="AF52" s="7"/>
      <c r="AG52" s="7"/>
      <c r="AH52" s="7"/>
      <c r="AI52" s="7"/>
      <c r="AJ52" s="7"/>
      <c r="AK52" s="7"/>
      <c r="AL52" s="7"/>
      <c r="AM52" s="7"/>
      <c r="AN52" s="7"/>
      <c r="AO52" s="7"/>
      <c r="AP52" s="7"/>
      <c r="AQ52" s="7"/>
      <c r="AR52" s="7"/>
      <c r="AS52" s="7"/>
      <c r="AT52" s="7"/>
      <c r="AU52" s="7"/>
      <c r="AV52" s="7"/>
      <c r="AW52" s="7"/>
      <c r="AX52" s="7"/>
      <c r="AY52" s="7"/>
      <c r="AZ52" s="7"/>
    </row>
    <row r="53" spans="1:52" ht="63" customHeight="1">
      <c r="A53" s="20" t="s">
        <v>329</v>
      </c>
      <c r="B53" s="7">
        <v>1</v>
      </c>
      <c r="C53" s="7" t="s">
        <v>94</v>
      </c>
      <c r="D53" s="7" t="s">
        <v>95</v>
      </c>
      <c r="E53" s="7" t="s">
        <v>63</v>
      </c>
      <c r="F53" s="7" t="s">
        <v>330</v>
      </c>
      <c r="G53" s="7">
        <v>2003</v>
      </c>
      <c r="H53" s="7"/>
      <c r="I53" s="14" t="str">
        <f t="shared" si="1"/>
        <v>info@catribunal.org.uk</v>
      </c>
      <c r="J53" s="14" t="str">
        <f t="shared" si="2"/>
        <v>http://www.catribunal.org.uk/</v>
      </c>
      <c r="K53" s="7" t="s">
        <v>97</v>
      </c>
      <c r="L53" s="7" t="s">
        <v>331</v>
      </c>
      <c r="M53" s="7" t="s">
        <v>42</v>
      </c>
      <c r="N53" s="15" t="s">
        <v>56</v>
      </c>
      <c r="O53" s="16">
        <v>4200</v>
      </c>
      <c r="P53" s="15" t="s">
        <v>44</v>
      </c>
      <c r="Q53" s="15" t="s">
        <v>332</v>
      </c>
      <c r="R53" s="7" t="s">
        <v>63</v>
      </c>
      <c r="S53" s="7" t="s">
        <v>63</v>
      </c>
      <c r="T53" s="7" t="s">
        <v>56</v>
      </c>
      <c r="U53" s="7" t="s">
        <v>46</v>
      </c>
      <c r="V53" s="7">
        <v>2014</v>
      </c>
      <c r="W53" s="7">
        <v>18</v>
      </c>
      <c r="X53" s="18">
        <v>4496</v>
      </c>
      <c r="Y53" s="18">
        <v>0</v>
      </c>
      <c r="Z53" s="18">
        <v>4496</v>
      </c>
      <c r="AA53" s="18">
        <v>4192</v>
      </c>
      <c r="AB53" s="18">
        <v>42</v>
      </c>
      <c r="AC53" s="18">
        <v>0</v>
      </c>
      <c r="AD53" s="7" t="s">
        <v>185</v>
      </c>
      <c r="AE53" s="7"/>
      <c r="AF53" s="7"/>
      <c r="AG53" s="7"/>
      <c r="AH53" s="7"/>
      <c r="AI53" s="7"/>
      <c r="AJ53" s="7"/>
      <c r="AK53" s="7"/>
      <c r="AL53" s="7"/>
      <c r="AM53" s="7"/>
      <c r="AN53" s="7"/>
      <c r="AO53" s="7"/>
      <c r="AP53" s="7"/>
      <c r="AQ53" s="7"/>
      <c r="AR53" s="7"/>
      <c r="AS53" s="7"/>
      <c r="AT53" s="7"/>
      <c r="AU53" s="7"/>
      <c r="AV53" s="7"/>
      <c r="AW53" s="7"/>
      <c r="AX53" s="7"/>
      <c r="AY53" s="7"/>
      <c r="AZ53" s="7"/>
    </row>
    <row r="54" spans="1:52" ht="63" customHeight="1">
      <c r="A54" s="20" t="s">
        <v>333</v>
      </c>
      <c r="B54" s="7">
        <v>1</v>
      </c>
      <c r="C54" s="7" t="s">
        <v>334</v>
      </c>
      <c r="D54" s="7" t="s">
        <v>95</v>
      </c>
      <c r="E54" s="7" t="s">
        <v>37</v>
      </c>
      <c r="F54" s="7" t="s">
        <v>335</v>
      </c>
      <c r="G54" s="7">
        <v>1964</v>
      </c>
      <c r="H54" s="7"/>
      <c r="I54" s="14" t="str">
        <f>HYPERLINK("mailto:welcome@citb.co.uk","welcome@citb.co.uk")</f>
        <v>welcome@citb.co.uk</v>
      </c>
      <c r="J54" s="14" t="str">
        <f>HYPERLINK("https://www.citb.co.uk/","www.citb.co.uk")</f>
        <v>www.citb.co.uk</v>
      </c>
      <c r="K54" s="7" t="s">
        <v>336</v>
      </c>
      <c r="L54" s="27" t="s">
        <v>337</v>
      </c>
      <c r="M54" s="13" t="s">
        <v>42</v>
      </c>
      <c r="N54" s="15" t="s">
        <v>56</v>
      </c>
      <c r="O54" s="16">
        <v>22500</v>
      </c>
      <c r="P54" s="15" t="s">
        <v>338</v>
      </c>
      <c r="Q54" s="7" t="s">
        <v>339</v>
      </c>
      <c r="R54" s="7" t="s">
        <v>63</v>
      </c>
      <c r="S54" s="7" t="s">
        <v>56</v>
      </c>
      <c r="T54" s="7" t="s">
        <v>56</v>
      </c>
      <c r="U54" s="7" t="s">
        <v>54</v>
      </c>
      <c r="V54" s="7">
        <v>2017</v>
      </c>
      <c r="W54" s="26">
        <v>1266</v>
      </c>
      <c r="X54" s="18">
        <v>50844</v>
      </c>
      <c r="Y54" s="18">
        <v>245639</v>
      </c>
      <c r="Z54" s="18">
        <v>296483</v>
      </c>
      <c r="AA54" s="18">
        <v>0</v>
      </c>
      <c r="AB54" s="18">
        <v>0</v>
      </c>
      <c r="AC54" s="18">
        <v>266300</v>
      </c>
      <c r="AD54" s="7"/>
      <c r="AE54" s="13" t="s">
        <v>56</v>
      </c>
      <c r="AF54" s="7"/>
      <c r="AG54" s="7"/>
      <c r="AH54" s="7"/>
      <c r="AI54" s="7"/>
      <c r="AJ54" s="7"/>
      <c r="AK54" s="7"/>
      <c r="AL54" s="7"/>
      <c r="AM54" s="7"/>
      <c r="AN54" s="7"/>
      <c r="AO54" s="7"/>
      <c r="AP54" s="7"/>
      <c r="AQ54" s="7"/>
      <c r="AR54" s="7"/>
      <c r="AS54" s="7"/>
      <c r="AT54" s="7"/>
      <c r="AU54" s="7"/>
      <c r="AV54" s="7"/>
      <c r="AW54" s="7"/>
      <c r="AX54" s="7"/>
      <c r="AY54" s="7"/>
      <c r="AZ54" s="7"/>
    </row>
    <row r="55" spans="1:52" ht="63" customHeight="1">
      <c r="A55" s="20" t="s">
        <v>340</v>
      </c>
      <c r="B55" s="7">
        <v>1</v>
      </c>
      <c r="C55" s="7" t="s">
        <v>79</v>
      </c>
      <c r="D55" s="7" t="s">
        <v>95</v>
      </c>
      <c r="E55" s="7" t="s">
        <v>37</v>
      </c>
      <c r="F55" s="7" t="s">
        <v>341</v>
      </c>
      <c r="G55" s="7">
        <v>2005</v>
      </c>
      <c r="H55" s="7"/>
      <c r="I55" s="14" t="str">
        <f>HYPERLINK("mailto:enquiries@ccwater.org.uk","enquiries@ccwater.org.uk")</f>
        <v>enquiries@ccwater.org.uk</v>
      </c>
      <c r="J55" s="14" t="str">
        <f>HYPERLINK("http://www.ccwater.org.uk/","http://www.ccwater.org.uk/")</f>
        <v>http://www.ccwater.org.uk/</v>
      </c>
      <c r="K55" s="7" t="s">
        <v>342</v>
      </c>
      <c r="L55" s="7" t="s">
        <v>343</v>
      </c>
      <c r="M55" s="13" t="s">
        <v>42</v>
      </c>
      <c r="N55" s="15" t="s">
        <v>43</v>
      </c>
      <c r="O55" s="16">
        <v>50000</v>
      </c>
      <c r="P55" s="15" t="s">
        <v>52</v>
      </c>
      <c r="Q55" s="17" t="s">
        <v>344</v>
      </c>
      <c r="R55" s="7" t="s">
        <v>43</v>
      </c>
      <c r="S55" s="7" t="s">
        <v>43</v>
      </c>
      <c r="T55" s="7" t="s">
        <v>43</v>
      </c>
      <c r="U55" s="7" t="s">
        <v>54</v>
      </c>
      <c r="V55" s="13">
        <v>2011</v>
      </c>
      <c r="W55" s="7">
        <v>72.73</v>
      </c>
      <c r="X55" s="18">
        <v>5527</v>
      </c>
      <c r="Y55" s="18">
        <v>8</v>
      </c>
      <c r="Z55" s="18">
        <v>5535</v>
      </c>
      <c r="AA55" s="18">
        <v>5472</v>
      </c>
      <c r="AB55" s="18">
        <v>373</v>
      </c>
      <c r="AC55" s="18">
        <v>0</v>
      </c>
      <c r="AD55" s="7"/>
      <c r="AE55" s="7"/>
      <c r="AF55" s="7"/>
      <c r="AG55" s="7"/>
      <c r="AH55" s="7"/>
      <c r="AI55" s="7"/>
      <c r="AJ55" s="7"/>
      <c r="AK55" s="7"/>
      <c r="AL55" s="7"/>
      <c r="AM55" s="7"/>
      <c r="AN55" s="7"/>
      <c r="AO55" s="7"/>
      <c r="AP55" s="7"/>
      <c r="AQ55" s="7"/>
      <c r="AR55" s="7"/>
      <c r="AS55" s="7"/>
      <c r="AT55" s="7"/>
      <c r="AU55" s="7"/>
      <c r="AV55" s="7"/>
      <c r="AW55" s="7"/>
      <c r="AX55" s="7"/>
      <c r="AY55" s="7"/>
      <c r="AZ55" s="7"/>
    </row>
    <row r="56" spans="1:52" ht="63" customHeight="1">
      <c r="A56" s="20" t="s">
        <v>345</v>
      </c>
      <c r="B56" s="7">
        <v>1</v>
      </c>
      <c r="C56" s="7" t="s">
        <v>94</v>
      </c>
      <c r="D56" s="7" t="s">
        <v>95</v>
      </c>
      <c r="E56" s="7" t="s">
        <v>56</v>
      </c>
      <c r="F56" s="7" t="s">
        <v>346</v>
      </c>
      <c r="G56" s="7">
        <v>1956</v>
      </c>
      <c r="H56" s="7"/>
      <c r="I56" s="14" t="str">
        <f>HYPERLINK("mailto:copyrighttribunal@ipo.gov.uk","copyrighttribunal@ipo.gov.uk")</f>
        <v>copyrighttribunal@ipo.gov.uk</v>
      </c>
      <c r="J56" s="14" t="str">
        <f>HYPERLINK("https://www.gov.uk/government/organisations/copyright-tribunal","https://www.gov.uk/government/organisations/copyright-tribunal")</f>
        <v>https://www.gov.uk/government/organisations/copyright-tribunal</v>
      </c>
      <c r="K56" s="7" t="s">
        <v>347</v>
      </c>
      <c r="L56" s="7" t="s">
        <v>348</v>
      </c>
      <c r="M56" s="13" t="s">
        <v>42</v>
      </c>
      <c r="N56" s="17" t="s">
        <v>37</v>
      </c>
      <c r="O56" s="16"/>
      <c r="P56" s="15" t="s">
        <v>52</v>
      </c>
      <c r="Q56" s="15" t="s">
        <v>349</v>
      </c>
      <c r="R56" s="7" t="s">
        <v>56</v>
      </c>
      <c r="S56" s="7" t="s">
        <v>43</v>
      </c>
      <c r="T56" s="7" t="s">
        <v>56</v>
      </c>
      <c r="U56" s="7" t="s">
        <v>46</v>
      </c>
      <c r="V56" s="7">
        <v>2008</v>
      </c>
      <c r="W56" s="7">
        <v>0</v>
      </c>
      <c r="X56" s="18">
        <v>80</v>
      </c>
      <c r="Y56" s="18">
        <v>0</v>
      </c>
      <c r="Z56" s="18">
        <v>80</v>
      </c>
      <c r="AA56" s="18">
        <v>80</v>
      </c>
      <c r="AB56" s="18">
        <v>0</v>
      </c>
      <c r="AC56" s="18">
        <v>0</v>
      </c>
      <c r="AD56" s="7"/>
      <c r="AE56" s="7"/>
      <c r="AF56" s="7"/>
      <c r="AG56" s="7"/>
      <c r="AH56" s="7"/>
      <c r="AI56" s="7"/>
      <c r="AJ56" s="7"/>
      <c r="AK56" s="7"/>
      <c r="AL56" s="7"/>
      <c r="AM56" s="7"/>
      <c r="AN56" s="7"/>
      <c r="AO56" s="7"/>
      <c r="AP56" s="7"/>
      <c r="AQ56" s="7"/>
      <c r="AR56" s="7"/>
      <c r="AS56" s="7"/>
      <c r="AT56" s="7"/>
      <c r="AU56" s="7"/>
      <c r="AV56" s="7"/>
      <c r="AW56" s="7"/>
      <c r="AX56" s="7"/>
      <c r="AY56" s="7"/>
      <c r="AZ56" s="7"/>
    </row>
    <row r="57" spans="1:52" ht="63" customHeight="1">
      <c r="A57" s="20" t="s">
        <v>350</v>
      </c>
      <c r="B57" s="7">
        <v>1</v>
      </c>
      <c r="C57" s="7" t="s">
        <v>89</v>
      </c>
      <c r="D57" s="7" t="s">
        <v>95</v>
      </c>
      <c r="E57" s="7" t="s">
        <v>37</v>
      </c>
      <c r="F57" s="7" t="s">
        <v>351</v>
      </c>
      <c r="G57" s="7">
        <v>1997</v>
      </c>
      <c r="H57" s="7"/>
      <c r="I57" s="14" t="str">
        <f>HYPERLINK("mailto:info@ccrc.x.gsi.gov.uk","info@ccrc.x.gsi.gov.uk")</f>
        <v>info@ccrc.x.gsi.gov.uk</v>
      </c>
      <c r="J57" s="14" t="str">
        <f>HYPERLINK("https://ccrc.gov.uk/","www.ccrc.gov.uk")</f>
        <v>www.ccrc.gov.uk</v>
      </c>
      <c r="K57" s="7" t="s">
        <v>352</v>
      </c>
      <c r="L57" s="7" t="s">
        <v>353</v>
      </c>
      <c r="M57" s="7" t="s">
        <v>42</v>
      </c>
      <c r="N57" s="15" t="s">
        <v>43</v>
      </c>
      <c r="O57" s="16">
        <v>500</v>
      </c>
      <c r="P57" s="15" t="s">
        <v>44</v>
      </c>
      <c r="Q57" s="15" t="s">
        <v>354</v>
      </c>
      <c r="R57" s="7" t="s">
        <v>37</v>
      </c>
      <c r="S57" s="7" t="s">
        <v>37</v>
      </c>
      <c r="T57" s="7" t="s">
        <v>43</v>
      </c>
      <c r="U57" s="7"/>
      <c r="V57" s="7">
        <v>2019</v>
      </c>
      <c r="W57" s="7">
        <v>76.150000000000006</v>
      </c>
      <c r="X57" s="18">
        <v>5485</v>
      </c>
      <c r="Y57" s="18">
        <v>0</v>
      </c>
      <c r="Z57" s="18">
        <v>5485</v>
      </c>
      <c r="AA57" s="18">
        <f>5082+258</f>
        <v>5340</v>
      </c>
      <c r="AB57" s="18">
        <v>125</v>
      </c>
      <c r="AC57" s="18">
        <v>258</v>
      </c>
      <c r="AD57" s="7"/>
      <c r="AE57" s="7"/>
      <c r="AF57" s="7"/>
      <c r="AG57" s="7"/>
      <c r="AH57" s="7"/>
      <c r="AI57" s="7"/>
      <c r="AJ57" s="7"/>
      <c r="AK57" s="7"/>
      <c r="AL57" s="7"/>
      <c r="AM57" s="7"/>
      <c r="AN57" s="7"/>
      <c r="AO57" s="7"/>
      <c r="AP57" s="7"/>
      <c r="AQ57" s="7"/>
      <c r="AR57" s="7"/>
      <c r="AS57" s="7"/>
      <c r="AT57" s="7"/>
      <c r="AU57" s="7"/>
      <c r="AV57" s="7"/>
      <c r="AW57" s="7"/>
      <c r="AX57" s="7"/>
      <c r="AY57" s="7"/>
      <c r="AZ57" s="7"/>
    </row>
    <row r="58" spans="1:52" ht="63" customHeight="1">
      <c r="A58" s="12" t="s">
        <v>355</v>
      </c>
      <c r="B58" s="7">
        <v>1</v>
      </c>
      <c r="C58" s="7" t="s">
        <v>89</v>
      </c>
      <c r="D58" s="7" t="s">
        <v>108</v>
      </c>
      <c r="E58" s="7" t="s">
        <v>37</v>
      </c>
      <c r="F58" s="7" t="s">
        <v>356</v>
      </c>
      <c r="G58" s="7">
        <v>1996</v>
      </c>
      <c r="H58" s="7"/>
      <c r="I58" s="14" t="s">
        <v>357</v>
      </c>
      <c r="J58" s="14" t="s">
        <v>358</v>
      </c>
      <c r="K58" s="7" t="s">
        <v>359</v>
      </c>
      <c r="L58" s="27" t="s">
        <v>46</v>
      </c>
      <c r="M58" s="27" t="s">
        <v>46</v>
      </c>
      <c r="N58" s="27" t="s">
        <v>46</v>
      </c>
      <c r="O58" s="16"/>
      <c r="P58" s="15"/>
      <c r="Q58" s="15"/>
      <c r="R58" s="7" t="s">
        <v>37</v>
      </c>
      <c r="S58" s="7" t="s">
        <v>43</v>
      </c>
      <c r="T58" s="7" t="s">
        <v>43</v>
      </c>
      <c r="U58" s="7" t="s">
        <v>54</v>
      </c>
      <c r="V58" s="7">
        <v>2013</v>
      </c>
      <c r="W58" s="7">
        <v>274</v>
      </c>
      <c r="X58" s="18">
        <v>144000</v>
      </c>
      <c r="Y58" s="18">
        <v>21295</v>
      </c>
      <c r="Z58" s="18">
        <v>165295</v>
      </c>
      <c r="AA58" s="18">
        <v>178478</v>
      </c>
      <c r="AB58" s="18">
        <v>572</v>
      </c>
      <c r="AC58" s="18">
        <v>14915</v>
      </c>
      <c r="AD58" s="7"/>
      <c r="AE58" s="7"/>
      <c r="AF58" s="7"/>
      <c r="AG58" s="7"/>
      <c r="AH58" s="7"/>
      <c r="AI58" s="7"/>
      <c r="AJ58" s="7"/>
      <c r="AK58" s="7"/>
      <c r="AL58" s="7"/>
      <c r="AM58" s="7"/>
      <c r="AN58" s="7"/>
      <c r="AO58" s="7"/>
      <c r="AP58" s="7"/>
      <c r="AQ58" s="7"/>
      <c r="AR58" s="7"/>
      <c r="AS58" s="7"/>
      <c r="AT58" s="7"/>
      <c r="AU58" s="7"/>
      <c r="AV58" s="7"/>
      <c r="AW58" s="7"/>
      <c r="AX58" s="7"/>
      <c r="AY58" s="7"/>
      <c r="AZ58" s="7"/>
    </row>
    <row r="59" spans="1:52" ht="63" customHeight="1">
      <c r="A59" s="20" t="s">
        <v>360</v>
      </c>
      <c r="B59" s="7">
        <v>1</v>
      </c>
      <c r="C59" s="7" t="s">
        <v>89</v>
      </c>
      <c r="D59" s="7" t="s">
        <v>36</v>
      </c>
      <c r="E59" s="7" t="s">
        <v>37</v>
      </c>
      <c r="F59" s="7" t="s">
        <v>361</v>
      </c>
      <c r="G59" s="7">
        <v>2004</v>
      </c>
      <c r="H59" s="7"/>
      <c r="I59" s="14" t="str">
        <f>HYPERLINK("mailto:CriminalProcedureRuleEnquiries@justice.gsi.gov.uk","CriminalProcedureRuleEnquiries@justice.gsi.gov.uk")</f>
        <v>CriminalProcedureRuleEnquiries@justice.gsi.gov.uk</v>
      </c>
      <c r="J59" s="14" t="str">
        <f>HYPERLINK("https://www.gov.uk/government/organisations/criminal-procedure-rule-committee","https://www.gov.uk/government/organisations/criminal-procedure-rule-committee")</f>
        <v>https://www.gov.uk/government/organisations/criminal-procedure-rule-committee</v>
      </c>
      <c r="K59" s="7" t="s">
        <v>362</v>
      </c>
      <c r="L59" s="27" t="s">
        <v>363</v>
      </c>
      <c r="M59" s="27" t="s">
        <v>246</v>
      </c>
      <c r="N59" s="37" t="s">
        <v>37</v>
      </c>
      <c r="O59" s="16"/>
      <c r="P59" s="15"/>
      <c r="Q59" s="15"/>
      <c r="R59" s="7" t="s">
        <v>43</v>
      </c>
      <c r="S59" s="7" t="s">
        <v>37</v>
      </c>
      <c r="T59" s="7" t="s">
        <v>37</v>
      </c>
      <c r="U59" s="7" t="s">
        <v>46</v>
      </c>
      <c r="V59" s="7"/>
      <c r="W59" s="7">
        <v>0</v>
      </c>
      <c r="X59" s="18">
        <v>0</v>
      </c>
      <c r="Y59" s="18">
        <v>0</v>
      </c>
      <c r="Z59" s="18">
        <v>0</v>
      </c>
      <c r="AA59" s="18">
        <v>0</v>
      </c>
      <c r="AB59" s="18">
        <v>0</v>
      </c>
      <c r="AC59" s="18">
        <v>0</v>
      </c>
      <c r="AD59" s="7"/>
      <c r="AE59" s="7"/>
      <c r="AF59" s="7"/>
      <c r="AG59" s="7"/>
      <c r="AH59" s="7"/>
      <c r="AI59" s="7"/>
      <c r="AJ59" s="7"/>
      <c r="AK59" s="7"/>
      <c r="AL59" s="7"/>
      <c r="AM59" s="7"/>
      <c r="AN59" s="7"/>
      <c r="AO59" s="7"/>
      <c r="AP59" s="7"/>
      <c r="AQ59" s="7"/>
      <c r="AR59" s="7"/>
      <c r="AS59" s="7"/>
      <c r="AT59" s="7"/>
      <c r="AU59" s="7"/>
      <c r="AV59" s="7"/>
      <c r="AW59" s="7"/>
      <c r="AX59" s="7"/>
      <c r="AY59" s="7"/>
      <c r="AZ59" s="7"/>
    </row>
    <row r="60" spans="1:52" ht="63" customHeight="1">
      <c r="A60" s="20" t="s">
        <v>364</v>
      </c>
      <c r="B60" s="7">
        <v>1</v>
      </c>
      <c r="C60" s="7" t="s">
        <v>48</v>
      </c>
      <c r="D60" s="7" t="s">
        <v>108</v>
      </c>
      <c r="E60" s="7" t="s">
        <v>37</v>
      </c>
      <c r="F60" s="7" t="s">
        <v>365</v>
      </c>
      <c r="G60" s="7">
        <v>1991</v>
      </c>
      <c r="H60" s="7"/>
      <c r="I60" s="14" t="str">
        <f>HYPERLINK("mailto:info@crowncommercial.gov.uk","info@crowncommercial.gov.uk")</f>
        <v>info@crowncommercial.gov.uk</v>
      </c>
      <c r="J60" s="14" t="str">
        <f>HYPERLINK("https://www.gov.uk/government/organisations/crown-commercial-service","https://www.gov.uk/government/organisations/crown-commercial-service")</f>
        <v>https://www.gov.uk/government/organisations/crown-commercial-service</v>
      </c>
      <c r="K60" s="7" t="s">
        <v>366</v>
      </c>
      <c r="L60" s="7" t="s">
        <v>367</v>
      </c>
      <c r="M60" s="7" t="s">
        <v>42</v>
      </c>
      <c r="N60" s="15" t="s">
        <v>43</v>
      </c>
      <c r="O60" s="16">
        <v>20000</v>
      </c>
      <c r="P60" s="15" t="s">
        <v>52</v>
      </c>
      <c r="Q60" s="22" t="s">
        <v>368</v>
      </c>
      <c r="R60" s="7" t="s">
        <v>37</v>
      </c>
      <c r="S60" s="7" t="s">
        <v>37</v>
      </c>
      <c r="T60" s="7" t="s">
        <v>43</v>
      </c>
      <c r="U60" s="7" t="s">
        <v>54</v>
      </c>
      <c r="V60" s="7">
        <v>2013</v>
      </c>
      <c r="W60" s="7">
        <v>688</v>
      </c>
      <c r="X60" s="18">
        <v>4830</v>
      </c>
      <c r="Y60" s="18">
        <v>91762</v>
      </c>
      <c r="Z60" s="18">
        <v>96592</v>
      </c>
      <c r="AA60" s="18">
        <v>70012</v>
      </c>
      <c r="AB60" s="18">
        <v>0</v>
      </c>
      <c r="AC60" s="18">
        <v>0</v>
      </c>
      <c r="AD60" s="7" t="s">
        <v>369</v>
      </c>
      <c r="AE60" s="7"/>
      <c r="AF60" s="7"/>
      <c r="AG60" s="7"/>
      <c r="AH60" s="7"/>
      <c r="AI60" s="7"/>
      <c r="AJ60" s="7"/>
      <c r="AK60" s="7"/>
      <c r="AL60" s="7"/>
      <c r="AM60" s="7"/>
      <c r="AN60" s="7"/>
      <c r="AO60" s="7"/>
      <c r="AP60" s="7"/>
      <c r="AQ60" s="7"/>
      <c r="AR60" s="7"/>
      <c r="AS60" s="7"/>
      <c r="AT60" s="7"/>
      <c r="AU60" s="7"/>
      <c r="AV60" s="7"/>
      <c r="AW60" s="7"/>
      <c r="AX60" s="7"/>
      <c r="AY60" s="7"/>
      <c r="AZ60" s="7"/>
    </row>
    <row r="61" spans="1:52" ht="63" customHeight="1">
      <c r="A61" s="20" t="s">
        <v>370</v>
      </c>
      <c r="B61" s="7">
        <v>1</v>
      </c>
      <c r="C61" s="7" t="s">
        <v>89</v>
      </c>
      <c r="D61" s="7" t="s">
        <v>233</v>
      </c>
      <c r="E61" s="7" t="s">
        <v>37</v>
      </c>
      <c r="F61" s="7" t="s">
        <v>371</v>
      </c>
      <c r="G61" s="7">
        <v>1985</v>
      </c>
      <c r="H61" s="7"/>
      <c r="I61" s="14" t="str">
        <f>HYPERLINK("mailto:enquiries@cps.gov.uk","enquiries@cps.gov.uk")</f>
        <v>enquiries@cps.gov.uk</v>
      </c>
      <c r="J61" s="14" t="str">
        <f>HYPERLINK("https://www.cps.gov.uk/","www.cps.gov.uk")</f>
        <v>www.cps.gov.uk</v>
      </c>
      <c r="K61" s="7" t="s">
        <v>372</v>
      </c>
      <c r="L61" s="7" t="s">
        <v>373</v>
      </c>
      <c r="M61" s="7" t="s">
        <v>42</v>
      </c>
      <c r="N61" s="15" t="s">
        <v>43</v>
      </c>
      <c r="O61" s="16">
        <v>87865</v>
      </c>
      <c r="P61" s="15" t="s">
        <v>52</v>
      </c>
      <c r="Q61" s="15" t="s">
        <v>374</v>
      </c>
      <c r="R61" s="7" t="s">
        <v>37</v>
      </c>
      <c r="S61" s="7" t="s">
        <v>43</v>
      </c>
      <c r="T61" s="7" t="s">
        <v>43</v>
      </c>
      <c r="U61" s="7" t="s">
        <v>54</v>
      </c>
      <c r="V61" s="7">
        <v>2014</v>
      </c>
      <c r="W61" s="7">
        <v>5552</v>
      </c>
      <c r="X61" s="18">
        <v>524555</v>
      </c>
      <c r="Y61" s="18">
        <v>58381</v>
      </c>
      <c r="Z61" s="18">
        <v>582936</v>
      </c>
      <c r="AA61" s="18">
        <v>554124</v>
      </c>
      <c r="AB61" s="18">
        <v>8547</v>
      </c>
      <c r="AC61" s="18">
        <v>2928</v>
      </c>
      <c r="AD61" s="7"/>
      <c r="AE61" s="7"/>
      <c r="AF61" s="7"/>
      <c r="AG61" s="7"/>
      <c r="AH61" s="7"/>
      <c r="AI61" s="7"/>
      <c r="AJ61" s="7"/>
      <c r="AK61" s="7"/>
      <c r="AL61" s="7"/>
      <c r="AM61" s="7"/>
      <c r="AN61" s="7"/>
      <c r="AO61" s="7"/>
      <c r="AP61" s="7"/>
      <c r="AQ61" s="7"/>
      <c r="AR61" s="7"/>
      <c r="AS61" s="7"/>
      <c r="AT61" s="7"/>
      <c r="AU61" s="7"/>
      <c r="AV61" s="7"/>
      <c r="AW61" s="7"/>
      <c r="AX61" s="7"/>
      <c r="AY61" s="7"/>
      <c r="AZ61" s="7"/>
    </row>
    <row r="62" spans="1:52" ht="63" customHeight="1">
      <c r="A62" s="20" t="s">
        <v>375</v>
      </c>
      <c r="B62" s="7">
        <v>1</v>
      </c>
      <c r="C62" s="7" t="s">
        <v>65</v>
      </c>
      <c r="D62" s="7" t="s">
        <v>108</v>
      </c>
      <c r="E62" s="7" t="s">
        <v>37</v>
      </c>
      <c r="F62" s="7" t="s">
        <v>376</v>
      </c>
      <c r="G62" s="7">
        <v>2015</v>
      </c>
      <c r="H62" s="7"/>
      <c r="I62" s="14" t="str">
        <f>HYPERLINK("mailto:Jason.Leeks@deca.mod.uk","Jason.Leeks@deca.mod.uk")</f>
        <v>Jason.Leeks@deca.mod.uk</v>
      </c>
      <c r="J62" s="14" t="str">
        <f>HYPERLINK("https://www.gov.uk/government/organisations/defence-electronics-and-components-agency","https://www.gov.uk/government/organisations/defence-electronics-and-components-agency")</f>
        <v>https://www.gov.uk/government/organisations/defence-electronics-and-components-agency</v>
      </c>
      <c r="K62" s="7" t="s">
        <v>377</v>
      </c>
      <c r="L62" s="7" t="s">
        <v>378</v>
      </c>
      <c r="M62" s="7" t="s">
        <v>42</v>
      </c>
      <c r="N62" s="15" t="s">
        <v>43</v>
      </c>
      <c r="O62" s="16">
        <v>22500</v>
      </c>
      <c r="P62" s="15"/>
      <c r="Q62" s="17" t="s">
        <v>379</v>
      </c>
      <c r="R62" s="7" t="s">
        <v>37</v>
      </c>
      <c r="S62" s="7" t="s">
        <v>37</v>
      </c>
      <c r="T62" s="7" t="s">
        <v>43</v>
      </c>
      <c r="U62" s="7" t="s">
        <v>54</v>
      </c>
      <c r="V62" s="7">
        <v>2019</v>
      </c>
      <c r="W62" s="7">
        <v>404.86</v>
      </c>
      <c r="X62" s="18">
        <v>0</v>
      </c>
      <c r="Y62" s="18">
        <v>27050</v>
      </c>
      <c r="Z62" s="18">
        <f>IF(SUM(Y62)&lt;&gt;0,SUM(Y62),"")</f>
        <v>27050</v>
      </c>
      <c r="AA62" s="18">
        <v>24694</v>
      </c>
      <c r="AB62" s="18">
        <v>0</v>
      </c>
      <c r="AC62" s="18">
        <v>0</v>
      </c>
      <c r="AD62" s="7" t="s">
        <v>380</v>
      </c>
      <c r="AE62" s="7"/>
      <c r="AG62" s="7"/>
      <c r="AH62" s="7"/>
      <c r="AI62" s="7"/>
      <c r="AJ62" s="7"/>
      <c r="AK62" s="7"/>
      <c r="AL62" s="7"/>
      <c r="AM62" s="7"/>
      <c r="AN62" s="7"/>
      <c r="AO62" s="7"/>
      <c r="AP62" s="7"/>
      <c r="AQ62" s="7"/>
      <c r="AR62" s="7"/>
      <c r="AS62" s="7"/>
      <c r="AT62" s="7"/>
      <c r="AU62" s="7"/>
      <c r="AV62" s="7"/>
      <c r="AW62" s="7"/>
      <c r="AX62" s="7"/>
      <c r="AY62" s="7"/>
      <c r="AZ62" s="7"/>
    </row>
    <row r="63" spans="1:52" ht="63" customHeight="1">
      <c r="A63" s="20" t="s">
        <v>381</v>
      </c>
      <c r="B63" s="7">
        <v>1</v>
      </c>
      <c r="C63" s="7" t="s">
        <v>65</v>
      </c>
      <c r="D63" s="7" t="s">
        <v>36</v>
      </c>
      <c r="E63" s="7" t="s">
        <v>37</v>
      </c>
      <c r="F63" s="7" t="s">
        <v>382</v>
      </c>
      <c r="G63" s="7">
        <v>1999</v>
      </c>
      <c r="H63" s="7"/>
      <c r="I63" s="14" t="str">
        <f>HYPERLINK("mailto:louise.austin107@mod.gov.uk","louise.austin107@mod.gov.uk")</f>
        <v>louise.austin107@mod.gov.uk</v>
      </c>
      <c r="J63" s="14" t="s">
        <v>383</v>
      </c>
      <c r="K63" s="7" t="s">
        <v>384</v>
      </c>
      <c r="L63" s="38" t="s">
        <v>385</v>
      </c>
      <c r="M63" s="13" t="s">
        <v>42</v>
      </c>
      <c r="N63" s="15" t="s">
        <v>43</v>
      </c>
      <c r="O63" s="16">
        <v>465</v>
      </c>
      <c r="P63" s="15" t="s">
        <v>44</v>
      </c>
      <c r="Q63" s="17" t="s">
        <v>386</v>
      </c>
      <c r="R63" s="7" t="s">
        <v>37</v>
      </c>
      <c r="S63" s="7" t="s">
        <v>37</v>
      </c>
      <c r="T63" s="7" t="s">
        <v>43</v>
      </c>
      <c r="U63" s="7"/>
      <c r="V63" s="13">
        <v>2014</v>
      </c>
      <c r="W63" s="7">
        <v>1</v>
      </c>
      <c r="X63" s="18">
        <v>95</v>
      </c>
      <c r="Y63" s="18">
        <v>0</v>
      </c>
      <c r="Z63" s="18">
        <v>95</v>
      </c>
      <c r="AA63" s="18">
        <v>95</v>
      </c>
      <c r="AB63" s="18">
        <v>0</v>
      </c>
      <c r="AC63" s="18">
        <v>0</v>
      </c>
      <c r="AD63" s="7"/>
      <c r="AE63" s="13" t="s">
        <v>56</v>
      </c>
      <c r="AF63" s="7"/>
      <c r="AG63" s="7"/>
      <c r="AH63" s="7"/>
      <c r="AI63" s="7"/>
      <c r="AJ63" s="7"/>
      <c r="AK63" s="7"/>
      <c r="AL63" s="7"/>
      <c r="AM63" s="7"/>
      <c r="AN63" s="7"/>
      <c r="AO63" s="7"/>
      <c r="AP63" s="7"/>
      <c r="AQ63" s="7"/>
      <c r="AR63" s="7"/>
      <c r="AS63" s="7"/>
      <c r="AT63" s="7"/>
      <c r="AU63" s="7"/>
      <c r="AV63" s="7"/>
      <c r="AW63" s="7"/>
      <c r="AX63" s="7"/>
      <c r="AY63" s="7"/>
      <c r="AZ63" s="7"/>
    </row>
    <row r="64" spans="1:52" ht="63" customHeight="1">
      <c r="A64" s="20" t="s">
        <v>387</v>
      </c>
      <c r="B64" s="7">
        <v>1</v>
      </c>
      <c r="C64" s="7" t="s">
        <v>65</v>
      </c>
      <c r="D64" s="7" t="s">
        <v>108</v>
      </c>
      <c r="E64" s="7" t="s">
        <v>37</v>
      </c>
      <c r="F64" s="7" t="s">
        <v>388</v>
      </c>
      <c r="G64" s="13">
        <v>2001</v>
      </c>
      <c r="H64" s="7"/>
      <c r="I64" s="14" t="str">
        <f>HYPERLINK("mailto:centralenquiries@dstl.gov.uk","centralenquiries@dstl.gov.uk")</f>
        <v>centralenquiries@dstl.gov.uk</v>
      </c>
      <c r="J64" s="14" t="str">
        <f>HYPERLINK("https://www.gov.uk/dstl","https://www.gov.uk/dstl")</f>
        <v>https://www.gov.uk/dstl</v>
      </c>
      <c r="K64" s="13" t="s">
        <v>389</v>
      </c>
      <c r="L64" s="7" t="s">
        <v>390</v>
      </c>
      <c r="M64" s="7" t="s">
        <v>42</v>
      </c>
      <c r="N64" s="15" t="s">
        <v>43</v>
      </c>
      <c r="O64" s="16">
        <v>28000</v>
      </c>
      <c r="P64" s="15" t="s">
        <v>52</v>
      </c>
      <c r="Q64" s="17" t="s">
        <v>391</v>
      </c>
      <c r="R64" s="7" t="s">
        <v>37</v>
      </c>
      <c r="S64" s="7" t="s">
        <v>37</v>
      </c>
      <c r="T64" s="7" t="s">
        <v>43</v>
      </c>
      <c r="U64" s="7" t="s">
        <v>54</v>
      </c>
      <c r="V64" s="7">
        <v>2019</v>
      </c>
      <c r="W64" s="39">
        <v>3820</v>
      </c>
      <c r="X64" s="18">
        <v>0</v>
      </c>
      <c r="Y64" s="18">
        <v>630381</v>
      </c>
      <c r="Z64" s="18">
        <f>IF(SUM(Y64)&lt;&gt;0,SUM(Y64),"")</f>
        <v>630381</v>
      </c>
      <c r="AA64" s="18">
        <v>637257</v>
      </c>
      <c r="AB64" s="18">
        <v>62493</v>
      </c>
      <c r="AC64" s="18">
        <v>0</v>
      </c>
      <c r="AD64" s="7"/>
      <c r="AE64" s="7"/>
      <c r="AF64" s="7"/>
      <c r="AG64" s="7"/>
      <c r="AH64" s="7"/>
      <c r="AI64" s="7"/>
      <c r="AJ64" s="7"/>
      <c r="AK64" s="7"/>
      <c r="AL64" s="7"/>
      <c r="AM64" s="7"/>
      <c r="AN64" s="7"/>
      <c r="AO64" s="7"/>
      <c r="AP64" s="7"/>
      <c r="AQ64" s="7"/>
      <c r="AR64" s="7"/>
      <c r="AS64" s="7"/>
      <c r="AT64" s="7"/>
      <c r="AU64" s="7"/>
      <c r="AV64" s="7"/>
      <c r="AW64" s="7"/>
      <c r="AX64" s="7"/>
      <c r="AY64" s="7"/>
      <c r="AZ64" s="7"/>
    </row>
    <row r="65" spans="1:52" ht="63" customHeight="1">
      <c r="A65" s="20" t="s">
        <v>392</v>
      </c>
      <c r="B65" s="7">
        <v>1</v>
      </c>
      <c r="C65" s="7" t="s">
        <v>206</v>
      </c>
      <c r="D65" s="7" t="s">
        <v>95</v>
      </c>
      <c r="E65" s="7" t="s">
        <v>37</v>
      </c>
      <c r="F65" s="7" t="s">
        <v>393</v>
      </c>
      <c r="G65" s="7">
        <v>2009</v>
      </c>
      <c r="H65" s="7" t="s">
        <v>394</v>
      </c>
      <c r="I65" s="40" t="s">
        <v>395</v>
      </c>
      <c r="J65" s="14" t="s">
        <v>396</v>
      </c>
      <c r="K65" s="7" t="s">
        <v>208</v>
      </c>
      <c r="L65" s="27" t="s">
        <v>82</v>
      </c>
      <c r="M65" s="27" t="s">
        <v>42</v>
      </c>
      <c r="N65" s="17" t="s">
        <v>46</v>
      </c>
      <c r="O65" s="16"/>
      <c r="P65" s="15"/>
      <c r="Q65" s="15"/>
      <c r="R65" s="7"/>
      <c r="S65" s="7"/>
      <c r="T65" s="7"/>
      <c r="U65" s="7" t="s">
        <v>46</v>
      </c>
      <c r="V65" s="7">
        <v>2017</v>
      </c>
      <c r="W65" s="7">
        <v>0</v>
      </c>
      <c r="X65" s="18">
        <v>0</v>
      </c>
      <c r="Y65" s="18">
        <v>0</v>
      </c>
      <c r="Z65" s="18">
        <v>0</v>
      </c>
      <c r="AA65" s="18">
        <v>0</v>
      </c>
      <c r="AB65" s="18">
        <v>0</v>
      </c>
      <c r="AC65" s="18">
        <v>0</v>
      </c>
      <c r="AD65" s="7" t="s">
        <v>397</v>
      </c>
      <c r="AE65" s="7"/>
      <c r="AG65" s="7"/>
      <c r="AH65" s="7"/>
      <c r="AI65" s="7"/>
      <c r="AJ65" s="7"/>
      <c r="AK65" s="7"/>
      <c r="AL65" s="7"/>
      <c r="AM65" s="7"/>
      <c r="AN65" s="7"/>
      <c r="AO65" s="7"/>
      <c r="AP65" s="7"/>
      <c r="AQ65" s="7"/>
      <c r="AR65" s="7"/>
      <c r="AS65" s="7"/>
      <c r="AT65" s="7"/>
      <c r="AU65" s="7"/>
      <c r="AV65" s="7"/>
      <c r="AW65" s="7"/>
      <c r="AX65" s="7"/>
      <c r="AY65" s="7"/>
      <c r="AZ65" s="7"/>
    </row>
    <row r="66" spans="1:52" ht="63" customHeight="1">
      <c r="A66" s="20" t="s">
        <v>398</v>
      </c>
      <c r="B66" s="7">
        <v>1</v>
      </c>
      <c r="C66" s="7" t="s">
        <v>133</v>
      </c>
      <c r="D66" s="7" t="s">
        <v>95</v>
      </c>
      <c r="E66" s="7" t="s">
        <v>37</v>
      </c>
      <c r="F66" s="7" t="s">
        <v>399</v>
      </c>
      <c r="G66" s="7">
        <v>2012</v>
      </c>
      <c r="H66" s="7"/>
      <c r="I66" s="14" t="str">
        <f>HYPERLINK("mailto:customerservices@dbs.gov.uk","customerservices@dbs.gov.uk")</f>
        <v>customerservices@dbs.gov.uk</v>
      </c>
      <c r="J66" s="14" t="str">
        <f>HYPERLINK("https://www.gov.uk/government/organisations/disclosure-and-barring-service","https://www.gov.uk/government/organisations/disclosure-and-barring-service")</f>
        <v>https://www.gov.uk/government/organisations/disclosure-and-barring-service</v>
      </c>
      <c r="K66" s="7" t="s">
        <v>400</v>
      </c>
      <c r="L66" s="7" t="s">
        <v>401</v>
      </c>
      <c r="M66" s="7" t="s">
        <v>42</v>
      </c>
      <c r="N66" s="15" t="s">
        <v>43</v>
      </c>
      <c r="O66" s="16">
        <v>44000</v>
      </c>
      <c r="P66" s="15" t="s">
        <v>52</v>
      </c>
      <c r="Q66" s="17" t="s">
        <v>193</v>
      </c>
      <c r="R66" s="7" t="s">
        <v>37</v>
      </c>
      <c r="S66" s="7" t="s">
        <v>37</v>
      </c>
      <c r="T66" s="7" t="s">
        <v>43</v>
      </c>
      <c r="U66" s="7" t="s">
        <v>54</v>
      </c>
      <c r="V66" s="7">
        <v>2012</v>
      </c>
      <c r="W66" s="26">
        <v>1117</v>
      </c>
      <c r="X66" s="18">
        <v>0</v>
      </c>
      <c r="Y66" s="18">
        <v>195119</v>
      </c>
      <c r="Z66" s="18">
        <f>IF(SUM(Y66)&lt;&gt;0,SUM(Y66),"")</f>
        <v>195119</v>
      </c>
      <c r="AA66" s="18">
        <v>146108</v>
      </c>
      <c r="AB66" s="18">
        <v>762</v>
      </c>
      <c r="AC66" s="18">
        <v>744</v>
      </c>
      <c r="AD66" s="7" t="s">
        <v>402</v>
      </c>
      <c r="AE66" s="13" t="s">
        <v>56</v>
      </c>
      <c r="AF66" s="7"/>
      <c r="AG66" s="7"/>
      <c r="AH66" s="7"/>
      <c r="AI66" s="7"/>
      <c r="AJ66" s="7"/>
      <c r="AK66" s="7"/>
      <c r="AL66" s="7"/>
      <c r="AM66" s="7"/>
      <c r="AN66" s="7"/>
      <c r="AO66" s="7"/>
      <c r="AP66" s="7"/>
      <c r="AQ66" s="7"/>
      <c r="AR66" s="7"/>
      <c r="AS66" s="7"/>
      <c r="AT66" s="7"/>
      <c r="AU66" s="7"/>
      <c r="AV66" s="7"/>
      <c r="AW66" s="7"/>
      <c r="AX66" s="7"/>
      <c r="AY66" s="7"/>
      <c r="AZ66" s="7"/>
    </row>
    <row r="67" spans="1:52" ht="63" customHeight="1">
      <c r="A67" s="20" t="s">
        <v>403</v>
      </c>
      <c r="B67" s="7">
        <v>1</v>
      </c>
      <c r="C67" s="7" t="s">
        <v>206</v>
      </c>
      <c r="D67" s="7" t="s">
        <v>108</v>
      </c>
      <c r="E67" s="7" t="s">
        <v>37</v>
      </c>
      <c r="F67" s="7" t="s">
        <v>404</v>
      </c>
      <c r="G67" s="7">
        <v>1990</v>
      </c>
      <c r="H67" s="7"/>
      <c r="I67" s="14" t="str">
        <f>HYPERLINK("mailto:enquiries@dvla.gov.uk","enquiries@dvla.gov.uk")</f>
        <v>enquiries@dvla.gov.uk</v>
      </c>
      <c r="J67" s="14" t="str">
        <f>HYPERLINK("https://www.gov.uk/government/organisations/driver-and-vehicle-licensing-agency","www.gov.uk/dvla")</f>
        <v>www.gov.uk/dvla</v>
      </c>
      <c r="K67" s="7" t="s">
        <v>208</v>
      </c>
      <c r="L67" s="7" t="s">
        <v>316</v>
      </c>
      <c r="M67" s="7" t="s">
        <v>42</v>
      </c>
      <c r="N67" s="15" t="s">
        <v>43</v>
      </c>
      <c r="O67" s="16">
        <v>43176</v>
      </c>
      <c r="P67" s="15" t="s">
        <v>52</v>
      </c>
      <c r="Q67" s="15" t="s">
        <v>405</v>
      </c>
      <c r="R67" s="7" t="s">
        <v>37</v>
      </c>
      <c r="S67" s="7" t="s">
        <v>37</v>
      </c>
      <c r="T67" s="7" t="s">
        <v>43</v>
      </c>
      <c r="U67" s="7" t="s">
        <v>54</v>
      </c>
      <c r="V67" s="7">
        <v>2014</v>
      </c>
      <c r="W67" s="26">
        <v>5336</v>
      </c>
      <c r="X67" s="18">
        <v>78402</v>
      </c>
      <c r="Y67" s="18">
        <v>400267</v>
      </c>
      <c r="Z67" s="18">
        <v>478669</v>
      </c>
      <c r="AA67" s="18">
        <v>472051</v>
      </c>
      <c r="AB67" s="18">
        <v>14073</v>
      </c>
      <c r="AC67" s="18">
        <v>2867</v>
      </c>
      <c r="AD67" s="7"/>
      <c r="AE67" s="7"/>
      <c r="AF67" s="7"/>
      <c r="AG67" s="7"/>
      <c r="AH67" s="7"/>
      <c r="AI67" s="7"/>
      <c r="AJ67" s="7"/>
      <c r="AK67" s="7"/>
      <c r="AL67" s="7"/>
      <c r="AM67" s="7"/>
      <c r="AN67" s="7"/>
      <c r="AO67" s="7"/>
      <c r="AP67" s="7"/>
      <c r="AQ67" s="7"/>
      <c r="AR67" s="7"/>
      <c r="AS67" s="7"/>
      <c r="AT67" s="7"/>
      <c r="AU67" s="7"/>
      <c r="AV67" s="7"/>
      <c r="AW67" s="7"/>
      <c r="AX67" s="7"/>
      <c r="AY67" s="7"/>
      <c r="AZ67" s="7"/>
    </row>
    <row r="68" spans="1:52" ht="63" customHeight="1">
      <c r="A68" s="20" t="s">
        <v>406</v>
      </c>
      <c r="B68" s="7">
        <v>1</v>
      </c>
      <c r="C68" s="7" t="s">
        <v>206</v>
      </c>
      <c r="D68" s="7" t="s">
        <v>108</v>
      </c>
      <c r="E68" s="7" t="s">
        <v>37</v>
      </c>
      <c r="F68" s="7" t="s">
        <v>407</v>
      </c>
      <c r="G68" s="7">
        <v>2015</v>
      </c>
      <c r="H68" s="7"/>
      <c r="I68" s="14" t="str">
        <f>HYPERLINK("mailto:tom.middleton@vosa.gsi.gov.uk","tom.middleton@vosa.gsi.gov.uk")</f>
        <v>tom.middleton@vosa.gsi.gov.uk</v>
      </c>
      <c r="J68" s="14" t="str">
        <f>HYPERLINK("https://www.gov.uk/government/organisations/driver-and-vehicle-standards-agency","https://www.gov.uk/government/organisations/driver-and-vehicle-standards-agency")</f>
        <v>https://www.gov.uk/government/organisations/driver-and-vehicle-standards-agency</v>
      </c>
      <c r="K68" s="13" t="s">
        <v>408</v>
      </c>
      <c r="L68" s="7" t="s">
        <v>409</v>
      </c>
      <c r="M68" s="7" t="s">
        <v>42</v>
      </c>
      <c r="N68" s="15" t="s">
        <v>43</v>
      </c>
      <c r="O68" s="16">
        <v>30000</v>
      </c>
      <c r="P68" s="15" t="s">
        <v>52</v>
      </c>
      <c r="Q68" s="15" t="s">
        <v>210</v>
      </c>
      <c r="R68" s="7" t="s">
        <v>37</v>
      </c>
      <c r="S68" s="7" t="s">
        <v>37</v>
      </c>
      <c r="T68" s="7" t="s">
        <v>43</v>
      </c>
      <c r="U68" s="7" t="s">
        <v>54</v>
      </c>
      <c r="V68" s="7">
        <v>2014</v>
      </c>
      <c r="W68" s="26">
        <v>4593</v>
      </c>
      <c r="X68" s="18">
        <v>0</v>
      </c>
      <c r="Y68" s="18">
        <v>384406</v>
      </c>
      <c r="Z68" s="18">
        <f>IF(SUM(Y68)&lt;&gt;0,SUM(Y68),"")</f>
        <v>384406</v>
      </c>
      <c r="AA68" s="18">
        <v>0</v>
      </c>
      <c r="AB68" s="18">
        <v>0</v>
      </c>
      <c r="AC68" s="18">
        <v>362622</v>
      </c>
      <c r="AD68" s="7"/>
      <c r="AE68" s="7"/>
      <c r="AF68" s="7"/>
      <c r="AG68" s="7"/>
      <c r="AH68" s="7"/>
      <c r="AI68" s="7"/>
      <c r="AJ68" s="7"/>
      <c r="AK68" s="7"/>
      <c r="AL68" s="7"/>
      <c r="AM68" s="7"/>
      <c r="AN68" s="7"/>
      <c r="AO68" s="7"/>
      <c r="AP68" s="7"/>
      <c r="AQ68" s="7"/>
      <c r="AR68" s="7"/>
      <c r="AS68" s="7"/>
      <c r="AT68" s="7"/>
      <c r="AU68" s="7"/>
      <c r="AV68" s="7"/>
      <c r="AW68" s="7"/>
      <c r="AX68" s="7"/>
      <c r="AY68" s="7"/>
      <c r="AZ68" s="7"/>
    </row>
    <row r="69" spans="1:52" ht="63" customHeight="1">
      <c r="A69" s="20" t="s">
        <v>410</v>
      </c>
      <c r="B69" s="7">
        <v>1</v>
      </c>
      <c r="C69" s="7" t="s">
        <v>206</v>
      </c>
      <c r="D69" s="7" t="s">
        <v>95</v>
      </c>
      <c r="E69" s="7" t="s">
        <v>37</v>
      </c>
      <c r="F69" s="7" t="s">
        <v>411</v>
      </c>
      <c r="G69" s="7">
        <v>2017</v>
      </c>
      <c r="H69" s="7"/>
      <c r="I69" s="28" t="str">
        <f>HYPERLINK("mailto:contact@eastwestrail.co.uk","contact@eastwestrail.co.uk")</f>
        <v>contact@eastwestrail.co.uk</v>
      </c>
      <c r="J69" s="14" t="str">
        <f>HYPERLINK("https://eastwestrail.co.uk/","https://eastwestrail.co.uk/")</f>
        <v>https://eastwestrail.co.uk/</v>
      </c>
      <c r="K69" s="7" t="s">
        <v>412</v>
      </c>
      <c r="L69" s="27" t="s">
        <v>413</v>
      </c>
      <c r="M69" s="27" t="s">
        <v>42</v>
      </c>
      <c r="N69" s="15" t="s">
        <v>43</v>
      </c>
      <c r="O69" s="16">
        <v>100000</v>
      </c>
      <c r="P69" s="15" t="s">
        <v>52</v>
      </c>
      <c r="Q69" s="17" t="s">
        <v>414</v>
      </c>
      <c r="R69" s="7" t="s">
        <v>37</v>
      </c>
      <c r="S69" s="7" t="s">
        <v>37</v>
      </c>
      <c r="T69" s="7" t="s">
        <v>43</v>
      </c>
      <c r="U69" s="7"/>
      <c r="V69" s="7"/>
      <c r="W69" s="7"/>
      <c r="X69" s="18">
        <v>5035</v>
      </c>
      <c r="Y69" s="18">
        <v>0</v>
      </c>
      <c r="Z69" s="18">
        <v>5035</v>
      </c>
      <c r="AA69" s="18">
        <v>8155</v>
      </c>
      <c r="AB69" s="18">
        <v>100</v>
      </c>
      <c r="AC69" s="18">
        <v>0</v>
      </c>
      <c r="AD69" s="7"/>
      <c r="AE69" s="7"/>
      <c r="AF69" s="7"/>
      <c r="AG69" s="7"/>
      <c r="AH69" s="7"/>
      <c r="AI69" s="7"/>
      <c r="AJ69" s="7"/>
      <c r="AK69" s="7"/>
      <c r="AL69" s="7"/>
      <c r="AM69" s="7"/>
      <c r="AN69" s="7"/>
      <c r="AO69" s="7"/>
      <c r="AP69" s="7"/>
      <c r="AQ69" s="7"/>
      <c r="AR69" s="7"/>
      <c r="AS69" s="7"/>
      <c r="AT69" s="7"/>
      <c r="AU69" s="7"/>
      <c r="AV69" s="7"/>
      <c r="AW69" s="7"/>
      <c r="AX69" s="7"/>
      <c r="AY69" s="7"/>
      <c r="AZ69" s="7"/>
    </row>
    <row r="70" spans="1:52" ht="63" customHeight="1">
      <c r="A70" s="20" t="s">
        <v>415</v>
      </c>
      <c r="B70" s="7">
        <v>1</v>
      </c>
      <c r="C70" s="7" t="s">
        <v>212</v>
      </c>
      <c r="D70" s="7" t="s">
        <v>95</v>
      </c>
      <c r="E70" s="7" t="s">
        <v>43</v>
      </c>
      <c r="F70" s="7" t="s">
        <v>416</v>
      </c>
      <c r="G70" s="7">
        <v>2015</v>
      </c>
      <c r="H70" s="7"/>
      <c r="I70" s="14" t="str">
        <f>HYPERLINK("mailto:contactebbsfleetdc@ebbsfleet.org.uk","contactebbsfleetdc@ebbsfleet.org.uk")</f>
        <v>contactebbsfleetdc@ebbsfleet.org.uk</v>
      </c>
      <c r="J70" s="14" t="str">
        <f>HYPERLINK("https://ebbsfleetdc.org.uk/","ebbsfleetdc.org.uk")</f>
        <v>ebbsfleetdc.org.uk</v>
      </c>
      <c r="K70" s="7" t="s">
        <v>417</v>
      </c>
      <c r="L70" s="7" t="s">
        <v>418</v>
      </c>
      <c r="M70" s="7" t="s">
        <v>42</v>
      </c>
      <c r="N70" s="15" t="s">
        <v>43</v>
      </c>
      <c r="O70" s="16">
        <v>56000</v>
      </c>
      <c r="P70" s="15" t="s">
        <v>52</v>
      </c>
      <c r="Q70" s="17" t="s">
        <v>419</v>
      </c>
      <c r="R70" s="7" t="s">
        <v>43</v>
      </c>
      <c r="S70" s="7" t="s">
        <v>43</v>
      </c>
      <c r="T70" s="7" t="s">
        <v>43</v>
      </c>
      <c r="U70" s="7" t="s">
        <v>46</v>
      </c>
      <c r="V70" s="7"/>
      <c r="W70" s="7">
        <v>38</v>
      </c>
      <c r="X70" s="18">
        <v>91628</v>
      </c>
      <c r="Y70" s="18">
        <v>2075</v>
      </c>
      <c r="Z70" s="18">
        <v>93703</v>
      </c>
      <c r="AA70" s="18">
        <v>6043</v>
      </c>
      <c r="AB70" s="18">
        <v>66000</v>
      </c>
      <c r="AC70" s="18">
        <v>21660</v>
      </c>
      <c r="AD70" s="7"/>
      <c r="AE70" s="13" t="s">
        <v>56</v>
      </c>
      <c r="AF70" s="7"/>
      <c r="AG70" s="7"/>
      <c r="AH70" s="7"/>
      <c r="AI70" s="7"/>
      <c r="AJ70" s="7"/>
      <c r="AK70" s="7"/>
      <c r="AL70" s="7"/>
      <c r="AM70" s="7"/>
      <c r="AN70" s="7"/>
      <c r="AO70" s="7"/>
      <c r="AP70" s="7"/>
      <c r="AQ70" s="7"/>
      <c r="AR70" s="7"/>
      <c r="AS70" s="7"/>
      <c r="AT70" s="7"/>
      <c r="AU70" s="7"/>
      <c r="AV70" s="7"/>
      <c r="AW70" s="7"/>
      <c r="AX70" s="7"/>
      <c r="AY70" s="7"/>
      <c r="AZ70" s="7"/>
    </row>
    <row r="71" spans="1:52" ht="63" customHeight="1">
      <c r="A71" s="20" t="s">
        <v>420</v>
      </c>
      <c r="B71" s="7">
        <v>1</v>
      </c>
      <c r="C71" s="7" t="s">
        <v>334</v>
      </c>
      <c r="D71" s="7" t="s">
        <v>108</v>
      </c>
      <c r="E71" s="7" t="s">
        <v>43</v>
      </c>
      <c r="F71" s="7" t="s">
        <v>421</v>
      </c>
      <c r="G71" s="7">
        <v>2018</v>
      </c>
      <c r="H71" s="7"/>
      <c r="I71" s="14" t="str">
        <f>HYPERLINK("https://form.education.gov.uk/en/AchieveForms/?form_uri=sandbox-publish://AF-Process-f9f4f5a1-936f-448b-bbeb-9dcdd595f468/AF-Stage-8aa41278-3cdd-45a3-ad87-80cbffb8b992/definition.json&amp;redirectlink=%2Fen&amp;cancelRedirectLink=%2Fen&amp;consentMessage=yes","Please contact on website")</f>
        <v>Please contact on website</v>
      </c>
      <c r="J71" s="14" t="str">
        <f>HYPERLINK("https://www.gov.uk/government/organisations/education-and-skills-funding-agency","https://www.gov.uk/government/organisations/education-and-skills-funding-agency")</f>
        <v>https://www.gov.uk/government/organisations/education-and-skills-funding-agency</v>
      </c>
      <c r="K71" s="7" t="s">
        <v>422</v>
      </c>
      <c r="L71" s="13" t="s">
        <v>423</v>
      </c>
      <c r="M71" s="7" t="s">
        <v>42</v>
      </c>
      <c r="N71" s="15" t="s">
        <v>43</v>
      </c>
      <c r="O71" s="16">
        <v>15000</v>
      </c>
      <c r="P71" s="15" t="s">
        <v>52</v>
      </c>
      <c r="Q71" s="7" t="s">
        <v>424</v>
      </c>
      <c r="R71" s="7" t="s">
        <v>37</v>
      </c>
      <c r="S71" s="7" t="s">
        <v>43</v>
      </c>
      <c r="T71" s="7" t="s">
        <v>43</v>
      </c>
      <c r="U71" s="7" t="s">
        <v>54</v>
      </c>
      <c r="V71" s="7"/>
      <c r="W71" s="26">
        <v>1513</v>
      </c>
      <c r="X71" s="18">
        <v>56899501</v>
      </c>
      <c r="Y71" s="18">
        <f>198263+1094</f>
        <v>199357</v>
      </c>
      <c r="Z71" s="18">
        <v>57098858</v>
      </c>
      <c r="AA71" s="18">
        <f>56905105-AB71+Y71-5281</f>
        <v>56872007</v>
      </c>
      <c r="AB71" s="18">
        <v>227174</v>
      </c>
      <c r="AC71" s="18">
        <v>46480</v>
      </c>
      <c r="AD71" s="7"/>
      <c r="AE71" s="7"/>
      <c r="AF71" s="7"/>
      <c r="AG71" s="7"/>
      <c r="AH71" s="7"/>
      <c r="AI71" s="7"/>
      <c r="AJ71" s="7"/>
      <c r="AK71" s="7"/>
      <c r="AL71" s="7"/>
      <c r="AM71" s="7"/>
      <c r="AN71" s="7"/>
      <c r="AO71" s="7"/>
      <c r="AP71" s="7"/>
      <c r="AQ71" s="7"/>
      <c r="AR71" s="7"/>
      <c r="AS71" s="7"/>
      <c r="AT71" s="7"/>
      <c r="AU71" s="7"/>
      <c r="AV71" s="7"/>
      <c r="AW71" s="7"/>
      <c r="AX71" s="7"/>
      <c r="AY71" s="7"/>
      <c r="AZ71" s="7"/>
    </row>
    <row r="72" spans="1:52" ht="63" customHeight="1">
      <c r="A72" s="20" t="s">
        <v>425</v>
      </c>
      <c r="B72" s="7">
        <v>1</v>
      </c>
      <c r="C72" s="7" t="s">
        <v>334</v>
      </c>
      <c r="D72" s="7" t="s">
        <v>95</v>
      </c>
      <c r="E72" s="7" t="s">
        <v>37</v>
      </c>
      <c r="F72" s="7" t="s">
        <v>426</v>
      </c>
      <c r="G72" s="7">
        <v>1991</v>
      </c>
      <c r="H72" s="7"/>
      <c r="I72" s="14" t="str">
        <f>HYPERLINK("mailto:ECITB@ecitb.org.uk","ECITB@ecitb.org.uk")</f>
        <v>ECITB@ecitb.org.uk</v>
      </c>
      <c r="J72" s="14" t="str">
        <f>HYPERLINK("https://www.ecitb.org.uk/","www.ecitb.org.uk")</f>
        <v>www.ecitb.org.uk</v>
      </c>
      <c r="K72" s="7" t="s">
        <v>336</v>
      </c>
      <c r="L72" s="27" t="s">
        <v>427</v>
      </c>
      <c r="M72" s="13" t="s">
        <v>42</v>
      </c>
      <c r="N72" s="15" t="s">
        <v>56</v>
      </c>
      <c r="O72" s="16">
        <v>29200</v>
      </c>
      <c r="P72" s="15" t="s">
        <v>338</v>
      </c>
      <c r="Q72" s="7" t="s">
        <v>419</v>
      </c>
      <c r="R72" s="7" t="s">
        <v>63</v>
      </c>
      <c r="S72" s="7" t="s">
        <v>63</v>
      </c>
      <c r="T72" s="7" t="s">
        <v>56</v>
      </c>
      <c r="U72" s="7" t="s">
        <v>54</v>
      </c>
      <c r="V72" s="7">
        <v>2017</v>
      </c>
      <c r="W72" s="7">
        <v>65.5</v>
      </c>
      <c r="X72" s="18">
        <v>0</v>
      </c>
      <c r="Y72" s="18">
        <v>25571</v>
      </c>
      <c r="Z72" s="18">
        <f>IF(SUM(Y72)&lt;&gt;0,SUM(Y72),"")</f>
        <v>25571</v>
      </c>
      <c r="AA72" s="18">
        <v>0</v>
      </c>
      <c r="AB72" s="18">
        <v>0</v>
      </c>
      <c r="AC72" s="18">
        <v>29297</v>
      </c>
      <c r="AD72" s="7"/>
      <c r="AE72" s="13" t="s">
        <v>56</v>
      </c>
      <c r="AF72" s="7"/>
      <c r="AG72" s="7"/>
      <c r="AH72" s="7"/>
      <c r="AI72" s="7"/>
      <c r="AJ72" s="7"/>
      <c r="AK72" s="7"/>
      <c r="AL72" s="7"/>
      <c r="AM72" s="7"/>
      <c r="AN72" s="7"/>
      <c r="AO72" s="7"/>
      <c r="AP72" s="7"/>
      <c r="AQ72" s="7"/>
      <c r="AR72" s="7"/>
      <c r="AS72" s="7"/>
      <c r="AT72" s="7"/>
      <c r="AU72" s="7"/>
      <c r="AV72" s="7"/>
      <c r="AW72" s="7"/>
      <c r="AX72" s="7"/>
      <c r="AY72" s="7"/>
      <c r="AZ72" s="7"/>
    </row>
    <row r="73" spans="1:52" ht="63" customHeight="1">
      <c r="A73" s="20" t="s">
        <v>428</v>
      </c>
      <c r="B73" s="7">
        <v>1</v>
      </c>
      <c r="C73" s="7" t="s">
        <v>79</v>
      </c>
      <c r="D73" s="7" t="s">
        <v>95</v>
      </c>
      <c r="E73" s="7" t="s">
        <v>43</v>
      </c>
      <c r="F73" s="7" t="s">
        <v>429</v>
      </c>
      <c r="G73" s="7">
        <v>1996</v>
      </c>
      <c r="H73" s="7"/>
      <c r="I73" s="14" t="str">
        <f>HYPERLINK("mailto:enquiries@environment-agency.gov.uk","enquiries@environment-agency.gov.uk")</f>
        <v>enquiries@environment-agency.gov.uk</v>
      </c>
      <c r="J73" s="14" t="str">
        <f>HYPERLINK("https://www.gov.uk/government/ organisations/environment-agency","https://www.gov.uk/government/
organisations/environment-agency")</f>
        <v>https://www.gov.uk/government/
organisations/environment-agency</v>
      </c>
      <c r="K73" s="7" t="s">
        <v>430</v>
      </c>
      <c r="L73" s="7" t="s">
        <v>431</v>
      </c>
      <c r="M73" s="13" t="s">
        <v>42</v>
      </c>
      <c r="N73" s="15" t="s">
        <v>43</v>
      </c>
      <c r="O73" s="16">
        <v>100000</v>
      </c>
      <c r="P73" s="15" t="s">
        <v>52</v>
      </c>
      <c r="Q73" s="17" t="s">
        <v>100</v>
      </c>
      <c r="R73" s="7" t="s">
        <v>37</v>
      </c>
      <c r="S73" s="7" t="s">
        <v>43</v>
      </c>
      <c r="T73" s="7" t="s">
        <v>43</v>
      </c>
      <c r="U73" s="7" t="s">
        <v>432</v>
      </c>
      <c r="V73" s="7">
        <v>2014</v>
      </c>
      <c r="W73" s="39">
        <v>10429</v>
      </c>
      <c r="X73" s="18">
        <v>908678</v>
      </c>
      <c r="Y73" s="18">
        <v>442008</v>
      </c>
      <c r="Z73" s="18">
        <v>1350686</v>
      </c>
      <c r="AA73" s="18">
        <v>808472</v>
      </c>
      <c r="AB73" s="18">
        <v>562451</v>
      </c>
      <c r="AC73" s="18">
        <v>0</v>
      </c>
      <c r="AD73" s="7"/>
      <c r="AE73" s="7"/>
      <c r="AF73" s="7"/>
      <c r="AG73" s="7"/>
      <c r="AH73" s="7"/>
      <c r="AI73" s="7"/>
      <c r="AJ73" s="7"/>
      <c r="AK73" s="7"/>
      <c r="AL73" s="7"/>
      <c r="AM73" s="7"/>
      <c r="AN73" s="7"/>
      <c r="AO73" s="7"/>
      <c r="AP73" s="7"/>
      <c r="AQ73" s="7"/>
      <c r="AR73" s="7"/>
      <c r="AS73" s="7"/>
      <c r="AT73" s="7"/>
      <c r="AU73" s="7"/>
      <c r="AV73" s="7"/>
      <c r="AW73" s="7"/>
      <c r="AX73" s="7"/>
      <c r="AY73" s="7"/>
      <c r="AZ73" s="7"/>
    </row>
    <row r="74" spans="1:52" ht="63" customHeight="1">
      <c r="A74" s="20" t="s">
        <v>433</v>
      </c>
      <c r="B74" s="7">
        <v>1</v>
      </c>
      <c r="C74" s="7" t="s">
        <v>309</v>
      </c>
      <c r="D74" s="7" t="s">
        <v>95</v>
      </c>
      <c r="E74" s="7" t="s">
        <v>43</v>
      </c>
      <c r="F74" s="7" t="s">
        <v>434</v>
      </c>
      <c r="G74" s="7">
        <v>2007</v>
      </c>
      <c r="H74" s="7"/>
      <c r="I74" s="14" t="str">
        <f>HYPERLINK("mailto:Karen.Grayson@equalityhumanrights.com","Karen.Grayson@equalityhumanrights.com")</f>
        <v>Karen.Grayson@equalityhumanrights.com</v>
      </c>
      <c r="J74" s="14" t="s">
        <v>435</v>
      </c>
      <c r="K74" s="7" t="s">
        <v>436</v>
      </c>
      <c r="L74" s="7" t="s">
        <v>437</v>
      </c>
      <c r="M74" s="7" t="s">
        <v>42</v>
      </c>
      <c r="N74" s="15" t="s">
        <v>43</v>
      </c>
      <c r="O74" s="16">
        <v>500</v>
      </c>
      <c r="P74" s="15" t="s">
        <v>44</v>
      </c>
      <c r="Q74" s="17" t="s">
        <v>438</v>
      </c>
      <c r="R74" s="7" t="s">
        <v>37</v>
      </c>
      <c r="S74" s="7" t="s">
        <v>37</v>
      </c>
      <c r="T74" s="7" t="s">
        <v>43</v>
      </c>
      <c r="U74" s="7" t="s">
        <v>46</v>
      </c>
      <c r="V74" s="7">
        <v>2018</v>
      </c>
      <c r="W74" s="7">
        <v>182</v>
      </c>
      <c r="X74" s="18">
        <v>18300</v>
      </c>
      <c r="Y74" s="18">
        <v>0</v>
      </c>
      <c r="Z74" s="18">
        <v>18300</v>
      </c>
      <c r="AA74" s="18">
        <v>18300</v>
      </c>
      <c r="AB74" s="18">
        <v>520</v>
      </c>
      <c r="AC74" s="18">
        <v>0</v>
      </c>
      <c r="AD74" s="7" t="s">
        <v>439</v>
      </c>
      <c r="AE74" s="13" t="s">
        <v>56</v>
      </c>
      <c r="AG74" s="7"/>
      <c r="AH74" s="7"/>
      <c r="AI74" s="7"/>
      <c r="AJ74" s="7"/>
      <c r="AK74" s="7"/>
      <c r="AL74" s="7"/>
      <c r="AM74" s="7"/>
      <c r="AN74" s="7"/>
      <c r="AO74" s="7"/>
      <c r="AP74" s="7"/>
      <c r="AQ74" s="7"/>
      <c r="AR74" s="7"/>
      <c r="AS74" s="7"/>
      <c r="AT74" s="7"/>
      <c r="AU74" s="7"/>
      <c r="AV74" s="7"/>
      <c r="AW74" s="7"/>
      <c r="AX74" s="7"/>
      <c r="AY74" s="7"/>
      <c r="AZ74" s="7"/>
    </row>
    <row r="75" spans="1:52" ht="63" customHeight="1">
      <c r="A75" s="20" t="s">
        <v>440</v>
      </c>
      <c r="B75" s="7">
        <v>1</v>
      </c>
      <c r="C75" s="7" t="s">
        <v>89</v>
      </c>
      <c r="D75" s="7" t="s">
        <v>36</v>
      </c>
      <c r="E75" s="7" t="s">
        <v>37</v>
      </c>
      <c r="F75" s="7" t="s">
        <v>441</v>
      </c>
      <c r="G75" s="7">
        <v>2004</v>
      </c>
      <c r="H75" s="7"/>
      <c r="I75" s="14" t="str">
        <f>HYPERLINK("mailto:fjc@justice.gsi.gov.uk","fjc@justice.gsi.gov.uk")</f>
        <v>fjc@justice.gsi.gov.uk</v>
      </c>
      <c r="J75" s="14" t="str">
        <f>HYPERLINK("http://www.judiciary.gov.uk/about-the-judiciary/advisory-bodies/fjc","http://www.judiciary.gov.uk/about-the-judiciary/advisory-bodies/fjc")</f>
        <v>http://www.judiciary.gov.uk/about-the-judiciary/advisory-bodies/fjc</v>
      </c>
      <c r="K75" s="13" t="s">
        <v>442</v>
      </c>
      <c r="L75" s="7" t="s">
        <v>443</v>
      </c>
      <c r="M75" s="7" t="s">
        <v>71</v>
      </c>
      <c r="N75" s="15" t="s">
        <v>37</v>
      </c>
      <c r="O75" s="16"/>
      <c r="P75" s="15"/>
      <c r="Q75" s="17" t="s">
        <v>444</v>
      </c>
      <c r="R75" s="7" t="s">
        <v>43</v>
      </c>
      <c r="S75" s="7" t="s">
        <v>43</v>
      </c>
      <c r="T75" s="7" t="s">
        <v>43</v>
      </c>
      <c r="U75" s="7" t="s">
        <v>46</v>
      </c>
      <c r="V75" s="7">
        <v>2015</v>
      </c>
      <c r="W75" s="7">
        <v>3</v>
      </c>
      <c r="X75" s="18">
        <v>0</v>
      </c>
      <c r="Y75" s="18">
        <v>0</v>
      </c>
      <c r="Z75" s="18">
        <v>0</v>
      </c>
      <c r="AA75" s="18">
        <v>0</v>
      </c>
      <c r="AB75" s="18">
        <v>0</v>
      </c>
      <c r="AC75" s="18">
        <v>0</v>
      </c>
      <c r="AD75" s="7" t="s">
        <v>380</v>
      </c>
      <c r="AE75" s="7"/>
      <c r="AG75" s="7"/>
      <c r="AH75" s="7"/>
      <c r="AI75" s="7"/>
      <c r="AJ75" s="7"/>
      <c r="AK75" s="7"/>
      <c r="AL75" s="7"/>
      <c r="AM75" s="7"/>
      <c r="AN75" s="7"/>
      <c r="AO75" s="7"/>
      <c r="AP75" s="7"/>
      <c r="AQ75" s="7"/>
      <c r="AR75" s="7"/>
      <c r="AS75" s="7"/>
      <c r="AT75" s="7"/>
      <c r="AU75" s="7"/>
      <c r="AV75" s="7"/>
      <c r="AW75" s="7"/>
      <c r="AX75" s="7"/>
      <c r="AY75" s="7"/>
      <c r="AZ75" s="7"/>
    </row>
    <row r="76" spans="1:52" ht="63" customHeight="1">
      <c r="A76" s="20" t="s">
        <v>445</v>
      </c>
      <c r="B76" s="13">
        <v>1</v>
      </c>
      <c r="C76" s="7" t="s">
        <v>89</v>
      </c>
      <c r="D76" s="7" t="s">
        <v>36</v>
      </c>
      <c r="E76" s="7" t="s">
        <v>37</v>
      </c>
      <c r="F76" s="7" t="s">
        <v>446</v>
      </c>
      <c r="G76" s="7">
        <v>2004</v>
      </c>
      <c r="H76" s="7"/>
      <c r="I76" s="14" t="str">
        <f>HYPERLINK("mailto:simon.qasim@justice.gov.uk","simon.qasim@justice.gov.uk")</f>
        <v>simon.qasim@justice.gov.uk</v>
      </c>
      <c r="J76" s="14" t="str">
        <f>HYPERLINK("http://www.justice.gov.uk/about/moj/advisory-groups/family-procedure-rule-committee","http://www.justice.gov.uk/about/moj/advisory-groups/family-procedure-rule-committee")</f>
        <v>http://www.justice.gov.uk/about/moj/advisory-groups/family-procedure-rule-committee</v>
      </c>
      <c r="K76" s="7" t="s">
        <v>447</v>
      </c>
      <c r="L76" s="7" t="s">
        <v>448</v>
      </c>
      <c r="M76" s="7" t="s">
        <v>71</v>
      </c>
      <c r="N76" s="15" t="s">
        <v>37</v>
      </c>
      <c r="O76" s="16"/>
      <c r="P76" s="15"/>
      <c r="Q76" s="15" t="s">
        <v>449</v>
      </c>
      <c r="R76" s="7" t="s">
        <v>43</v>
      </c>
      <c r="S76" s="7" t="s">
        <v>43</v>
      </c>
      <c r="T76" s="7" t="s">
        <v>43</v>
      </c>
      <c r="U76" s="7"/>
      <c r="V76" s="7">
        <v>2015</v>
      </c>
      <c r="W76" s="7">
        <v>0</v>
      </c>
      <c r="X76" s="18">
        <v>0</v>
      </c>
      <c r="Y76" s="18">
        <v>0</v>
      </c>
      <c r="Z76" s="18">
        <v>0</v>
      </c>
      <c r="AA76" s="18">
        <v>0</v>
      </c>
      <c r="AB76" s="18">
        <v>0</v>
      </c>
      <c r="AC76" s="18">
        <v>0</v>
      </c>
      <c r="AD76" s="7"/>
      <c r="AE76" s="7"/>
      <c r="AF76" s="7"/>
      <c r="AG76" s="7"/>
      <c r="AH76" s="7"/>
      <c r="AI76" s="7"/>
      <c r="AJ76" s="7"/>
      <c r="AK76" s="7"/>
      <c r="AL76" s="7"/>
      <c r="AM76" s="7"/>
      <c r="AN76" s="7"/>
      <c r="AO76" s="7"/>
      <c r="AP76" s="7"/>
      <c r="AQ76" s="7"/>
      <c r="AR76" s="7"/>
      <c r="AS76" s="7"/>
      <c r="AT76" s="7"/>
      <c r="AU76" s="7"/>
      <c r="AV76" s="7"/>
      <c r="AW76" s="7"/>
      <c r="AX76" s="7"/>
      <c r="AY76" s="7"/>
      <c r="AZ76" s="7"/>
    </row>
    <row r="77" spans="1:52" ht="63" customHeight="1">
      <c r="A77" s="20" t="s">
        <v>450</v>
      </c>
      <c r="B77" s="7">
        <v>1</v>
      </c>
      <c r="C77" s="7" t="s">
        <v>170</v>
      </c>
      <c r="D77" s="7" t="s">
        <v>108</v>
      </c>
      <c r="E77" s="7"/>
      <c r="F77" s="7" t="s">
        <v>451</v>
      </c>
      <c r="G77" s="7">
        <v>2006</v>
      </c>
      <c r="H77" s="7" t="s">
        <v>452</v>
      </c>
      <c r="I77" s="14" t="str">
        <f>HYPERLINK("mailto:FCOServices.CEOOffice@fco.gov.uk","FCOServices.CEOOffice@fco.gov.uk")</f>
        <v>FCOServices.CEOOffice@fco.gov.uk</v>
      </c>
      <c r="J77" s="14" t="str">
        <f>HYPERLINK("https://www.fcoservices.gov.uk/","www.fcoservices.gov.uk")</f>
        <v>www.fcoservices.gov.uk</v>
      </c>
      <c r="K77" s="7" t="s">
        <v>453</v>
      </c>
      <c r="L77" s="7" t="s">
        <v>454</v>
      </c>
      <c r="M77" s="13" t="s">
        <v>71</v>
      </c>
      <c r="N77" s="15" t="s">
        <v>43</v>
      </c>
      <c r="O77" s="16" t="s">
        <v>455</v>
      </c>
      <c r="P77" s="15" t="s">
        <v>52</v>
      </c>
      <c r="Q77" s="15" t="s">
        <v>456</v>
      </c>
      <c r="R77" s="7" t="s">
        <v>37</v>
      </c>
      <c r="S77" s="7" t="s">
        <v>37</v>
      </c>
      <c r="T77" s="7" t="s">
        <v>43</v>
      </c>
      <c r="U77" s="7" t="s">
        <v>46</v>
      </c>
      <c r="V77" s="7"/>
      <c r="W77" s="26">
        <v>1115</v>
      </c>
      <c r="X77" s="18">
        <v>0</v>
      </c>
      <c r="Y77" s="18">
        <v>181371</v>
      </c>
      <c r="Z77" s="18">
        <f>IF(SUM(Y77)&lt;&gt;0,SUM(Y77),"")</f>
        <v>181371</v>
      </c>
      <c r="AA77" s="18">
        <v>167738</v>
      </c>
      <c r="AB77" s="18">
        <v>2626</v>
      </c>
      <c r="AC77" s="18">
        <v>0</v>
      </c>
      <c r="AD77" s="7" t="s">
        <v>457</v>
      </c>
      <c r="AE77" s="7"/>
      <c r="AF77" s="7"/>
      <c r="AG77" s="7"/>
      <c r="AH77" s="7"/>
      <c r="AI77" s="7"/>
      <c r="AJ77" s="7"/>
      <c r="AK77" s="7"/>
      <c r="AL77" s="7"/>
      <c r="AM77" s="7"/>
      <c r="AN77" s="7"/>
      <c r="AO77" s="7"/>
      <c r="AP77" s="7"/>
      <c r="AQ77" s="7"/>
      <c r="AR77" s="7"/>
      <c r="AS77" s="7"/>
      <c r="AT77" s="7"/>
      <c r="AU77" s="7"/>
      <c r="AV77" s="7"/>
      <c r="AW77" s="7"/>
      <c r="AX77" s="7"/>
      <c r="AY77" s="7"/>
      <c r="AZ77" s="7"/>
    </row>
    <row r="78" spans="1:52" ht="63" customHeight="1">
      <c r="A78" s="12" t="s">
        <v>458</v>
      </c>
      <c r="B78" s="7">
        <v>1</v>
      </c>
      <c r="C78" s="7" t="s">
        <v>334</v>
      </c>
      <c r="D78" s="7" t="s">
        <v>95</v>
      </c>
      <c r="E78" s="7" t="s">
        <v>37</v>
      </c>
      <c r="F78" s="7" t="s">
        <v>459</v>
      </c>
      <c r="G78" s="7">
        <v>2009</v>
      </c>
      <c r="H78" s="7"/>
      <c r="I78" s="6"/>
      <c r="J78" s="7"/>
      <c r="K78" s="7" t="s">
        <v>460</v>
      </c>
      <c r="L78" s="27"/>
      <c r="M78" s="13"/>
      <c r="N78" s="15"/>
      <c r="O78" s="16"/>
      <c r="P78" s="15"/>
      <c r="Q78" s="7"/>
      <c r="R78" s="7"/>
      <c r="S78" s="7"/>
      <c r="T78" s="7"/>
      <c r="U78" s="7"/>
      <c r="V78" s="7"/>
      <c r="W78" s="7">
        <v>0</v>
      </c>
      <c r="X78" s="18">
        <v>0</v>
      </c>
      <c r="Y78" s="18">
        <v>0</v>
      </c>
      <c r="Z78" s="18">
        <v>0</v>
      </c>
      <c r="AA78" s="18">
        <v>0</v>
      </c>
      <c r="AB78" s="18">
        <v>0</v>
      </c>
      <c r="AC78" s="18">
        <v>0</v>
      </c>
      <c r="AD78" s="7"/>
      <c r="AE78" s="13" t="s">
        <v>56</v>
      </c>
      <c r="AF78" s="7"/>
      <c r="AG78" s="7"/>
      <c r="AH78" s="7"/>
      <c r="AI78" s="7"/>
      <c r="AJ78" s="7"/>
      <c r="AK78" s="7"/>
      <c r="AL78" s="7"/>
      <c r="AM78" s="7"/>
      <c r="AN78" s="7"/>
      <c r="AO78" s="7"/>
      <c r="AP78" s="7"/>
      <c r="AQ78" s="7"/>
      <c r="AR78" s="7"/>
      <c r="AS78" s="7"/>
      <c r="AT78" s="7"/>
      <c r="AU78" s="7"/>
      <c r="AV78" s="7"/>
      <c r="AW78" s="7"/>
      <c r="AX78" s="7"/>
      <c r="AY78" s="7"/>
      <c r="AZ78" s="7"/>
    </row>
    <row r="79" spans="1:52" ht="63" customHeight="1">
      <c r="A79" s="20" t="s">
        <v>35</v>
      </c>
      <c r="B79" s="7">
        <v>1</v>
      </c>
      <c r="C79" s="7" t="s">
        <v>58</v>
      </c>
      <c r="D79" s="7" t="s">
        <v>233</v>
      </c>
      <c r="E79" s="7" t="s">
        <v>43</v>
      </c>
      <c r="F79" s="7" t="s">
        <v>461</v>
      </c>
      <c r="G79" s="7">
        <v>1999</v>
      </c>
      <c r="H79" s="7"/>
      <c r="I79" s="14" t="str">
        <f>HYPERLINK("mailto:board.sec@food.gov.uk","board.sec@food.gov.uk")</f>
        <v>board.sec@food.gov.uk</v>
      </c>
      <c r="J79" s="14" t="str">
        <f>HYPERLINK("https://food.gov.uk/about-us/our-board","https://food.gov.uk/about-us/our-board")</f>
        <v>https://food.gov.uk/about-us/our-board</v>
      </c>
      <c r="K79" s="7" t="s">
        <v>462</v>
      </c>
      <c r="L79" s="7" t="s">
        <v>463</v>
      </c>
      <c r="M79" s="7" t="s">
        <v>42</v>
      </c>
      <c r="N79" s="15" t="s">
        <v>43</v>
      </c>
      <c r="O79" s="16">
        <v>70000</v>
      </c>
      <c r="P79" s="15" t="s">
        <v>52</v>
      </c>
      <c r="Q79" s="15" t="s">
        <v>464</v>
      </c>
      <c r="R79" s="7" t="s">
        <v>43</v>
      </c>
      <c r="S79" s="7" t="s">
        <v>43</v>
      </c>
      <c r="T79" s="7" t="s">
        <v>43</v>
      </c>
      <c r="U79" s="7" t="s">
        <v>465</v>
      </c>
      <c r="V79" s="7">
        <v>2019</v>
      </c>
      <c r="W79" s="26">
        <v>1011</v>
      </c>
      <c r="X79" s="18">
        <v>87071</v>
      </c>
      <c r="Y79" s="18">
        <v>28936</v>
      </c>
      <c r="Z79" s="18">
        <v>116007</v>
      </c>
      <c r="AA79" s="18">
        <v>109437</v>
      </c>
      <c r="AB79" s="18">
        <v>6545</v>
      </c>
      <c r="AC79" s="18">
        <v>0</v>
      </c>
      <c r="AD79" s="7"/>
      <c r="AE79" s="7"/>
      <c r="AF79" s="7"/>
      <c r="AG79" s="7"/>
      <c r="AH79" s="7"/>
      <c r="AI79" s="7"/>
      <c r="AJ79" s="7"/>
      <c r="AK79" s="7"/>
      <c r="AL79" s="7"/>
      <c r="AM79" s="7"/>
      <c r="AN79" s="7"/>
      <c r="AO79" s="7"/>
      <c r="AP79" s="7"/>
      <c r="AQ79" s="7"/>
      <c r="AR79" s="7"/>
      <c r="AS79" s="7"/>
      <c r="AT79" s="7"/>
      <c r="AU79" s="7"/>
      <c r="AV79" s="7"/>
      <c r="AW79" s="7"/>
      <c r="AX79" s="7"/>
      <c r="AY79" s="7"/>
      <c r="AZ79" s="7"/>
    </row>
    <row r="80" spans="1:52" ht="63" customHeight="1">
      <c r="A80" s="41" t="s">
        <v>466</v>
      </c>
      <c r="B80" s="42">
        <v>1</v>
      </c>
      <c r="C80" s="42" t="s">
        <v>467</v>
      </c>
      <c r="D80" s="42" t="s">
        <v>108</v>
      </c>
      <c r="E80" s="7"/>
      <c r="F80" s="7"/>
      <c r="G80" s="7"/>
      <c r="H80" s="7"/>
      <c r="I80" s="7"/>
      <c r="J80" s="7"/>
      <c r="K80" s="7"/>
      <c r="L80" s="13"/>
      <c r="M80" s="13"/>
      <c r="N80" s="17"/>
      <c r="O80" s="16"/>
      <c r="P80" s="15"/>
      <c r="Q80" s="15"/>
      <c r="R80" s="7"/>
      <c r="S80" s="7"/>
      <c r="T80" s="7"/>
      <c r="U80" s="7"/>
      <c r="V80" s="7"/>
      <c r="W80" s="13"/>
      <c r="X80" s="18"/>
      <c r="Y80" s="18"/>
      <c r="Z80" s="18"/>
      <c r="AA80" s="18"/>
      <c r="AB80" s="18"/>
      <c r="AC80" s="18"/>
      <c r="AD80" s="7"/>
      <c r="AE80" s="7"/>
      <c r="AF80" s="7"/>
      <c r="AG80" s="7"/>
      <c r="AH80" s="7"/>
      <c r="AI80" s="7"/>
      <c r="AJ80" s="7"/>
      <c r="AK80" s="7"/>
      <c r="AL80" s="7"/>
      <c r="AM80" s="7"/>
      <c r="AN80" s="7"/>
      <c r="AO80" s="7"/>
      <c r="AP80" s="7"/>
      <c r="AQ80" s="7"/>
      <c r="AR80" s="7"/>
      <c r="AS80" s="7"/>
      <c r="AT80" s="7"/>
      <c r="AU80" s="7"/>
      <c r="AV80" s="7"/>
      <c r="AW80" s="7"/>
      <c r="AX80" s="7"/>
      <c r="AY80" s="7"/>
      <c r="AZ80" s="7"/>
    </row>
    <row r="81" spans="1:52" ht="63" customHeight="1">
      <c r="A81" s="20" t="s">
        <v>468</v>
      </c>
      <c r="B81" s="7">
        <v>1</v>
      </c>
      <c r="C81" s="13" t="s">
        <v>467</v>
      </c>
      <c r="D81" s="7" t="s">
        <v>108</v>
      </c>
      <c r="E81" s="7" t="s">
        <v>37</v>
      </c>
      <c r="F81" s="7" t="s">
        <v>469</v>
      </c>
      <c r="G81" s="7">
        <v>1997</v>
      </c>
      <c r="H81" s="7"/>
      <c r="I81" s="14" t="str">
        <f>HYPERLINK("mailto:James.Pendlebury@forestresearch.gov.uk","James.Pendlebury@forestresearch.gov.uk")</f>
        <v>James.Pendlebury@forestresearch.gov.uk</v>
      </c>
      <c r="J81" s="14" t="str">
        <f>HYPERLINK("https://www.forestresearch.gov.uk/","forestresearch.gov.uk")</f>
        <v>forestresearch.gov.uk</v>
      </c>
      <c r="K81" s="7" t="s">
        <v>470</v>
      </c>
      <c r="L81" s="13" t="s">
        <v>46</v>
      </c>
      <c r="M81" s="13" t="s">
        <v>46</v>
      </c>
      <c r="N81" s="17" t="s">
        <v>46</v>
      </c>
      <c r="O81" s="16"/>
      <c r="P81" s="15"/>
      <c r="Q81" s="15"/>
      <c r="R81" s="7" t="s">
        <v>37</v>
      </c>
      <c r="S81" s="7" t="s">
        <v>43</v>
      </c>
      <c r="T81" s="7" t="s">
        <v>43</v>
      </c>
      <c r="U81" s="7" t="s">
        <v>54</v>
      </c>
      <c r="V81" s="7"/>
      <c r="W81" s="13">
        <v>238</v>
      </c>
      <c r="X81" s="18">
        <v>9065</v>
      </c>
      <c r="Y81" s="18">
        <v>10406</v>
      </c>
      <c r="Z81" s="18">
        <v>19471</v>
      </c>
      <c r="AA81" s="18">
        <v>19444</v>
      </c>
      <c r="AB81" s="18">
        <v>1827</v>
      </c>
      <c r="AC81" s="18">
        <v>0</v>
      </c>
      <c r="AD81" s="7"/>
      <c r="AE81" s="7"/>
      <c r="AF81" s="7"/>
      <c r="AG81" s="7"/>
      <c r="AH81" s="7"/>
      <c r="AI81" s="7"/>
      <c r="AJ81" s="7"/>
      <c r="AK81" s="7"/>
      <c r="AL81" s="7"/>
      <c r="AM81" s="7"/>
      <c r="AN81" s="7"/>
      <c r="AO81" s="7"/>
      <c r="AP81" s="7"/>
      <c r="AQ81" s="7"/>
      <c r="AR81" s="7"/>
      <c r="AS81" s="7"/>
      <c r="AT81" s="7"/>
      <c r="AU81" s="7"/>
      <c r="AV81" s="7"/>
      <c r="AW81" s="7"/>
      <c r="AX81" s="7"/>
      <c r="AY81" s="7"/>
      <c r="AZ81" s="7"/>
    </row>
    <row r="82" spans="1:52" ht="63" customHeight="1">
      <c r="A82" s="20" t="s">
        <v>467</v>
      </c>
      <c r="B82" s="13">
        <v>1</v>
      </c>
      <c r="C82" s="7" t="s">
        <v>79</v>
      </c>
      <c r="D82" s="7" t="s">
        <v>233</v>
      </c>
      <c r="E82" s="7" t="s">
        <v>43</v>
      </c>
      <c r="F82" s="7" t="s">
        <v>471</v>
      </c>
      <c r="G82" s="7">
        <v>1919</v>
      </c>
      <c r="H82" s="13"/>
      <c r="I82" s="14" t="str">
        <f>HYPERLINK("mailto:commissioners@forestrycommission.gov.uk","commissioners@forestrycommission.gov.uk")</f>
        <v>commissioners@forestrycommission.gov.uk</v>
      </c>
      <c r="J82" s="14" t="str">
        <f>HYPERLINK("https://www.gov.uk/government/organisations/forestry-commission","https://www.gov.uk/government/organisations/forestry-commission")</f>
        <v>https://www.gov.uk/government/organisations/forestry-commission</v>
      </c>
      <c r="K82" s="7"/>
      <c r="L82" s="7" t="s">
        <v>472</v>
      </c>
      <c r="M82" s="7" t="s">
        <v>42</v>
      </c>
      <c r="N82" s="15" t="s">
        <v>43</v>
      </c>
      <c r="O82" s="16">
        <v>40021.919999999998</v>
      </c>
      <c r="P82" s="15" t="s">
        <v>52</v>
      </c>
      <c r="Q82" s="15"/>
      <c r="R82" s="7" t="s">
        <v>37</v>
      </c>
      <c r="S82" s="7" t="s">
        <v>43</v>
      </c>
      <c r="T82" s="7" t="s">
        <v>43</v>
      </c>
      <c r="U82" s="7" t="s">
        <v>54</v>
      </c>
      <c r="V82" s="7"/>
      <c r="W82" s="13">
        <v>202</v>
      </c>
      <c r="X82" s="18">
        <v>49807</v>
      </c>
      <c r="Y82" s="18">
        <v>19835</v>
      </c>
      <c r="Z82" s="18">
        <v>69642</v>
      </c>
      <c r="AA82" s="18">
        <v>61418</v>
      </c>
      <c r="AB82" s="18">
        <v>6185</v>
      </c>
      <c r="AC82" s="18">
        <v>38</v>
      </c>
      <c r="AD82" s="7"/>
      <c r="AE82" s="7"/>
      <c r="AF82" s="7"/>
      <c r="AG82" s="7"/>
      <c r="AH82" s="7"/>
      <c r="AI82" s="7"/>
      <c r="AJ82" s="7"/>
      <c r="AK82" s="7"/>
      <c r="AL82" s="7"/>
      <c r="AM82" s="7"/>
      <c r="AN82" s="7"/>
      <c r="AO82" s="7"/>
      <c r="AP82" s="7"/>
      <c r="AQ82" s="7"/>
      <c r="AR82" s="7"/>
      <c r="AS82" s="7"/>
      <c r="AT82" s="7"/>
      <c r="AU82" s="7"/>
      <c r="AV82" s="7"/>
      <c r="AW82" s="7"/>
      <c r="AX82" s="7"/>
      <c r="AY82" s="7"/>
      <c r="AZ82" s="7"/>
    </row>
    <row r="83" spans="1:52" ht="63" customHeight="1">
      <c r="A83" s="20" t="s">
        <v>473</v>
      </c>
      <c r="B83" s="7">
        <v>1</v>
      </c>
      <c r="C83" s="7" t="s">
        <v>122</v>
      </c>
      <c r="D83" s="7" t="s">
        <v>95</v>
      </c>
      <c r="E83" s="7" t="s">
        <v>43</v>
      </c>
      <c r="F83" s="7" t="s">
        <v>474</v>
      </c>
      <c r="G83" s="7">
        <v>2005</v>
      </c>
      <c r="H83" s="7"/>
      <c r="I83" s="14" t="str">
        <f>HYPERLINK("mailto:info@gamblingcommission.gov.uk","info@gamblingcommission.gov.uk")</f>
        <v>info@gamblingcommission.gov.uk</v>
      </c>
      <c r="J83" s="14" t="s">
        <v>475</v>
      </c>
      <c r="K83" s="13" t="s">
        <v>476</v>
      </c>
      <c r="L83" s="7" t="s">
        <v>477</v>
      </c>
      <c r="M83" s="13" t="s">
        <v>42</v>
      </c>
      <c r="N83" s="15" t="s">
        <v>43</v>
      </c>
      <c r="O83" s="16"/>
      <c r="P83" s="15"/>
      <c r="Q83" s="7" t="s">
        <v>313</v>
      </c>
      <c r="R83" s="7" t="s">
        <v>37</v>
      </c>
      <c r="S83" s="7" t="s">
        <v>43</v>
      </c>
      <c r="T83" s="7" t="s">
        <v>43</v>
      </c>
      <c r="U83" s="7" t="s">
        <v>54</v>
      </c>
      <c r="V83" s="7"/>
      <c r="W83" s="7">
        <v>362</v>
      </c>
      <c r="X83" s="18">
        <v>6721</v>
      </c>
      <c r="Y83" s="18">
        <v>18987</v>
      </c>
      <c r="Z83" s="18">
        <f>(X83+Y83)</f>
        <v>25708</v>
      </c>
      <c r="AA83" s="18">
        <v>8696</v>
      </c>
      <c r="AB83" s="18">
        <v>500</v>
      </c>
      <c r="AC83" s="18">
        <v>0</v>
      </c>
      <c r="AD83" s="7"/>
      <c r="AE83" s="7"/>
      <c r="AF83" s="7"/>
      <c r="AG83" s="7"/>
      <c r="AH83" s="7"/>
      <c r="AI83" s="7"/>
      <c r="AJ83" s="7"/>
      <c r="AK83" s="7"/>
      <c r="AL83" s="7"/>
      <c r="AM83" s="7"/>
      <c r="AN83" s="7"/>
      <c r="AO83" s="7"/>
      <c r="AP83" s="7"/>
      <c r="AQ83" s="7"/>
      <c r="AR83" s="7"/>
      <c r="AS83" s="7"/>
      <c r="AT83" s="7"/>
      <c r="AU83" s="7"/>
      <c r="AV83" s="7"/>
      <c r="AW83" s="7"/>
      <c r="AX83" s="7"/>
      <c r="AY83" s="7"/>
      <c r="AZ83" s="7"/>
    </row>
    <row r="84" spans="1:52" ht="63" customHeight="1">
      <c r="A84" s="20" t="s">
        <v>478</v>
      </c>
      <c r="B84" s="7">
        <v>1</v>
      </c>
      <c r="C84" s="7" t="s">
        <v>133</v>
      </c>
      <c r="D84" s="7" t="s">
        <v>95</v>
      </c>
      <c r="E84" s="7" t="s">
        <v>43</v>
      </c>
      <c r="F84" s="7" t="s">
        <v>479</v>
      </c>
      <c r="G84" s="7">
        <v>2005</v>
      </c>
      <c r="H84" s="7"/>
      <c r="I84" s="14" t="str">
        <f>HYPERLINK("mailto:enquiries@gla.gov.uk","enquiries@gla.gov.uk")</f>
        <v>enquiries@gla.gov.uk</v>
      </c>
      <c r="J84" s="14" t="str">
        <f>HYPERLINK("http://www.gla.gov.uk","http://www.gla.gov.uk")</f>
        <v>http://www.gla.gov.uk</v>
      </c>
      <c r="K84" s="13" t="s">
        <v>480</v>
      </c>
      <c r="L84" s="7" t="s">
        <v>481</v>
      </c>
      <c r="M84" s="7" t="s">
        <v>42</v>
      </c>
      <c r="N84" s="15" t="s">
        <v>43</v>
      </c>
      <c r="O84" s="16">
        <v>330</v>
      </c>
      <c r="P84" s="15" t="s">
        <v>44</v>
      </c>
      <c r="Q84" s="15" t="s">
        <v>482</v>
      </c>
      <c r="R84" s="7" t="s">
        <v>43</v>
      </c>
      <c r="S84" s="7" t="s">
        <v>43</v>
      </c>
      <c r="T84" s="7" t="s">
        <v>43</v>
      </c>
      <c r="U84" s="7" t="s">
        <v>54</v>
      </c>
      <c r="V84" s="7">
        <v>2014</v>
      </c>
      <c r="W84" s="7">
        <v>122</v>
      </c>
      <c r="X84" s="18">
        <v>5824</v>
      </c>
      <c r="Y84" s="18">
        <v>1214</v>
      </c>
      <c r="Z84" s="18">
        <v>7038</v>
      </c>
      <c r="AA84" s="18">
        <v>7227</v>
      </c>
      <c r="AB84" s="18">
        <v>0</v>
      </c>
      <c r="AC84" s="18">
        <v>0</v>
      </c>
      <c r="AD84" s="7" t="s">
        <v>483</v>
      </c>
      <c r="AE84" s="7"/>
      <c r="AF84" s="7"/>
      <c r="AG84" s="7"/>
      <c r="AH84" s="7"/>
      <c r="AI84" s="7"/>
      <c r="AJ84" s="7"/>
      <c r="AK84" s="7"/>
      <c r="AL84" s="7"/>
      <c r="AM84" s="7"/>
      <c r="AN84" s="7"/>
      <c r="AO84" s="7"/>
      <c r="AP84" s="7"/>
      <c r="AQ84" s="7"/>
      <c r="AR84" s="7"/>
      <c r="AS84" s="7"/>
      <c r="AT84" s="7"/>
      <c r="AU84" s="7"/>
      <c r="AV84" s="7"/>
      <c r="AW84" s="7"/>
      <c r="AX84" s="7"/>
      <c r="AY84" s="7"/>
      <c r="AZ84" s="7"/>
    </row>
    <row r="85" spans="1:52" ht="63" customHeight="1">
      <c r="A85" s="20" t="s">
        <v>484</v>
      </c>
      <c r="B85" s="7">
        <v>1</v>
      </c>
      <c r="C85" s="7" t="s">
        <v>122</v>
      </c>
      <c r="D85" s="7" t="s">
        <v>95</v>
      </c>
      <c r="E85" s="7" t="s">
        <v>37</v>
      </c>
      <c r="F85" s="7" t="s">
        <v>485</v>
      </c>
      <c r="G85" s="7">
        <v>1914</v>
      </c>
      <c r="H85" s="7"/>
      <c r="I85" s="14" t="str">
        <f>HYPERLINK("mailto:info@geffrye-museum.org.uk","info@geffrye-museum.org.uk")</f>
        <v>info@geffrye-museum.org.uk</v>
      </c>
      <c r="J85" s="14" t="s">
        <v>486</v>
      </c>
      <c r="K85" s="7" t="s">
        <v>197</v>
      </c>
      <c r="L85" s="13" t="s">
        <v>487</v>
      </c>
      <c r="M85" s="13" t="s">
        <v>42</v>
      </c>
      <c r="N85" s="15" t="s">
        <v>37</v>
      </c>
      <c r="O85" s="16"/>
      <c r="P85" s="15"/>
      <c r="Q85" s="7" t="s">
        <v>313</v>
      </c>
      <c r="R85" s="7" t="s">
        <v>37</v>
      </c>
      <c r="S85" s="7" t="s">
        <v>37</v>
      </c>
      <c r="T85" s="7" t="s">
        <v>43</v>
      </c>
      <c r="U85" s="7" t="s">
        <v>46</v>
      </c>
      <c r="V85" s="7">
        <v>2018</v>
      </c>
      <c r="W85" s="7">
        <v>31</v>
      </c>
      <c r="X85" s="18">
        <v>2096</v>
      </c>
      <c r="Y85" s="18">
        <v>3321</v>
      </c>
      <c r="Z85" s="18">
        <f>(X85+Y85)</f>
        <v>5417</v>
      </c>
      <c r="AA85" s="18">
        <v>1535</v>
      </c>
      <c r="AB85" s="18">
        <v>827</v>
      </c>
      <c r="AC85" s="18">
        <v>70</v>
      </c>
      <c r="AD85" s="7"/>
      <c r="AE85" s="7"/>
      <c r="AF85" s="7"/>
      <c r="AG85" s="7"/>
      <c r="AH85" s="7"/>
      <c r="AI85" s="7"/>
      <c r="AJ85" s="7"/>
      <c r="AK85" s="7"/>
      <c r="AL85" s="7"/>
      <c r="AM85" s="7"/>
      <c r="AN85" s="7"/>
      <c r="AO85" s="7"/>
      <c r="AP85" s="7"/>
      <c r="AQ85" s="7"/>
      <c r="AR85" s="7"/>
      <c r="AS85" s="7"/>
      <c r="AT85" s="7"/>
      <c r="AU85" s="7"/>
      <c r="AV85" s="7"/>
      <c r="AW85" s="7"/>
      <c r="AX85" s="7"/>
      <c r="AY85" s="7"/>
      <c r="AZ85" s="7"/>
    </row>
    <row r="86" spans="1:52" ht="63" customHeight="1">
      <c r="A86" s="20" t="s">
        <v>488</v>
      </c>
      <c r="B86" s="7">
        <v>1</v>
      </c>
      <c r="C86" s="7" t="s">
        <v>275</v>
      </c>
      <c r="D86" s="7" t="s">
        <v>233</v>
      </c>
      <c r="E86" s="7" t="s">
        <v>37</v>
      </c>
      <c r="F86" s="7" t="s">
        <v>489</v>
      </c>
      <c r="G86" s="7">
        <v>1919</v>
      </c>
      <c r="H86" s="7"/>
      <c r="I86" s="14" t="str">
        <f>HYPERLINK("mailto:enquiries@gad.gov.uk","enquiries@gad.gov.uk")</f>
        <v>enquiries@gad.gov.uk</v>
      </c>
      <c r="J86" s="14" t="str">
        <f>HYPERLINK("https://www.gov.uk/government/organisations/government-actuarys-department","www.gov.uk/gad")</f>
        <v>www.gov.uk/gad</v>
      </c>
      <c r="K86" s="13" t="s">
        <v>490</v>
      </c>
      <c r="L86" s="7" t="s">
        <v>491</v>
      </c>
      <c r="M86" s="7" t="s">
        <v>492</v>
      </c>
      <c r="N86" s="7" t="s">
        <v>43</v>
      </c>
      <c r="O86" s="16" t="s">
        <v>493</v>
      </c>
      <c r="P86" s="15" t="s">
        <v>52</v>
      </c>
      <c r="Q86" s="15"/>
      <c r="R86" s="7" t="s">
        <v>37</v>
      </c>
      <c r="S86" s="7" t="s">
        <v>37</v>
      </c>
      <c r="T86" s="7" t="s">
        <v>43</v>
      </c>
      <c r="U86" s="7" t="s">
        <v>54</v>
      </c>
      <c r="V86" s="7">
        <v>2018</v>
      </c>
      <c r="W86" s="7">
        <v>186</v>
      </c>
      <c r="X86" s="18">
        <v>0</v>
      </c>
      <c r="Y86" s="18">
        <v>20586</v>
      </c>
      <c r="Z86" s="18">
        <f>IF(SUM(Y86)&lt;&gt;0,SUM(Y86),"")</f>
        <v>20586</v>
      </c>
      <c r="AA86" s="18">
        <v>18974</v>
      </c>
      <c r="AB86" s="18">
        <v>226</v>
      </c>
      <c r="AC86" s="18">
        <v>-17</v>
      </c>
      <c r="AD86" s="7"/>
      <c r="AE86" s="7"/>
      <c r="AF86" s="7"/>
      <c r="AG86" s="7"/>
      <c r="AH86" s="7"/>
      <c r="AI86" s="7"/>
      <c r="AJ86" s="7"/>
      <c r="AK86" s="7"/>
      <c r="AL86" s="7"/>
      <c r="AM86" s="7"/>
      <c r="AN86" s="7"/>
      <c r="AO86" s="7"/>
      <c r="AP86" s="7"/>
      <c r="AQ86" s="7"/>
      <c r="AR86" s="7"/>
      <c r="AS86" s="7"/>
      <c r="AT86" s="7"/>
      <c r="AU86" s="7"/>
      <c r="AV86" s="7"/>
      <c r="AW86" s="7"/>
      <c r="AX86" s="7"/>
      <c r="AY86" s="7"/>
      <c r="AZ86" s="7"/>
    </row>
    <row r="87" spans="1:52" ht="63" customHeight="1">
      <c r="A87" s="20" t="s">
        <v>494</v>
      </c>
      <c r="B87" s="7">
        <v>1</v>
      </c>
      <c r="C87" s="7" t="s">
        <v>275</v>
      </c>
      <c r="D87" s="7" t="s">
        <v>108</v>
      </c>
      <c r="E87" s="7" t="s">
        <v>37</v>
      </c>
      <c r="F87" s="7" t="s">
        <v>495</v>
      </c>
      <c r="G87" s="7">
        <v>2015</v>
      </c>
      <c r="H87" s="7"/>
      <c r="I87" s="43" t="str">
        <f>HYPERLINK("mailto:correspondence@giaa.gsi.gov.uk","correspondence@giaa.gsi.gov.uk")</f>
        <v>correspondence@giaa.gsi.gov.uk</v>
      </c>
      <c r="J87" s="43" t="s">
        <v>496</v>
      </c>
      <c r="K87" s="15" t="s">
        <v>497</v>
      </c>
      <c r="L87" s="15" t="s">
        <v>498</v>
      </c>
      <c r="M87" s="7" t="s">
        <v>499</v>
      </c>
      <c r="N87" s="15" t="s">
        <v>56</v>
      </c>
      <c r="O87" s="16">
        <v>22500</v>
      </c>
      <c r="P87" s="15" t="s">
        <v>52</v>
      </c>
      <c r="Q87" s="17" t="s">
        <v>379</v>
      </c>
      <c r="R87" s="7" t="s">
        <v>63</v>
      </c>
      <c r="S87" s="7" t="s">
        <v>63</v>
      </c>
      <c r="T87" s="7" t="s">
        <v>56</v>
      </c>
      <c r="U87" s="7" t="s">
        <v>54</v>
      </c>
      <c r="V87" s="7">
        <v>2019</v>
      </c>
      <c r="W87" s="7">
        <v>422</v>
      </c>
      <c r="X87" s="18">
        <v>3059</v>
      </c>
      <c r="Y87" s="18">
        <v>36292</v>
      </c>
      <c r="Z87" s="18">
        <v>39351</v>
      </c>
      <c r="AA87" s="18">
        <v>39041</v>
      </c>
      <c r="AB87" s="18">
        <v>0</v>
      </c>
      <c r="AC87" s="18">
        <v>0</v>
      </c>
      <c r="AD87" s="7"/>
      <c r="AE87" s="7"/>
      <c r="AF87" s="7"/>
      <c r="AG87" s="7"/>
      <c r="AH87" s="7"/>
      <c r="AI87" s="7"/>
      <c r="AJ87" s="7"/>
      <c r="AK87" s="7"/>
      <c r="AL87" s="7"/>
      <c r="AM87" s="7"/>
      <c r="AN87" s="7"/>
      <c r="AO87" s="7"/>
      <c r="AP87" s="7"/>
      <c r="AQ87" s="7"/>
      <c r="AR87" s="7"/>
      <c r="AS87" s="7"/>
      <c r="AT87" s="7"/>
      <c r="AU87" s="7"/>
      <c r="AV87" s="7"/>
      <c r="AW87" s="7"/>
      <c r="AX87" s="7"/>
      <c r="AY87" s="7"/>
      <c r="AZ87" s="7"/>
    </row>
    <row r="88" spans="1:52" ht="63" customHeight="1">
      <c r="A88" s="20" t="s">
        <v>500</v>
      </c>
      <c r="B88" s="7">
        <v>1</v>
      </c>
      <c r="C88" s="7" t="s">
        <v>501</v>
      </c>
      <c r="D88" s="7" t="s">
        <v>233</v>
      </c>
      <c r="E88" s="7" t="s">
        <v>37</v>
      </c>
      <c r="F88" s="7" t="s">
        <v>502</v>
      </c>
      <c r="G88" s="7">
        <v>1996</v>
      </c>
      <c r="H88" s="7" t="s">
        <v>503</v>
      </c>
      <c r="I88" s="14" t="str">
        <f>HYPERLINK("mailto:thetreasurysolicitor@governmentlegal.gov.uk","thetreasurysolicitor@governmentlegal.gov.uk")</f>
        <v>thetreasurysolicitor@governmentlegal.gov.uk</v>
      </c>
      <c r="J88" s="14" t="str">
        <f>HYPERLINK("https://www.gov.uk/government/organisations/government-legal-department","https://www.gov.uk/government/organisations/government-legal-department")</f>
        <v>https://www.gov.uk/government/organisations/government-legal-department</v>
      </c>
      <c r="K88" s="13" t="s">
        <v>504</v>
      </c>
      <c r="L88" s="13" t="s">
        <v>504</v>
      </c>
      <c r="M88" s="7" t="s">
        <v>71</v>
      </c>
      <c r="N88" s="15" t="s">
        <v>43</v>
      </c>
      <c r="O88" s="16" t="s">
        <v>505</v>
      </c>
      <c r="P88" s="15"/>
      <c r="Q88" s="15"/>
      <c r="R88" s="7" t="s">
        <v>37</v>
      </c>
      <c r="S88" s="7" t="s">
        <v>37</v>
      </c>
      <c r="T88" s="7" t="s">
        <v>43</v>
      </c>
      <c r="U88" s="7" t="s">
        <v>54</v>
      </c>
      <c r="V88" s="7">
        <v>2001</v>
      </c>
      <c r="W88" s="26">
        <v>2504</v>
      </c>
      <c r="X88" s="18">
        <v>-5592</v>
      </c>
      <c r="Y88" s="18">
        <v>237462</v>
      </c>
      <c r="Z88" s="18">
        <v>231870</v>
      </c>
      <c r="AA88" s="18">
        <v>-5592</v>
      </c>
      <c r="AB88" s="18">
        <v>5126</v>
      </c>
      <c r="AC88" s="18">
        <v>0</v>
      </c>
      <c r="AD88" s="7"/>
      <c r="AE88" s="7"/>
      <c r="AF88" s="7"/>
      <c r="AG88" s="7"/>
      <c r="AH88" s="7"/>
      <c r="AI88" s="7"/>
      <c r="AJ88" s="7"/>
      <c r="AK88" s="7"/>
      <c r="AL88" s="7"/>
      <c r="AM88" s="7"/>
      <c r="AN88" s="7"/>
      <c r="AO88" s="7"/>
      <c r="AP88" s="7"/>
      <c r="AQ88" s="7"/>
      <c r="AR88" s="7"/>
      <c r="AS88" s="7"/>
      <c r="AT88" s="7"/>
      <c r="AU88" s="7"/>
      <c r="AV88" s="7"/>
      <c r="AW88" s="7"/>
      <c r="AX88" s="7"/>
      <c r="AY88" s="7"/>
      <c r="AZ88" s="7"/>
    </row>
    <row r="89" spans="1:52" ht="63" customHeight="1">
      <c r="A89" s="20" t="s">
        <v>506</v>
      </c>
      <c r="B89" s="7">
        <v>1</v>
      </c>
      <c r="C89" s="7" t="s">
        <v>170</v>
      </c>
      <c r="D89" s="7" t="s">
        <v>95</v>
      </c>
      <c r="E89" s="7" t="s">
        <v>37</v>
      </c>
      <c r="F89" s="7" t="s">
        <v>507</v>
      </c>
      <c r="G89" s="7">
        <v>1974</v>
      </c>
      <c r="H89" s="7"/>
      <c r="I89" s="14" t="str">
        <f>HYPERLINK("mailto:contact@gbcc.org.uk","contact@gbcc.org.uk")</f>
        <v>contact@gbcc.org.uk</v>
      </c>
      <c r="J89" s="14" t="str">
        <f>HYPERLINK("https://www.gbcc.org.uk/","https://www.gbcc.org.uk/")</f>
        <v>https://www.gbcc.org.uk/</v>
      </c>
      <c r="K89" s="7" t="s">
        <v>508</v>
      </c>
      <c r="L89" s="27" t="s">
        <v>509</v>
      </c>
      <c r="M89" s="13" t="s">
        <v>42</v>
      </c>
      <c r="N89" s="15" t="s">
        <v>37</v>
      </c>
      <c r="O89" s="16"/>
      <c r="P89" s="15"/>
      <c r="Q89" s="15" t="s">
        <v>510</v>
      </c>
      <c r="R89" s="7" t="s">
        <v>37</v>
      </c>
      <c r="S89" s="7" t="s">
        <v>37</v>
      </c>
      <c r="T89" s="7" t="s">
        <v>37</v>
      </c>
      <c r="U89" s="7" t="s">
        <v>46</v>
      </c>
      <c r="V89" s="7">
        <v>2019</v>
      </c>
      <c r="W89" s="7">
        <v>9</v>
      </c>
      <c r="X89" s="18">
        <v>682</v>
      </c>
      <c r="Y89" s="18">
        <v>203</v>
      </c>
      <c r="Z89" s="18">
        <v>885</v>
      </c>
      <c r="AA89" s="18">
        <v>935</v>
      </c>
      <c r="AB89" s="18">
        <v>0</v>
      </c>
      <c r="AC89" s="18">
        <v>0</v>
      </c>
      <c r="AD89" s="7"/>
      <c r="AE89" s="7"/>
      <c r="AF89" s="7"/>
      <c r="AG89" s="7"/>
      <c r="AH89" s="7"/>
      <c r="AI89" s="7"/>
      <c r="AJ89" s="7"/>
      <c r="AK89" s="7"/>
      <c r="AL89" s="7"/>
      <c r="AM89" s="7"/>
      <c r="AN89" s="7"/>
      <c r="AO89" s="7"/>
      <c r="AP89" s="7"/>
      <c r="AQ89" s="7"/>
      <c r="AR89" s="7"/>
      <c r="AS89" s="7"/>
      <c r="AT89" s="7"/>
      <c r="AU89" s="7"/>
      <c r="AV89" s="7"/>
      <c r="AW89" s="7"/>
      <c r="AX89" s="7"/>
      <c r="AY89" s="7"/>
      <c r="AZ89" s="7"/>
    </row>
    <row r="90" spans="1:52" ht="63" customHeight="1">
      <c r="A90" s="20" t="s">
        <v>511</v>
      </c>
      <c r="B90" s="7">
        <v>1</v>
      </c>
      <c r="C90" s="7" t="s">
        <v>512</v>
      </c>
      <c r="D90" s="7" t="s">
        <v>95</v>
      </c>
      <c r="E90" s="7" t="s">
        <v>43</v>
      </c>
      <c r="F90" s="7" t="s">
        <v>513</v>
      </c>
      <c r="G90" s="7">
        <v>2008</v>
      </c>
      <c r="H90" s="7" t="s">
        <v>514</v>
      </c>
      <c r="I90" s="14" t="str">
        <f>HYPERLINK("http://www.hse.gov.uk/contact/index.htm","http://www.hse.gov.uk/contact/index.htm")</f>
        <v>http://www.hse.gov.uk/contact/index.htm</v>
      </c>
      <c r="J90" s="14" t="str">
        <f>HYPERLINK("https://www.hse.gov.uk/","https://www.hse.gov.uk/")</f>
        <v>https://www.hse.gov.uk/</v>
      </c>
      <c r="K90" s="7" t="s">
        <v>515</v>
      </c>
      <c r="L90" s="7" t="s">
        <v>516</v>
      </c>
      <c r="M90" s="7" t="s">
        <v>42</v>
      </c>
      <c r="N90" s="15" t="s">
        <v>43</v>
      </c>
      <c r="O90" s="16">
        <v>84000</v>
      </c>
      <c r="P90" s="15" t="s">
        <v>52</v>
      </c>
      <c r="Q90" s="17" t="s">
        <v>517</v>
      </c>
      <c r="R90" s="7" t="s">
        <v>43</v>
      </c>
      <c r="S90" s="7" t="s">
        <v>43</v>
      </c>
      <c r="T90" s="7" t="s">
        <v>43</v>
      </c>
      <c r="U90" s="7" t="s">
        <v>54</v>
      </c>
      <c r="V90" s="7">
        <v>2018</v>
      </c>
      <c r="W90" s="26">
        <v>2453</v>
      </c>
      <c r="X90" s="18">
        <v>129000</v>
      </c>
      <c r="Y90" s="18">
        <v>91460</v>
      </c>
      <c r="Z90" s="18">
        <v>220460</v>
      </c>
      <c r="AA90" s="18">
        <v>122000</v>
      </c>
      <c r="AB90" s="18">
        <v>7000</v>
      </c>
      <c r="AC90" s="18">
        <v>0</v>
      </c>
      <c r="AD90" s="7" t="s">
        <v>518</v>
      </c>
      <c r="AE90" s="13" t="s">
        <v>56</v>
      </c>
      <c r="AF90" s="7"/>
      <c r="AG90" s="7"/>
      <c r="AH90" s="7"/>
      <c r="AI90" s="7"/>
      <c r="AJ90" s="7"/>
      <c r="AK90" s="7"/>
      <c r="AL90" s="7"/>
      <c r="AM90" s="7"/>
      <c r="AN90" s="7"/>
      <c r="AO90" s="7"/>
      <c r="AP90" s="7"/>
      <c r="AQ90" s="7"/>
      <c r="AR90" s="7"/>
      <c r="AS90" s="7"/>
      <c r="AT90" s="7"/>
      <c r="AU90" s="7"/>
      <c r="AV90" s="7"/>
      <c r="AW90" s="7"/>
      <c r="AX90" s="7"/>
      <c r="AY90" s="7"/>
      <c r="AZ90" s="7"/>
    </row>
    <row r="91" spans="1:52" ht="63" customHeight="1">
      <c r="A91" s="20" t="s">
        <v>519</v>
      </c>
      <c r="B91" s="7">
        <v>1</v>
      </c>
      <c r="C91" s="7" t="s">
        <v>58</v>
      </c>
      <c r="D91" s="7" t="s">
        <v>95</v>
      </c>
      <c r="E91" s="7" t="s">
        <v>37</v>
      </c>
      <c r="F91" s="7" t="s">
        <v>520</v>
      </c>
      <c r="G91" s="7">
        <v>2015</v>
      </c>
      <c r="H91" s="7"/>
      <c r="I91" s="14" t="str">
        <f>HYPERLINK("mailto:enquiries@nhsdigital.nhs.uk","enquiries@nhsdigital.nhs.uk")</f>
        <v>enquiries@nhsdigital.nhs.uk</v>
      </c>
      <c r="J91" s="14" t="str">
        <f>HYPERLINK("https://www.digital.nhs.uk/","https://www.digital.nhs.uk/")</f>
        <v>https://www.digital.nhs.uk/</v>
      </c>
      <c r="K91" s="7" t="s">
        <v>521</v>
      </c>
      <c r="L91" s="7" t="s">
        <v>522</v>
      </c>
      <c r="M91" s="7" t="s">
        <v>42</v>
      </c>
      <c r="N91" s="15" t="s">
        <v>43</v>
      </c>
      <c r="O91" s="16">
        <v>63000</v>
      </c>
      <c r="P91" s="15" t="s">
        <v>52</v>
      </c>
      <c r="Q91" s="15" t="s">
        <v>221</v>
      </c>
      <c r="R91" s="7" t="s">
        <v>43</v>
      </c>
      <c r="S91" s="7" t="s">
        <v>43</v>
      </c>
      <c r="T91" s="7" t="s">
        <v>43</v>
      </c>
      <c r="U91" s="7" t="s">
        <v>54</v>
      </c>
      <c r="V91" s="7"/>
      <c r="W91" s="39">
        <v>2891</v>
      </c>
      <c r="X91" s="18">
        <v>4438733</v>
      </c>
      <c r="Y91" s="18">
        <v>134693</v>
      </c>
      <c r="Z91" s="18">
        <v>4573426</v>
      </c>
      <c r="AA91" s="18">
        <v>4579599</v>
      </c>
      <c r="AB91" s="18">
        <v>467</v>
      </c>
      <c r="AC91" s="18">
        <v>44</v>
      </c>
      <c r="AD91" s="7"/>
      <c r="AE91" s="13" t="s">
        <v>56</v>
      </c>
      <c r="AF91" s="7"/>
      <c r="AG91" s="7"/>
      <c r="AH91" s="7"/>
      <c r="AI91" s="7"/>
      <c r="AJ91" s="7"/>
      <c r="AK91" s="7"/>
      <c r="AL91" s="7"/>
      <c r="AM91" s="7"/>
      <c r="AN91" s="7"/>
      <c r="AO91" s="7"/>
      <c r="AP91" s="7"/>
      <c r="AQ91" s="7"/>
      <c r="AR91" s="7"/>
      <c r="AS91" s="7"/>
      <c r="AT91" s="7"/>
      <c r="AU91" s="7"/>
      <c r="AV91" s="7"/>
      <c r="AW91" s="7"/>
      <c r="AX91" s="7"/>
      <c r="AY91" s="7"/>
      <c r="AZ91" s="7"/>
    </row>
    <row r="92" spans="1:52" ht="63" customHeight="1">
      <c r="A92" s="20" t="s">
        <v>523</v>
      </c>
      <c r="B92" s="7">
        <v>1</v>
      </c>
      <c r="C92" s="7" t="s">
        <v>58</v>
      </c>
      <c r="D92" s="7" t="s">
        <v>95</v>
      </c>
      <c r="E92" s="7" t="s">
        <v>37</v>
      </c>
      <c r="F92" s="7" t="s">
        <v>524</v>
      </c>
      <c r="G92" s="7">
        <v>2015</v>
      </c>
      <c r="H92" s="7" t="s">
        <v>525</v>
      </c>
      <c r="I92" s="14" t="str">
        <f>HYPERLINK("mailto:hee.enquiries@nhs.net","hee.enquiries@nhs.net")</f>
        <v>hee.enquiries@nhs.net</v>
      </c>
      <c r="J92" s="14" t="str">
        <f>HYPERLINK("http://hee.nhs.uk/","http://hee.nhs.uk/")</f>
        <v>http://hee.nhs.uk/</v>
      </c>
      <c r="K92" s="7" t="s">
        <v>526</v>
      </c>
      <c r="L92" s="7" t="s">
        <v>527</v>
      </c>
      <c r="M92" s="7" t="s">
        <v>42</v>
      </c>
      <c r="N92" s="15" t="s">
        <v>43</v>
      </c>
      <c r="O92" s="16" t="s">
        <v>528</v>
      </c>
      <c r="P92" s="15" t="s">
        <v>52</v>
      </c>
      <c r="Q92" s="15" t="s">
        <v>464</v>
      </c>
      <c r="R92" s="7" t="s">
        <v>43</v>
      </c>
      <c r="S92" s="7" t="s">
        <v>43</v>
      </c>
      <c r="T92" s="7" t="s">
        <v>43</v>
      </c>
      <c r="U92" s="7" t="s">
        <v>54</v>
      </c>
      <c r="V92" s="7"/>
      <c r="W92" s="26">
        <v>2166</v>
      </c>
      <c r="X92" s="18">
        <v>16007</v>
      </c>
      <c r="Y92" s="18">
        <v>263</v>
      </c>
      <c r="Z92" s="18">
        <v>16270</v>
      </c>
      <c r="AA92" s="18">
        <v>13737</v>
      </c>
      <c r="AB92" s="18">
        <v>1934</v>
      </c>
      <c r="AC92" s="18">
        <v>-44</v>
      </c>
      <c r="AD92" s="7"/>
      <c r="AE92" s="13" t="s">
        <v>56</v>
      </c>
      <c r="AF92" s="7"/>
      <c r="AG92" s="7"/>
      <c r="AH92" s="7"/>
      <c r="AI92" s="7"/>
      <c r="AJ92" s="7"/>
      <c r="AK92" s="7"/>
      <c r="AL92" s="7"/>
      <c r="AM92" s="7"/>
      <c r="AN92" s="7"/>
      <c r="AO92" s="7"/>
      <c r="AP92" s="7"/>
      <c r="AQ92" s="7"/>
      <c r="AR92" s="7"/>
      <c r="AS92" s="7"/>
      <c r="AT92" s="7"/>
      <c r="AU92" s="7"/>
      <c r="AV92" s="7"/>
      <c r="AW92" s="7"/>
      <c r="AX92" s="7"/>
      <c r="AY92" s="7"/>
      <c r="AZ92" s="7"/>
    </row>
    <row r="93" spans="1:52" ht="63" customHeight="1">
      <c r="A93" s="20" t="s">
        <v>529</v>
      </c>
      <c r="B93" s="7">
        <v>1</v>
      </c>
      <c r="C93" s="7" t="s">
        <v>58</v>
      </c>
      <c r="D93" s="7" t="s">
        <v>95</v>
      </c>
      <c r="E93" s="7" t="s">
        <v>43</v>
      </c>
      <c r="F93" s="7" t="s">
        <v>530</v>
      </c>
      <c r="G93" s="7">
        <v>2015</v>
      </c>
      <c r="H93" s="7" t="s">
        <v>531</v>
      </c>
      <c r="I93" s="14" t="str">
        <f>HYPERLINK("mailto:contact.hra@nhs.net","contact.hra@nhs.net")</f>
        <v>contact.hra@nhs.net</v>
      </c>
      <c r="J93" s="14" t="str">
        <f>HYPERLINK("http://www.hra.nhs.uk/","http://www.hra.nhs.uk/")</f>
        <v>http://www.hra.nhs.uk/</v>
      </c>
      <c r="K93" s="7" t="s">
        <v>532</v>
      </c>
      <c r="L93" s="7" t="s">
        <v>533</v>
      </c>
      <c r="M93" s="7" t="s">
        <v>42</v>
      </c>
      <c r="N93" s="15" t="s">
        <v>43</v>
      </c>
      <c r="O93" s="16">
        <v>45000</v>
      </c>
      <c r="P93" s="15" t="s">
        <v>52</v>
      </c>
      <c r="Q93" s="15" t="s">
        <v>534</v>
      </c>
      <c r="R93" s="7" t="s">
        <v>43</v>
      </c>
      <c r="S93" s="7" t="s">
        <v>43</v>
      </c>
      <c r="T93" s="7" t="s">
        <v>43</v>
      </c>
      <c r="U93" s="7" t="s">
        <v>54</v>
      </c>
      <c r="V93" s="7"/>
      <c r="W93" s="7">
        <v>207</v>
      </c>
      <c r="X93" s="18">
        <v>0</v>
      </c>
      <c r="Y93" s="18">
        <v>181371</v>
      </c>
      <c r="Z93" s="18">
        <f>IF(SUM(Y93)&lt;&gt;0,SUM(Y93),"")</f>
        <v>181371</v>
      </c>
      <c r="AA93" s="18">
        <v>167738</v>
      </c>
      <c r="AB93" s="18">
        <v>2626</v>
      </c>
      <c r="AC93" s="18">
        <v>0</v>
      </c>
      <c r="AD93" s="7" t="s">
        <v>457</v>
      </c>
      <c r="AE93" s="7"/>
      <c r="AF93" s="7"/>
      <c r="AG93" s="7"/>
      <c r="AH93" s="7"/>
      <c r="AI93" s="7"/>
      <c r="AJ93" s="7"/>
      <c r="AK93" s="7"/>
      <c r="AL93" s="7"/>
      <c r="AM93" s="7"/>
      <c r="AN93" s="7"/>
      <c r="AO93" s="7"/>
      <c r="AP93" s="7"/>
      <c r="AQ93" s="7"/>
      <c r="AR93" s="7"/>
      <c r="AS93" s="7"/>
      <c r="AT93" s="7"/>
      <c r="AU93" s="7"/>
      <c r="AV93" s="7"/>
      <c r="AW93" s="7"/>
      <c r="AX93" s="7"/>
      <c r="AY93" s="7"/>
      <c r="AZ93" s="7"/>
    </row>
    <row r="94" spans="1:52" ht="63" customHeight="1">
      <c r="A94" s="20" t="s">
        <v>535</v>
      </c>
      <c r="B94" s="7">
        <v>1</v>
      </c>
      <c r="C94" s="7" t="s">
        <v>89</v>
      </c>
      <c r="D94" s="7" t="s">
        <v>108</v>
      </c>
      <c r="E94" s="7" t="s">
        <v>37</v>
      </c>
      <c r="F94" s="7" t="s">
        <v>536</v>
      </c>
      <c r="G94" s="7">
        <v>2011</v>
      </c>
      <c r="H94" s="7"/>
      <c r="I94" s="14" t="str">
        <f>HYPERLINK("mailto:general.queries@justice.gov.uk","general.queries@justice.gov.uk")</f>
        <v>general.queries@justice.gov.uk</v>
      </c>
      <c r="J94" s="14" t="s">
        <v>537</v>
      </c>
      <c r="K94" s="7" t="s">
        <v>538</v>
      </c>
      <c r="L94" s="7" t="s">
        <v>539</v>
      </c>
      <c r="M94" s="7" t="s">
        <v>42</v>
      </c>
      <c r="N94" s="15" t="s">
        <v>43</v>
      </c>
      <c r="O94" s="16">
        <v>20000</v>
      </c>
      <c r="P94" s="15" t="s">
        <v>52</v>
      </c>
      <c r="Q94" s="17" t="s">
        <v>540</v>
      </c>
      <c r="R94" s="7" t="s">
        <v>37</v>
      </c>
      <c r="S94" s="7" t="s">
        <v>43</v>
      </c>
      <c r="T94" s="7" t="s">
        <v>43</v>
      </c>
      <c r="U94" s="7" t="s">
        <v>54</v>
      </c>
      <c r="V94" s="7"/>
      <c r="W94" s="39">
        <v>16219</v>
      </c>
      <c r="X94" s="18">
        <v>992534</v>
      </c>
      <c r="Y94" s="18">
        <v>696845</v>
      </c>
      <c r="Z94" s="18">
        <v>1689379</v>
      </c>
      <c r="AA94" s="18">
        <v>1662392</v>
      </c>
      <c r="AB94" s="18">
        <v>169869</v>
      </c>
      <c r="AC94" s="18">
        <v>20519</v>
      </c>
      <c r="AD94" s="7"/>
      <c r="AE94" s="7"/>
      <c r="AF94" s="7"/>
      <c r="AG94" s="7"/>
      <c r="AH94" s="7"/>
      <c r="AI94" s="7"/>
      <c r="AJ94" s="7"/>
      <c r="AK94" s="7"/>
      <c r="AL94" s="7"/>
      <c r="AM94" s="7"/>
      <c r="AN94" s="7"/>
      <c r="AO94" s="7"/>
      <c r="AP94" s="7"/>
      <c r="AQ94" s="7"/>
      <c r="AR94" s="7"/>
      <c r="AS94" s="7"/>
      <c r="AT94" s="7"/>
      <c r="AU94" s="7"/>
      <c r="AV94" s="7"/>
      <c r="AW94" s="7"/>
      <c r="AX94" s="7"/>
      <c r="AY94" s="7"/>
      <c r="AZ94" s="7"/>
    </row>
    <row r="95" spans="1:52" ht="63" customHeight="1">
      <c r="A95" s="20" t="s">
        <v>541</v>
      </c>
      <c r="B95" s="7">
        <v>1</v>
      </c>
      <c r="C95" s="7" t="s">
        <v>94</v>
      </c>
      <c r="D95" s="7" t="s">
        <v>233</v>
      </c>
      <c r="E95" s="7" t="s">
        <v>37</v>
      </c>
      <c r="F95" s="7" t="s">
        <v>542</v>
      </c>
      <c r="G95" s="7">
        <v>1862</v>
      </c>
      <c r="H95" s="7" t="s">
        <v>543</v>
      </c>
      <c r="I95" s="14" t="str">
        <f>HYPERLINK("https://help.landregistry.gov.uk/app/contactus_general","Please complete an enquiry form online")</f>
        <v>Please complete an enquiry form online</v>
      </c>
      <c r="J95" s="14" t="str">
        <f>HYPERLINK("http://www.gov.uk/land-registry","http://www.gov.uk/land-registry")</f>
        <v>http://www.gov.uk/land-registry</v>
      </c>
      <c r="K95" s="7" t="s">
        <v>544</v>
      </c>
      <c r="L95" s="7" t="s">
        <v>545</v>
      </c>
      <c r="M95" s="7" t="s">
        <v>42</v>
      </c>
      <c r="N95" s="15" t="s">
        <v>43</v>
      </c>
      <c r="O95" s="16">
        <v>55000</v>
      </c>
      <c r="P95" s="15" t="s">
        <v>52</v>
      </c>
      <c r="Q95" s="15" t="s">
        <v>193</v>
      </c>
      <c r="R95" s="7" t="s">
        <v>37</v>
      </c>
      <c r="S95" s="7" t="s">
        <v>37</v>
      </c>
      <c r="T95" s="7" t="s">
        <v>43</v>
      </c>
      <c r="U95" s="7" t="s">
        <v>546</v>
      </c>
      <c r="V95" s="7">
        <v>2016</v>
      </c>
      <c r="W95" s="26">
        <v>5074</v>
      </c>
      <c r="X95" s="18">
        <v>0</v>
      </c>
      <c r="Y95" s="18">
        <v>326288</v>
      </c>
      <c r="Z95" s="18">
        <f>IF(SUM(Y95)&lt;&gt;0,SUM(Y95),"")</f>
        <v>326288</v>
      </c>
      <c r="AA95" s="18">
        <v>321224</v>
      </c>
      <c r="AB95" s="18">
        <v>16856</v>
      </c>
      <c r="AC95" s="18">
        <v>0</v>
      </c>
      <c r="AD95" s="7" t="s">
        <v>547</v>
      </c>
      <c r="AE95" s="7"/>
      <c r="AF95" s="7"/>
      <c r="AG95" s="7"/>
      <c r="AH95" s="7"/>
      <c r="AI95" s="7"/>
      <c r="AJ95" s="7"/>
      <c r="AK95" s="7"/>
      <c r="AL95" s="7"/>
      <c r="AM95" s="7"/>
      <c r="AN95" s="7"/>
      <c r="AO95" s="7"/>
      <c r="AP95" s="7"/>
      <c r="AQ95" s="7"/>
      <c r="AR95" s="7"/>
      <c r="AS95" s="7"/>
      <c r="AT95" s="7"/>
      <c r="AU95" s="7"/>
      <c r="AV95" s="7"/>
      <c r="AW95" s="7"/>
      <c r="AX95" s="7"/>
      <c r="AY95" s="7"/>
      <c r="AZ95" s="7"/>
    </row>
    <row r="96" spans="1:52" ht="63" customHeight="1">
      <c r="A96" s="20" t="s">
        <v>548</v>
      </c>
      <c r="B96" s="7">
        <v>1</v>
      </c>
      <c r="C96" s="7" t="s">
        <v>89</v>
      </c>
      <c r="D96" s="7" t="s">
        <v>108</v>
      </c>
      <c r="E96" s="7" t="s">
        <v>37</v>
      </c>
      <c r="F96" s="7" t="s">
        <v>549</v>
      </c>
      <c r="G96" s="7">
        <v>2008</v>
      </c>
      <c r="H96" s="7" t="s">
        <v>550</v>
      </c>
      <c r="I96" s="14" t="str">
        <f>HYPERLINK("mailto:public.enquiries@noms.gsi.gov.uk","public.enquiries@noms.gsi.gov.uk")</f>
        <v>public.enquiries@noms.gsi.gov.uk</v>
      </c>
      <c r="J96" s="14" t="str">
        <f>HYPERLINK("https://www.gov.uk/government/organisations/her-majestys-prison-and-probation-service/about","https://www.gov.uk/government/organisations/her-majestys-prison-and-probation-service/about")</f>
        <v>https://www.gov.uk/government/organisations/her-majestys-prison-and-probation-service/about</v>
      </c>
      <c r="K96" s="7" t="s">
        <v>538</v>
      </c>
      <c r="L96" s="13" t="s">
        <v>46</v>
      </c>
      <c r="M96" s="13" t="s">
        <v>46</v>
      </c>
      <c r="N96" s="17" t="s">
        <v>46</v>
      </c>
      <c r="O96" s="16"/>
      <c r="P96" s="15" t="s">
        <v>52</v>
      </c>
      <c r="Q96" s="17" t="s">
        <v>551</v>
      </c>
      <c r="R96" s="7" t="s">
        <v>37</v>
      </c>
      <c r="S96" s="7" t="s">
        <v>37</v>
      </c>
      <c r="T96" s="7" t="s">
        <v>43</v>
      </c>
      <c r="U96" s="7" t="s">
        <v>552</v>
      </c>
      <c r="V96" s="13">
        <v>2011</v>
      </c>
      <c r="W96" s="39">
        <v>48781</v>
      </c>
      <c r="X96" s="18">
        <v>4249000</v>
      </c>
      <c r="Y96" s="18">
        <v>245575</v>
      </c>
      <c r="Z96" s="18">
        <v>4494575</v>
      </c>
      <c r="AA96" s="18">
        <v>3998274</v>
      </c>
      <c r="AB96" s="18">
        <v>68751</v>
      </c>
      <c r="AC96" s="18">
        <v>187000</v>
      </c>
      <c r="AD96" s="7"/>
      <c r="AE96" s="7"/>
      <c r="AF96" s="7"/>
      <c r="AG96" s="7"/>
      <c r="AH96" s="7"/>
      <c r="AI96" s="7"/>
      <c r="AJ96" s="7"/>
      <c r="AK96" s="7"/>
      <c r="AL96" s="7"/>
      <c r="AM96" s="7"/>
      <c r="AN96" s="7"/>
      <c r="AO96" s="7"/>
      <c r="AP96" s="7"/>
      <c r="AQ96" s="7"/>
      <c r="AR96" s="7"/>
      <c r="AS96" s="7"/>
      <c r="AT96" s="7"/>
      <c r="AU96" s="7"/>
      <c r="AV96" s="7"/>
      <c r="AW96" s="7"/>
      <c r="AX96" s="7"/>
      <c r="AY96" s="7"/>
      <c r="AZ96" s="7"/>
    </row>
    <row r="97" spans="1:52" ht="63" customHeight="1">
      <c r="A97" s="20" t="s">
        <v>553</v>
      </c>
      <c r="B97" s="7">
        <v>1</v>
      </c>
      <c r="C97" s="7" t="s">
        <v>275</v>
      </c>
      <c r="D97" s="7" t="s">
        <v>233</v>
      </c>
      <c r="E97" s="7" t="s">
        <v>37</v>
      </c>
      <c r="F97" s="7" t="s">
        <v>554</v>
      </c>
      <c r="G97" s="7">
        <v>2005</v>
      </c>
      <c r="H97" s="7"/>
      <c r="I97" s="28" t="s">
        <v>555</v>
      </c>
      <c r="J97" s="14" t="s">
        <v>556</v>
      </c>
      <c r="K97" s="7" t="s">
        <v>557</v>
      </c>
      <c r="L97" s="7" t="s">
        <v>558</v>
      </c>
      <c r="M97" s="7" t="s">
        <v>71</v>
      </c>
      <c r="N97" s="15" t="s">
        <v>43</v>
      </c>
      <c r="O97" s="16" t="s">
        <v>559</v>
      </c>
      <c r="P97" s="15" t="s">
        <v>52</v>
      </c>
      <c r="Q97" s="17" t="s">
        <v>560</v>
      </c>
      <c r="R97" s="7" t="s">
        <v>37</v>
      </c>
      <c r="S97" s="7" t="s">
        <v>37</v>
      </c>
      <c r="T97" s="7" t="s">
        <v>37</v>
      </c>
      <c r="U97" s="7" t="s">
        <v>54</v>
      </c>
      <c r="V97" s="7"/>
      <c r="W97" s="39">
        <v>58773</v>
      </c>
      <c r="X97" s="18">
        <v>44052593.456494696</v>
      </c>
      <c r="Y97" s="18">
        <v>181300</v>
      </c>
      <c r="Z97" s="18">
        <v>44233893</v>
      </c>
      <c r="AA97" s="18">
        <v>3708986.5234028101</v>
      </c>
      <c r="AB97" s="18">
        <v>378.4</v>
      </c>
      <c r="AC97" s="18">
        <v>40160966</v>
      </c>
      <c r="AD97" s="7"/>
      <c r="AE97" s="7"/>
      <c r="AF97" s="7"/>
      <c r="AG97" s="7"/>
      <c r="AH97" s="7"/>
      <c r="AI97" s="7"/>
      <c r="AJ97" s="7"/>
      <c r="AK97" s="7"/>
      <c r="AL97" s="7"/>
      <c r="AM97" s="7"/>
      <c r="AN97" s="7"/>
      <c r="AO97" s="7"/>
      <c r="AP97" s="7"/>
      <c r="AQ97" s="7"/>
      <c r="AR97" s="7"/>
      <c r="AS97" s="7"/>
      <c r="AT97" s="7"/>
      <c r="AU97" s="7"/>
      <c r="AV97" s="7"/>
      <c r="AW97" s="7"/>
      <c r="AX97" s="7"/>
      <c r="AY97" s="7"/>
      <c r="AZ97" s="7"/>
    </row>
    <row r="98" spans="1:52" ht="63" customHeight="1">
      <c r="A98" s="20" t="s">
        <v>561</v>
      </c>
      <c r="B98" s="7">
        <v>1</v>
      </c>
      <c r="C98" s="7" t="s">
        <v>206</v>
      </c>
      <c r="D98" s="7" t="s">
        <v>95</v>
      </c>
      <c r="E98" s="7" t="s">
        <v>37</v>
      </c>
      <c r="F98" s="7" t="s">
        <v>562</v>
      </c>
      <c r="G98" s="7">
        <v>2009</v>
      </c>
      <c r="H98" s="7"/>
      <c r="I98" s="14" t="str">
        <f>HYPERLINK("mailto:HS2enquiries@hs2.org.uk","HS2enquiries@hs2.org.uk")</f>
        <v>HS2enquiries@hs2.org.uk</v>
      </c>
      <c r="J98" s="14" t="str">
        <f>HYPERLINK("https://www.gov.uk/government/organisations/high-speed-two-limited","www.gov.uk/HS2")</f>
        <v>www.gov.uk/HS2</v>
      </c>
      <c r="K98" s="7" t="s">
        <v>563</v>
      </c>
      <c r="L98" s="27" t="s">
        <v>564</v>
      </c>
      <c r="M98" s="13" t="s">
        <v>42</v>
      </c>
      <c r="N98" s="15" t="s">
        <v>43</v>
      </c>
      <c r="O98" s="16">
        <v>200000</v>
      </c>
      <c r="P98" s="15" t="s">
        <v>52</v>
      </c>
      <c r="Q98" s="17" t="s">
        <v>100</v>
      </c>
      <c r="R98" s="7" t="s">
        <v>43</v>
      </c>
      <c r="S98" s="7" t="s">
        <v>43</v>
      </c>
      <c r="T98" s="7" t="s">
        <v>43</v>
      </c>
      <c r="U98" s="7" t="s">
        <v>54</v>
      </c>
      <c r="V98" s="7">
        <v>2018</v>
      </c>
      <c r="W98" s="26">
        <v>1389</v>
      </c>
      <c r="X98" s="18">
        <v>1730000</v>
      </c>
      <c r="Y98" s="18">
        <v>105000</v>
      </c>
      <c r="Z98" s="18">
        <v>1835000</v>
      </c>
      <c r="AA98" s="18">
        <v>1826403</v>
      </c>
      <c r="AB98" s="18">
        <v>255162</v>
      </c>
      <c r="AC98" s="18">
        <v>2135</v>
      </c>
      <c r="AD98" s="7" t="s">
        <v>565</v>
      </c>
      <c r="AE98" s="7"/>
      <c r="AF98" s="7"/>
      <c r="AG98" s="7"/>
      <c r="AH98" s="7"/>
      <c r="AI98" s="7"/>
      <c r="AJ98" s="7"/>
      <c r="AK98" s="7"/>
      <c r="AL98" s="7"/>
      <c r="AM98" s="7"/>
      <c r="AN98" s="7"/>
      <c r="AO98" s="7"/>
      <c r="AP98" s="7"/>
      <c r="AQ98" s="7"/>
      <c r="AR98" s="7"/>
      <c r="AS98" s="7"/>
      <c r="AT98" s="7"/>
      <c r="AU98" s="7"/>
      <c r="AV98" s="7"/>
      <c r="AW98" s="7"/>
      <c r="AX98" s="7"/>
      <c r="AY98" s="7"/>
      <c r="AZ98" s="7"/>
    </row>
    <row r="99" spans="1:52" ht="63" customHeight="1">
      <c r="A99" s="20" t="s">
        <v>566</v>
      </c>
      <c r="B99" s="7">
        <v>1</v>
      </c>
      <c r="C99" s="7" t="s">
        <v>122</v>
      </c>
      <c r="D99" s="7" t="s">
        <v>95</v>
      </c>
      <c r="E99" s="7" t="s">
        <v>37</v>
      </c>
      <c r="F99" s="7" t="s">
        <v>567</v>
      </c>
      <c r="G99" s="7">
        <v>1984</v>
      </c>
      <c r="H99" s="7" t="s">
        <v>568</v>
      </c>
      <c r="I99" s="14" t="str">
        <f>HYPERLINK("mailto:customers@historicengland.org.uk","customers@historicengland.org.uk")</f>
        <v>customers@historicengland.org.uk</v>
      </c>
      <c r="J99" s="14" t="s">
        <v>569</v>
      </c>
      <c r="K99" s="7" t="s">
        <v>570</v>
      </c>
      <c r="L99" s="7" t="s">
        <v>571</v>
      </c>
      <c r="M99" s="13" t="s">
        <v>42</v>
      </c>
      <c r="N99" s="15" t="s">
        <v>43</v>
      </c>
      <c r="O99" s="16">
        <v>40000</v>
      </c>
      <c r="P99" s="15" t="s">
        <v>52</v>
      </c>
      <c r="Q99" s="7" t="s">
        <v>572</v>
      </c>
      <c r="R99" s="7" t="s">
        <v>37</v>
      </c>
      <c r="S99" s="7" t="s">
        <v>43</v>
      </c>
      <c r="T99" s="7" t="s">
        <v>43</v>
      </c>
      <c r="U99" s="7" t="s">
        <v>54</v>
      </c>
      <c r="V99" s="7"/>
      <c r="W99" s="7">
        <v>822.6</v>
      </c>
      <c r="X99" s="18">
        <v>91606</v>
      </c>
      <c r="Y99" s="18">
        <v>14337</v>
      </c>
      <c r="Z99" s="18">
        <f>(X99+Y99)</f>
        <v>105943</v>
      </c>
      <c r="AA99" s="18">
        <v>73920</v>
      </c>
      <c r="AB99" s="18">
        <v>17322</v>
      </c>
      <c r="AC99" s="18">
        <v>2101</v>
      </c>
      <c r="AD99" s="7"/>
      <c r="AE99" s="7"/>
      <c r="AF99" s="7"/>
      <c r="AG99" s="7"/>
      <c r="AH99" s="7"/>
      <c r="AI99" s="7"/>
      <c r="AJ99" s="7"/>
      <c r="AK99" s="7"/>
      <c r="AL99" s="7"/>
      <c r="AM99" s="7"/>
      <c r="AN99" s="7"/>
      <c r="AO99" s="7"/>
      <c r="AP99" s="7"/>
      <c r="AQ99" s="7"/>
      <c r="AR99" s="7"/>
      <c r="AS99" s="7"/>
      <c r="AT99" s="7"/>
      <c r="AU99" s="7"/>
      <c r="AV99" s="7"/>
      <c r="AW99" s="7"/>
      <c r="AX99" s="7"/>
      <c r="AY99" s="7"/>
      <c r="AZ99" s="7"/>
    </row>
    <row r="100" spans="1:52" ht="63" customHeight="1">
      <c r="A100" s="20" t="s">
        <v>573</v>
      </c>
      <c r="B100" s="7">
        <v>1</v>
      </c>
      <c r="C100" s="7" t="s">
        <v>212</v>
      </c>
      <c r="D100" s="7" t="s">
        <v>95</v>
      </c>
      <c r="E100" s="7" t="s">
        <v>37</v>
      </c>
      <c r="F100" s="7" t="s">
        <v>574</v>
      </c>
      <c r="G100" s="7">
        <v>2008</v>
      </c>
      <c r="H100" s="7" t="s">
        <v>575</v>
      </c>
      <c r="I100" s="14" t="str">
        <f>HYPERLINK("mailto:enquiries@homesengland.gov.uk","enquiries@homesengland.gov.uk")</f>
        <v>enquiries@homesengland.gov.uk</v>
      </c>
      <c r="J100" s="14" t="s">
        <v>576</v>
      </c>
      <c r="K100" s="13" t="s">
        <v>577</v>
      </c>
      <c r="L100" s="27" t="s">
        <v>578</v>
      </c>
      <c r="M100" s="13" t="s">
        <v>42</v>
      </c>
      <c r="N100" s="15" t="s">
        <v>43</v>
      </c>
      <c r="O100" s="16">
        <v>68000</v>
      </c>
      <c r="P100" s="15" t="s">
        <v>52</v>
      </c>
      <c r="Q100" s="17" t="s">
        <v>419</v>
      </c>
      <c r="R100" s="7" t="s">
        <v>37</v>
      </c>
      <c r="S100" s="7" t="s">
        <v>43</v>
      </c>
      <c r="T100" s="7" t="s">
        <v>43</v>
      </c>
      <c r="U100" s="7" t="s">
        <v>46</v>
      </c>
      <c r="V100" s="7">
        <v>2016</v>
      </c>
      <c r="W100" s="26">
        <v>1016</v>
      </c>
      <c r="X100" s="18">
        <v>4094000</v>
      </c>
      <c r="Y100" s="18">
        <v>1340000</v>
      </c>
      <c r="Z100" s="18">
        <v>5434000</v>
      </c>
      <c r="AA100" s="18">
        <v>124000</v>
      </c>
      <c r="AB100" s="18">
        <v>5403000</v>
      </c>
      <c r="AC100" s="18">
        <v>175000</v>
      </c>
      <c r="AD100" s="7"/>
      <c r="AE100" s="13" t="s">
        <v>56</v>
      </c>
      <c r="AF100" s="7"/>
      <c r="AG100" s="7"/>
      <c r="AH100" s="7"/>
      <c r="AI100" s="7"/>
      <c r="AJ100" s="7"/>
      <c r="AK100" s="7"/>
      <c r="AL100" s="7"/>
      <c r="AM100" s="7"/>
      <c r="AN100" s="7"/>
      <c r="AO100" s="7"/>
      <c r="AP100" s="7"/>
      <c r="AQ100" s="7"/>
      <c r="AR100" s="7"/>
      <c r="AS100" s="7"/>
      <c r="AT100" s="7"/>
      <c r="AU100" s="7"/>
      <c r="AV100" s="7"/>
      <c r="AW100" s="7"/>
      <c r="AX100" s="7"/>
      <c r="AY100" s="7"/>
      <c r="AZ100" s="7"/>
    </row>
    <row r="101" spans="1:52" ht="63" customHeight="1">
      <c r="A101" s="20" t="s">
        <v>579</v>
      </c>
      <c r="B101" s="7">
        <v>1</v>
      </c>
      <c r="C101" s="7" t="s">
        <v>122</v>
      </c>
      <c r="D101" s="7" t="s">
        <v>95</v>
      </c>
      <c r="E101" s="7" t="s">
        <v>37</v>
      </c>
      <c r="F101" s="7" t="s">
        <v>580</v>
      </c>
      <c r="G101" s="7">
        <v>1901</v>
      </c>
      <c r="H101" s="7"/>
      <c r="I101" s="14" t="str">
        <f>HYPERLINK("mailto:enquiry@horniman.ac.uk","enquiry@horniman.ac.uk")</f>
        <v>enquiry@horniman.ac.uk</v>
      </c>
      <c r="J101" s="14" t="s">
        <v>581</v>
      </c>
      <c r="K101" s="7" t="s">
        <v>582</v>
      </c>
      <c r="L101" s="7" t="s">
        <v>583</v>
      </c>
      <c r="M101" s="7" t="s">
        <v>42</v>
      </c>
      <c r="N101" s="15" t="s">
        <v>37</v>
      </c>
      <c r="O101" s="16"/>
      <c r="P101" s="15"/>
      <c r="Q101" s="13" t="s">
        <v>584</v>
      </c>
      <c r="R101" s="7" t="s">
        <v>37</v>
      </c>
      <c r="S101" s="7" t="s">
        <v>43</v>
      </c>
      <c r="T101" s="7" t="s">
        <v>43</v>
      </c>
      <c r="U101" s="7" t="s">
        <v>54</v>
      </c>
      <c r="V101" s="7">
        <v>2017</v>
      </c>
      <c r="W101" s="7">
        <v>117</v>
      </c>
      <c r="X101" s="18">
        <v>3870</v>
      </c>
      <c r="Y101" s="18">
        <v>3620</v>
      </c>
      <c r="Z101" s="18">
        <f t="shared" ref="Z101:Z102" si="3">(X101+Y101)</f>
        <v>7490</v>
      </c>
      <c r="AA101" s="18">
        <v>3752</v>
      </c>
      <c r="AB101" s="18">
        <v>477</v>
      </c>
      <c r="AC101" s="18">
        <v>0</v>
      </c>
      <c r="AD101" s="7"/>
      <c r="AE101" s="7"/>
      <c r="AF101" s="7"/>
      <c r="AG101" s="7"/>
      <c r="AH101" s="7"/>
      <c r="AI101" s="7"/>
      <c r="AJ101" s="7"/>
      <c r="AK101" s="7"/>
      <c r="AL101" s="7"/>
      <c r="AM101" s="7"/>
      <c r="AN101" s="7"/>
      <c r="AO101" s="7"/>
      <c r="AP101" s="7"/>
      <c r="AQ101" s="7"/>
      <c r="AR101" s="7"/>
      <c r="AS101" s="7"/>
      <c r="AT101" s="7"/>
      <c r="AU101" s="7"/>
      <c r="AV101" s="7"/>
      <c r="AW101" s="7"/>
      <c r="AX101" s="7"/>
      <c r="AY101" s="7"/>
      <c r="AZ101" s="7"/>
    </row>
    <row r="102" spans="1:52" ht="63" customHeight="1">
      <c r="A102" s="20" t="s">
        <v>585</v>
      </c>
      <c r="B102" s="7">
        <v>1</v>
      </c>
      <c r="C102" s="7" t="s">
        <v>122</v>
      </c>
      <c r="D102" s="7" t="s">
        <v>95</v>
      </c>
      <c r="E102" s="7" t="s">
        <v>37</v>
      </c>
      <c r="F102" s="7" t="s">
        <v>586</v>
      </c>
      <c r="G102" s="7">
        <v>1961</v>
      </c>
      <c r="H102" s="7"/>
      <c r="I102" s="14" t="str">
        <f>HYPERLINK("mailto:annabel.fearn@hblb.org.uk","annabel.fearn@hblb.org.uk")</f>
        <v>annabel.fearn@hblb.org.uk</v>
      </c>
      <c r="J102" s="14" t="s">
        <v>587</v>
      </c>
      <c r="K102" s="7" t="s">
        <v>588</v>
      </c>
      <c r="L102" s="7" t="s">
        <v>589</v>
      </c>
      <c r="M102" s="13" t="s">
        <v>42</v>
      </c>
      <c r="N102" s="15" t="s">
        <v>43</v>
      </c>
      <c r="O102" s="16">
        <v>63020</v>
      </c>
      <c r="P102" s="15" t="s">
        <v>52</v>
      </c>
      <c r="Q102" s="7" t="s">
        <v>590</v>
      </c>
      <c r="R102" s="7" t="s">
        <v>37</v>
      </c>
      <c r="S102" s="7" t="s">
        <v>37</v>
      </c>
      <c r="T102" s="7" t="s">
        <v>43</v>
      </c>
      <c r="U102" s="7"/>
      <c r="V102" s="7"/>
      <c r="W102" s="7">
        <v>10.199999999999999</v>
      </c>
      <c r="X102" s="18">
        <v>0</v>
      </c>
      <c r="Y102" s="18">
        <v>0</v>
      </c>
      <c r="Z102" s="18">
        <f t="shared" si="3"/>
        <v>0</v>
      </c>
      <c r="AA102" s="18">
        <v>0</v>
      </c>
      <c r="AB102" s="18">
        <v>0</v>
      </c>
      <c r="AC102" s="18">
        <v>0</v>
      </c>
      <c r="AD102" s="7"/>
      <c r="AE102" s="7"/>
      <c r="AF102" s="7"/>
      <c r="AG102" s="7"/>
      <c r="AH102" s="7"/>
      <c r="AI102" s="7"/>
      <c r="AJ102" s="7"/>
      <c r="AK102" s="7"/>
      <c r="AL102" s="7"/>
      <c r="AM102" s="7"/>
      <c r="AN102" s="7"/>
      <c r="AO102" s="7"/>
      <c r="AP102" s="7"/>
      <c r="AQ102" s="7"/>
      <c r="AR102" s="7"/>
      <c r="AS102" s="7"/>
      <c r="AT102" s="7"/>
      <c r="AU102" s="7"/>
      <c r="AV102" s="7"/>
      <c r="AW102" s="7"/>
      <c r="AX102" s="7"/>
      <c r="AY102" s="7"/>
      <c r="AZ102" s="7"/>
    </row>
    <row r="103" spans="1:52" ht="63" customHeight="1">
      <c r="A103" s="20" t="s">
        <v>591</v>
      </c>
      <c r="B103" s="7">
        <v>1</v>
      </c>
      <c r="C103" s="7" t="s">
        <v>48</v>
      </c>
      <c r="D103" s="7" t="s">
        <v>36</v>
      </c>
      <c r="E103" s="7" t="s">
        <v>37</v>
      </c>
      <c r="F103" s="7" t="s">
        <v>592</v>
      </c>
      <c r="G103" s="7">
        <v>2000</v>
      </c>
      <c r="H103" s="7"/>
      <c r="I103" s="14" t="str">
        <f>HYPERLINK("mailto:enquiry@lordsappointments.gov.uk","enquiry@lordsappointments.gov.uk")</f>
        <v>enquiry@lordsappointments.gov.uk</v>
      </c>
      <c r="J103" s="14" t="str">
        <f>HYPERLINK("http://lordsappointments.independent.gov.uk/","http://lordsappointments.independent.gov.uk/")</f>
        <v>http://lordsappointments.independent.gov.uk/</v>
      </c>
      <c r="K103" s="7" t="s">
        <v>593</v>
      </c>
      <c r="L103" s="27" t="s">
        <v>594</v>
      </c>
      <c r="M103" s="13" t="s">
        <v>42</v>
      </c>
      <c r="N103" s="15" t="s">
        <v>43</v>
      </c>
      <c r="O103" s="16">
        <v>8000</v>
      </c>
      <c r="P103" s="15"/>
      <c r="Q103" s="22" t="s">
        <v>595</v>
      </c>
      <c r="R103" s="7" t="s">
        <v>37</v>
      </c>
      <c r="S103" s="7" t="s">
        <v>43</v>
      </c>
      <c r="T103" s="7" t="s">
        <v>43</v>
      </c>
      <c r="U103" s="7" t="s">
        <v>54</v>
      </c>
      <c r="V103" s="7">
        <v>2013</v>
      </c>
      <c r="W103" s="7">
        <v>0.5</v>
      </c>
      <c r="X103" s="18">
        <v>69</v>
      </c>
      <c r="Y103" s="18">
        <v>0</v>
      </c>
      <c r="Z103" s="18">
        <v>69</v>
      </c>
      <c r="AA103" s="18">
        <v>34</v>
      </c>
      <c r="AB103" s="18">
        <v>0</v>
      </c>
      <c r="AC103" s="18">
        <v>0</v>
      </c>
      <c r="AD103" s="7" t="s">
        <v>596</v>
      </c>
      <c r="AE103" s="13" t="s">
        <v>56</v>
      </c>
      <c r="AF103" s="7"/>
      <c r="AG103" s="7"/>
      <c r="AH103" s="7"/>
      <c r="AI103" s="7"/>
      <c r="AJ103" s="7"/>
      <c r="AK103" s="7"/>
      <c r="AL103" s="7"/>
      <c r="AM103" s="7"/>
      <c r="AN103" s="7"/>
      <c r="AO103" s="7"/>
      <c r="AP103" s="7"/>
      <c r="AQ103" s="7"/>
      <c r="AR103" s="7"/>
      <c r="AS103" s="7"/>
      <c r="AT103" s="7"/>
      <c r="AU103" s="7"/>
      <c r="AV103" s="7"/>
      <c r="AW103" s="7"/>
      <c r="AX103" s="7"/>
      <c r="AY103" s="7"/>
      <c r="AZ103" s="7"/>
    </row>
    <row r="104" spans="1:52" ht="63" customHeight="1">
      <c r="A104" s="20" t="s">
        <v>597</v>
      </c>
      <c r="B104" s="7">
        <v>1</v>
      </c>
      <c r="C104" s="7" t="s">
        <v>58</v>
      </c>
      <c r="D104" s="7" t="s">
        <v>95</v>
      </c>
      <c r="E104" s="7" t="s">
        <v>43</v>
      </c>
      <c r="F104" s="7" t="s">
        <v>598</v>
      </c>
      <c r="G104" s="7">
        <v>1991</v>
      </c>
      <c r="H104" s="7"/>
      <c r="I104" s="14" t="str">
        <f>HYPERLINK("mailto:enquiriesteam@hfea.gov.uk","enquiriesteam@hfea.gov.uk")</f>
        <v>enquiriesteam@hfea.gov.uk</v>
      </c>
      <c r="J104" s="14" t="str">
        <f>HYPERLINK("http://www.hfea.gov.uk/","http://www.hfea.gov.uk/")</f>
        <v>http://www.hfea.gov.uk/</v>
      </c>
      <c r="K104" s="7" t="s">
        <v>599</v>
      </c>
      <c r="L104" s="7" t="s">
        <v>600</v>
      </c>
      <c r="M104" s="7" t="s">
        <v>42</v>
      </c>
      <c r="N104" s="15" t="s">
        <v>43</v>
      </c>
      <c r="O104" s="16">
        <v>47360</v>
      </c>
      <c r="P104" s="15" t="s">
        <v>52</v>
      </c>
      <c r="Q104" s="15" t="s">
        <v>534</v>
      </c>
      <c r="R104" s="7" t="s">
        <v>43</v>
      </c>
      <c r="S104" s="7" t="s">
        <v>43</v>
      </c>
      <c r="T104" s="7" t="s">
        <v>43</v>
      </c>
      <c r="U104" s="7" t="s">
        <v>54</v>
      </c>
      <c r="V104" s="7">
        <v>2017</v>
      </c>
      <c r="W104" s="7">
        <v>67</v>
      </c>
      <c r="X104" s="18">
        <v>933.625</v>
      </c>
      <c r="Y104" s="18">
        <v>5598</v>
      </c>
      <c r="Z104" s="18">
        <v>6532</v>
      </c>
      <c r="AA104" s="18">
        <v>6515</v>
      </c>
      <c r="AB104" s="18">
        <v>464</v>
      </c>
      <c r="AC104" s="18">
        <v>46</v>
      </c>
      <c r="AD104" s="7"/>
      <c r="AE104" s="13" t="s">
        <v>56</v>
      </c>
      <c r="AF104" s="7"/>
      <c r="AG104" s="7"/>
      <c r="AH104" s="7"/>
      <c r="AI104" s="7"/>
      <c r="AJ104" s="7"/>
      <c r="AK104" s="7"/>
      <c r="AL104" s="7"/>
      <c r="AM104" s="7"/>
      <c r="AN104" s="7"/>
      <c r="AO104" s="7"/>
      <c r="AP104" s="7"/>
      <c r="AQ104" s="7"/>
      <c r="AR104" s="7"/>
      <c r="AS104" s="7"/>
      <c r="AT104" s="7"/>
      <c r="AU104" s="7"/>
      <c r="AV104" s="7"/>
      <c r="AW104" s="7"/>
      <c r="AX104" s="7"/>
      <c r="AY104" s="7"/>
      <c r="AZ104" s="7"/>
    </row>
    <row r="105" spans="1:52" ht="63" customHeight="1">
      <c r="A105" s="20" t="s">
        <v>601</v>
      </c>
      <c r="B105" s="7">
        <v>1</v>
      </c>
      <c r="C105" s="7" t="s">
        <v>58</v>
      </c>
      <c r="D105" s="7" t="s">
        <v>95</v>
      </c>
      <c r="E105" s="7" t="s">
        <v>43</v>
      </c>
      <c r="F105" s="7" t="s">
        <v>602</v>
      </c>
      <c r="G105" s="7">
        <v>2005</v>
      </c>
      <c r="H105" s="7"/>
      <c r="I105" s="14" t="str">
        <f>HYPERLINK("mailto:enquiries@hta.gov.uk","enquiries@hta.gov.uk")</f>
        <v>enquiries@hta.gov.uk</v>
      </c>
      <c r="J105" s="14" t="str">
        <f>HYPERLINK("http://www.hta.gov.uk/","http://www.hta.gov.uk/")</f>
        <v>http://www.hta.gov.uk/</v>
      </c>
      <c r="K105" s="7" t="s">
        <v>599</v>
      </c>
      <c r="L105" s="7" t="s">
        <v>603</v>
      </c>
      <c r="M105" s="7" t="s">
        <v>42</v>
      </c>
      <c r="N105" s="15" t="s">
        <v>43</v>
      </c>
      <c r="O105" s="16">
        <v>42000</v>
      </c>
      <c r="P105" s="15" t="s">
        <v>52</v>
      </c>
      <c r="Q105" s="15" t="s">
        <v>464</v>
      </c>
      <c r="R105" s="7" t="s">
        <v>43</v>
      </c>
      <c r="S105" s="7" t="s">
        <v>43</v>
      </c>
      <c r="T105" s="7" t="s">
        <v>43</v>
      </c>
      <c r="U105" s="7" t="s">
        <v>54</v>
      </c>
      <c r="V105" s="7">
        <v>2017</v>
      </c>
      <c r="W105" s="7">
        <v>49.5</v>
      </c>
      <c r="X105" s="18">
        <v>703</v>
      </c>
      <c r="Y105" s="18">
        <v>4180</v>
      </c>
      <c r="Z105" s="18">
        <v>4883</v>
      </c>
      <c r="AA105" s="18">
        <v>4800</v>
      </c>
      <c r="AB105" s="18">
        <v>33</v>
      </c>
      <c r="AC105" s="18">
        <v>11</v>
      </c>
      <c r="AD105" s="7"/>
      <c r="AE105" s="13" t="s">
        <v>56</v>
      </c>
      <c r="AF105" s="7"/>
      <c r="AG105" s="7"/>
      <c r="AH105" s="7"/>
      <c r="AI105" s="7"/>
      <c r="AJ105" s="7"/>
      <c r="AK105" s="7"/>
      <c r="AL105" s="7"/>
      <c r="AM105" s="7"/>
      <c r="AN105" s="7"/>
      <c r="AO105" s="7"/>
      <c r="AP105" s="7"/>
      <c r="AQ105" s="7"/>
      <c r="AR105" s="7"/>
      <c r="AS105" s="7"/>
      <c r="AT105" s="7"/>
      <c r="AU105" s="7"/>
      <c r="AV105" s="7"/>
      <c r="AW105" s="7"/>
      <c r="AX105" s="7"/>
      <c r="AY105" s="7"/>
      <c r="AZ105" s="7"/>
    </row>
    <row r="106" spans="1:52" ht="63" customHeight="1">
      <c r="A106" s="20" t="s">
        <v>604</v>
      </c>
      <c r="B106" s="7">
        <v>1</v>
      </c>
      <c r="C106" s="7" t="s">
        <v>122</v>
      </c>
      <c r="D106" s="7" t="s">
        <v>95</v>
      </c>
      <c r="E106" s="7" t="s">
        <v>37</v>
      </c>
      <c r="F106" s="7" t="s">
        <v>605</v>
      </c>
      <c r="G106" s="7">
        <v>1917</v>
      </c>
      <c r="H106" s="7"/>
      <c r="I106" s="14" t="str">
        <f>HYPERLINK("mailto:mail@iwm.org.uk","mail@iwm.org.uk")</f>
        <v>mail@iwm.org.uk</v>
      </c>
      <c r="J106" s="14" t="s">
        <v>606</v>
      </c>
      <c r="K106" s="7" t="s">
        <v>197</v>
      </c>
      <c r="L106" s="7" t="s">
        <v>607</v>
      </c>
      <c r="M106" s="13" t="s">
        <v>42</v>
      </c>
      <c r="N106" s="15" t="s">
        <v>37</v>
      </c>
      <c r="O106" s="16"/>
      <c r="P106" s="15"/>
      <c r="Q106" s="13" t="s">
        <v>608</v>
      </c>
      <c r="R106" s="7" t="s">
        <v>37</v>
      </c>
      <c r="S106" s="7" t="s">
        <v>43</v>
      </c>
      <c r="T106" s="7" t="s">
        <v>43</v>
      </c>
      <c r="U106" s="7" t="s">
        <v>54</v>
      </c>
      <c r="V106" s="7">
        <v>2017</v>
      </c>
      <c r="W106" s="7">
        <v>464</v>
      </c>
      <c r="X106" s="18">
        <v>25739</v>
      </c>
      <c r="Y106" s="18">
        <v>43478</v>
      </c>
      <c r="Z106" s="18">
        <f>(X106+Y106)</f>
        <v>69217</v>
      </c>
      <c r="AA106" s="18">
        <v>28770</v>
      </c>
      <c r="AB106" s="18">
        <v>-4892</v>
      </c>
      <c r="AC106" s="18">
        <v>5521</v>
      </c>
      <c r="AD106" s="7"/>
      <c r="AE106" s="7"/>
      <c r="AF106" s="7"/>
      <c r="AG106" s="7"/>
      <c r="AH106" s="7"/>
      <c r="AI106" s="7"/>
      <c r="AJ106" s="7"/>
      <c r="AK106" s="7"/>
      <c r="AL106" s="7"/>
      <c r="AM106" s="7"/>
      <c r="AN106" s="7"/>
      <c r="AO106" s="7"/>
      <c r="AP106" s="7"/>
      <c r="AQ106" s="7"/>
      <c r="AR106" s="7"/>
      <c r="AS106" s="7"/>
      <c r="AT106" s="7"/>
      <c r="AU106" s="7"/>
      <c r="AV106" s="7"/>
      <c r="AW106" s="7"/>
      <c r="AX106" s="7"/>
      <c r="AY106" s="7"/>
      <c r="AZ106" s="7"/>
    </row>
    <row r="107" spans="1:52" ht="63" customHeight="1">
      <c r="A107" s="20" t="s">
        <v>609</v>
      </c>
      <c r="B107" s="7">
        <v>1</v>
      </c>
      <c r="C107" s="7" t="s">
        <v>89</v>
      </c>
      <c r="D107" s="7" t="s">
        <v>36</v>
      </c>
      <c r="E107" s="7" t="s">
        <v>37</v>
      </c>
      <c r="F107" s="13" t="s">
        <v>610</v>
      </c>
      <c r="G107" s="7">
        <v>2009</v>
      </c>
      <c r="H107" s="7"/>
      <c r="I107" s="14" t="str">
        <f>HYPERLINK("mailto:iap@justice.gov.uk","iap@justice.gov.uk")</f>
        <v>iap@justice.gov.uk</v>
      </c>
      <c r="J107" s="14" t="str">
        <f>HYPERLINK("http://iapdeathsincustody.independent.gov.uk/","http://iapdeathsincustody.independent.gov.uk/")</f>
        <v>http://iapdeathsincustody.independent.gov.uk/</v>
      </c>
      <c r="K107" s="7" t="s">
        <v>611</v>
      </c>
      <c r="L107" s="7" t="s">
        <v>612</v>
      </c>
      <c r="M107" s="13" t="s">
        <v>42</v>
      </c>
      <c r="N107" s="15" t="s">
        <v>43</v>
      </c>
      <c r="O107" s="16">
        <v>30000</v>
      </c>
      <c r="P107" s="15" t="s">
        <v>52</v>
      </c>
      <c r="Q107" s="17" t="s">
        <v>100</v>
      </c>
      <c r="R107" s="7" t="s">
        <v>37</v>
      </c>
      <c r="S107" s="7" t="s">
        <v>43</v>
      </c>
      <c r="T107" s="7" t="s">
        <v>43</v>
      </c>
      <c r="U107" s="7"/>
      <c r="V107" s="7">
        <v>2018</v>
      </c>
      <c r="W107" s="7">
        <v>3</v>
      </c>
      <c r="X107" s="18">
        <v>210</v>
      </c>
      <c r="Y107" s="18">
        <v>0</v>
      </c>
      <c r="Z107" s="18">
        <v>210</v>
      </c>
      <c r="AA107" s="18">
        <v>210</v>
      </c>
      <c r="AB107" s="18">
        <v>0</v>
      </c>
      <c r="AC107" s="18">
        <v>0</v>
      </c>
      <c r="AD107" s="7"/>
      <c r="AE107" s="7"/>
      <c r="AF107" s="7"/>
      <c r="AG107" s="7"/>
      <c r="AH107" s="7"/>
      <c r="AI107" s="7"/>
      <c r="AJ107" s="7"/>
      <c r="AK107" s="7"/>
      <c r="AL107" s="7"/>
      <c r="AM107" s="7"/>
      <c r="AN107" s="7"/>
      <c r="AO107" s="7"/>
      <c r="AP107" s="7"/>
      <c r="AQ107" s="7"/>
      <c r="AR107" s="7"/>
      <c r="AS107" s="7"/>
      <c r="AT107" s="7"/>
      <c r="AU107" s="7"/>
      <c r="AV107" s="7"/>
      <c r="AW107" s="7"/>
      <c r="AX107" s="7"/>
      <c r="AY107" s="7"/>
      <c r="AZ107" s="7"/>
    </row>
    <row r="108" spans="1:52" ht="63" customHeight="1">
      <c r="A108" s="20" t="s">
        <v>613</v>
      </c>
      <c r="B108" s="7">
        <v>1</v>
      </c>
      <c r="C108" s="7" t="s">
        <v>79</v>
      </c>
      <c r="D108" s="7" t="s">
        <v>36</v>
      </c>
      <c r="E108" s="7" t="s">
        <v>37</v>
      </c>
      <c r="F108" s="7" t="s">
        <v>614</v>
      </c>
      <c r="G108" s="7">
        <v>2002</v>
      </c>
      <c r="H108" s="7" t="s">
        <v>615</v>
      </c>
      <c r="I108" s="14" t="str">
        <f>HYPERLINK("mailto:reviewappealsteam@rpa.gov.uk","reviewappealsteam@rpa.gov.uk")</f>
        <v>reviewappealsteam@rpa.gov.uk</v>
      </c>
      <c r="J108" s="14" t="str">
        <f>HYPERLINK("https://www.gov.uk/government /organisations/rural-payments-agency","https://www.gov.uk/government
/organisations/rural-payments-agency")</f>
        <v>https://www.gov.uk/government
/organisations/rural-payments-agency</v>
      </c>
      <c r="K108" s="7" t="s">
        <v>616</v>
      </c>
      <c r="L108" s="7" t="s">
        <v>617</v>
      </c>
      <c r="M108" s="27" t="s">
        <v>71</v>
      </c>
      <c r="N108" s="15" t="s">
        <v>43</v>
      </c>
      <c r="O108" s="16">
        <v>179</v>
      </c>
      <c r="P108" s="15" t="s">
        <v>44</v>
      </c>
      <c r="Q108" s="15"/>
      <c r="R108" s="7" t="s">
        <v>37</v>
      </c>
      <c r="S108" s="7" t="s">
        <v>37</v>
      </c>
      <c r="T108" s="7" t="s">
        <v>43</v>
      </c>
      <c r="U108" s="7" t="s">
        <v>54</v>
      </c>
      <c r="V108" s="7">
        <v>2017</v>
      </c>
      <c r="W108" s="7">
        <v>3</v>
      </c>
      <c r="X108" s="18">
        <v>0</v>
      </c>
      <c r="Y108" s="18">
        <v>0</v>
      </c>
      <c r="Z108" s="18">
        <v>0</v>
      </c>
      <c r="AA108" s="18">
        <v>0</v>
      </c>
      <c r="AB108" s="18">
        <v>0</v>
      </c>
      <c r="AC108" s="18">
        <v>0</v>
      </c>
      <c r="AD108" s="7"/>
      <c r="AE108" s="7"/>
      <c r="AF108" s="7"/>
      <c r="AG108" s="7"/>
      <c r="AH108" s="7"/>
      <c r="AI108" s="7"/>
      <c r="AJ108" s="7"/>
      <c r="AK108" s="7"/>
      <c r="AL108" s="7"/>
      <c r="AM108" s="7"/>
      <c r="AN108" s="7"/>
      <c r="AO108" s="7"/>
      <c r="AP108" s="7"/>
      <c r="AQ108" s="7"/>
      <c r="AR108" s="7"/>
      <c r="AS108" s="7"/>
      <c r="AT108" s="7"/>
      <c r="AU108" s="7"/>
      <c r="AV108" s="7"/>
      <c r="AW108" s="7"/>
      <c r="AX108" s="7"/>
      <c r="AY108" s="7"/>
      <c r="AZ108" s="7"/>
    </row>
    <row r="109" spans="1:52" ht="63" customHeight="1">
      <c r="A109" s="20" t="s">
        <v>618</v>
      </c>
      <c r="B109" s="7">
        <v>1</v>
      </c>
      <c r="C109" s="7" t="s">
        <v>309</v>
      </c>
      <c r="D109" s="7" t="s">
        <v>95</v>
      </c>
      <c r="E109" s="7" t="s">
        <v>37</v>
      </c>
      <c r="F109" s="7" t="s">
        <v>619</v>
      </c>
      <c r="G109" s="7">
        <v>2011</v>
      </c>
      <c r="H109" s="7"/>
      <c r="I109" s="14" t="str">
        <f>HYPERLINK("mailto:ICAI-Enquiries@icai.independent.gov.uk","ICAI-Enquiries@icai.independent.gov.uk")</f>
        <v>ICAI-Enquiries@icai.independent.gov.uk</v>
      </c>
      <c r="J109" s="14" t="str">
        <f>HYPERLINK("https://icai.independent.gov.uk/","https://icai.independent.gov.uk/")</f>
        <v>https://icai.independent.gov.uk/</v>
      </c>
      <c r="K109" s="7" t="s">
        <v>620</v>
      </c>
      <c r="L109" s="44" t="s">
        <v>621</v>
      </c>
      <c r="M109" s="13" t="s">
        <v>42</v>
      </c>
      <c r="N109" s="15" t="s">
        <v>43</v>
      </c>
      <c r="O109" s="16">
        <v>97000</v>
      </c>
      <c r="P109" s="15" t="s">
        <v>52</v>
      </c>
      <c r="Q109" s="15" t="s">
        <v>374</v>
      </c>
      <c r="R109" s="7" t="s">
        <v>37</v>
      </c>
      <c r="S109" s="7" t="s">
        <v>43</v>
      </c>
      <c r="T109" s="7" t="s">
        <v>43</v>
      </c>
      <c r="U109" s="7" t="s">
        <v>46</v>
      </c>
      <c r="V109" s="7">
        <v>2017</v>
      </c>
      <c r="W109" s="7">
        <v>10</v>
      </c>
      <c r="X109" s="18">
        <v>987</v>
      </c>
      <c r="Y109" s="18">
        <v>0</v>
      </c>
      <c r="Z109" s="18">
        <v>987</v>
      </c>
      <c r="AA109" s="18">
        <v>0</v>
      </c>
      <c r="AB109" s="18">
        <v>0</v>
      </c>
      <c r="AC109" s="18">
        <v>987</v>
      </c>
      <c r="AD109" s="7"/>
      <c r="AE109" s="13" t="s">
        <v>56</v>
      </c>
      <c r="AF109" s="7"/>
      <c r="AG109" s="7"/>
      <c r="AH109" s="7"/>
      <c r="AI109" s="7"/>
      <c r="AJ109" s="7"/>
      <c r="AK109" s="7"/>
      <c r="AL109" s="7"/>
      <c r="AM109" s="7"/>
      <c r="AN109" s="7"/>
      <c r="AO109" s="7"/>
      <c r="AP109" s="7"/>
      <c r="AQ109" s="7"/>
      <c r="AR109" s="7"/>
      <c r="AS109" s="7"/>
      <c r="AT109" s="7"/>
      <c r="AU109" s="7"/>
      <c r="AV109" s="7"/>
      <c r="AW109" s="7"/>
      <c r="AX109" s="7"/>
      <c r="AY109" s="7"/>
      <c r="AZ109" s="7"/>
    </row>
    <row r="110" spans="1:52" ht="63" customHeight="1">
      <c r="A110" s="20" t="s">
        <v>622</v>
      </c>
      <c r="B110" s="7">
        <v>1</v>
      </c>
      <c r="C110" s="7" t="s">
        <v>206</v>
      </c>
      <c r="D110" s="7" t="s">
        <v>36</v>
      </c>
      <c r="E110" s="7" t="s">
        <v>37</v>
      </c>
      <c r="F110" s="7" t="s">
        <v>623</v>
      </c>
      <c r="G110" s="7">
        <v>2018</v>
      </c>
      <c r="H110" s="7"/>
      <c r="I110" s="14" t="str">
        <f>HYPERLINK("mailto:ContactICCAN@iccan.gov.uk","ContactICCAN@iccan.gov.uk")</f>
        <v>ContactICCAN@iccan.gov.uk</v>
      </c>
      <c r="J110" s="14" t="str">
        <f>HYPERLINK("https://iccan.gov.uk/","https://iccan.gov.uk/")</f>
        <v>https://iccan.gov.uk/</v>
      </c>
      <c r="K110" s="7" t="s">
        <v>624</v>
      </c>
      <c r="L110" s="27" t="s">
        <v>625</v>
      </c>
      <c r="M110" s="7" t="s">
        <v>42</v>
      </c>
      <c r="N110" s="15" t="s">
        <v>43</v>
      </c>
      <c r="O110" s="16">
        <v>630</v>
      </c>
      <c r="P110" s="15" t="s">
        <v>44</v>
      </c>
      <c r="Q110" s="15" t="s">
        <v>626</v>
      </c>
      <c r="R110" s="7" t="s">
        <v>37</v>
      </c>
      <c r="S110" s="7" t="s">
        <v>37</v>
      </c>
      <c r="T110" s="7" t="s">
        <v>43</v>
      </c>
      <c r="U110" s="7" t="s">
        <v>46</v>
      </c>
      <c r="V110" s="7"/>
      <c r="W110" s="27">
        <v>14</v>
      </c>
      <c r="X110" s="18">
        <v>0</v>
      </c>
      <c r="Y110" s="18">
        <v>0</v>
      </c>
      <c r="Z110" s="18">
        <v>0</v>
      </c>
      <c r="AA110" s="18">
        <v>0</v>
      </c>
      <c r="AB110" s="18">
        <v>0</v>
      </c>
      <c r="AC110" s="18">
        <v>44</v>
      </c>
      <c r="AD110" s="7"/>
      <c r="AE110" s="13" t="s">
        <v>56</v>
      </c>
      <c r="AF110" s="7"/>
      <c r="AG110" s="7"/>
      <c r="AH110" s="7"/>
      <c r="AI110" s="7"/>
      <c r="AJ110" s="7"/>
      <c r="AK110" s="7"/>
      <c r="AL110" s="7"/>
      <c r="AM110" s="7"/>
      <c r="AN110" s="7"/>
      <c r="AO110" s="7"/>
      <c r="AP110" s="7"/>
      <c r="AQ110" s="7"/>
      <c r="AR110" s="7"/>
      <c r="AS110" s="7"/>
      <c r="AT110" s="7"/>
      <c r="AU110" s="7"/>
      <c r="AV110" s="7"/>
      <c r="AW110" s="7"/>
      <c r="AX110" s="7"/>
      <c r="AY110" s="7"/>
      <c r="AZ110" s="7"/>
    </row>
    <row r="111" spans="1:52" ht="63" customHeight="1">
      <c r="A111" s="20" t="s">
        <v>627</v>
      </c>
      <c r="B111" s="7">
        <v>1</v>
      </c>
      <c r="C111" s="7" t="s">
        <v>65</v>
      </c>
      <c r="D111" s="7" t="s">
        <v>95</v>
      </c>
      <c r="E111" s="7" t="s">
        <v>37</v>
      </c>
      <c r="F111" s="13" t="s">
        <v>628</v>
      </c>
      <c r="G111" s="7">
        <v>2010</v>
      </c>
      <c r="H111" s="7"/>
      <c r="I111" s="14" t="str">
        <f>HYPERLINK("mailto:AF-Compensation-Policy@mod.gov.uk","AF-Compensation-Policy@mod.gov.uk")</f>
        <v>AF-Compensation-Policy@mod.gov.uk</v>
      </c>
      <c r="J111" s="14" t="str">
        <f>HYPERLINK("https://www.gov.uk/government/organsiations/independent-medical-expert-group","https://www.gov.uk/government/organsiations/independent-medical-expert-group")</f>
        <v>https://www.gov.uk/government/organsiations/independent-medical-expert-group</v>
      </c>
      <c r="K111" s="7" t="s">
        <v>629</v>
      </c>
      <c r="L111" s="27" t="s">
        <v>630</v>
      </c>
      <c r="M111" s="13" t="s">
        <v>71</v>
      </c>
      <c r="N111" s="15" t="s">
        <v>37</v>
      </c>
      <c r="O111" s="16"/>
      <c r="P111" s="15"/>
      <c r="Q111" s="17" t="s">
        <v>631</v>
      </c>
      <c r="R111" s="7" t="s">
        <v>37</v>
      </c>
      <c r="S111" s="7" t="s">
        <v>37</v>
      </c>
      <c r="T111" s="7" t="s">
        <v>43</v>
      </c>
      <c r="U111" s="7"/>
      <c r="V111" s="7">
        <v>2015</v>
      </c>
      <c r="W111" s="7">
        <v>0</v>
      </c>
      <c r="X111" s="18">
        <v>0</v>
      </c>
      <c r="Y111" s="18">
        <v>0</v>
      </c>
      <c r="Z111" s="18">
        <v>0</v>
      </c>
      <c r="AA111" s="18">
        <v>0</v>
      </c>
      <c r="AB111" s="18">
        <v>0</v>
      </c>
      <c r="AC111" s="18">
        <v>0</v>
      </c>
      <c r="AD111" s="7"/>
      <c r="AE111" s="13" t="s">
        <v>56</v>
      </c>
      <c r="AF111" s="7"/>
      <c r="AG111" s="7"/>
      <c r="AH111" s="7"/>
      <c r="AI111" s="7"/>
      <c r="AJ111" s="7"/>
      <c r="AK111" s="7"/>
      <c r="AL111" s="7"/>
      <c r="AM111" s="7"/>
      <c r="AN111" s="7"/>
      <c r="AO111" s="7"/>
      <c r="AP111" s="7"/>
      <c r="AQ111" s="7"/>
      <c r="AR111" s="7"/>
      <c r="AS111" s="7"/>
      <c r="AT111" s="7"/>
      <c r="AU111" s="7"/>
      <c r="AV111" s="7"/>
      <c r="AW111" s="7"/>
      <c r="AX111" s="7"/>
      <c r="AY111" s="7"/>
      <c r="AZ111" s="7"/>
    </row>
    <row r="112" spans="1:52" ht="63" customHeight="1">
      <c r="A112" s="20" t="s">
        <v>632</v>
      </c>
      <c r="B112" s="7">
        <v>1</v>
      </c>
      <c r="C112" s="7" t="s">
        <v>133</v>
      </c>
      <c r="D112" s="7" t="s">
        <v>95</v>
      </c>
      <c r="E112" s="7" t="s">
        <v>43</v>
      </c>
      <c r="F112" s="7" t="s">
        <v>633</v>
      </c>
      <c r="G112" s="7">
        <v>2018</v>
      </c>
      <c r="H112" s="7"/>
      <c r="I112" s="14" t="s">
        <v>634</v>
      </c>
      <c r="J112" s="14" t="str">
        <f>HYPERLINK("https://www.policeconduct.gov.uk/","https://www.policeconduct.gov.uk/")</f>
        <v>https://www.policeconduct.gov.uk/</v>
      </c>
      <c r="K112" s="7" t="s">
        <v>635</v>
      </c>
      <c r="L112" s="7" t="s">
        <v>636</v>
      </c>
      <c r="M112" s="13" t="s">
        <v>71</v>
      </c>
      <c r="N112" s="15" t="s">
        <v>43</v>
      </c>
      <c r="O112" s="16">
        <v>175000</v>
      </c>
      <c r="P112" s="15" t="s">
        <v>52</v>
      </c>
      <c r="Q112" s="15" t="s">
        <v>374</v>
      </c>
      <c r="R112" s="7" t="s">
        <v>37</v>
      </c>
      <c r="S112" s="7" t="s">
        <v>43</v>
      </c>
      <c r="T112" s="7" t="s">
        <v>43</v>
      </c>
      <c r="U112" s="7" t="s">
        <v>46</v>
      </c>
      <c r="V112" s="7">
        <v>2015</v>
      </c>
      <c r="W112" s="7">
        <v>982</v>
      </c>
      <c r="X112" s="18">
        <v>70645</v>
      </c>
      <c r="Y112" s="18">
        <v>300</v>
      </c>
      <c r="Z112" s="18">
        <v>70945</v>
      </c>
      <c r="AA112" s="18">
        <v>76665</v>
      </c>
      <c r="AB112" s="18">
        <v>715</v>
      </c>
      <c r="AC112" s="18">
        <v>0</v>
      </c>
      <c r="AD112" s="7" t="s">
        <v>637</v>
      </c>
      <c r="AE112" s="13" t="s">
        <v>56</v>
      </c>
      <c r="AF112" s="7"/>
      <c r="AG112" s="7"/>
      <c r="AH112" s="7"/>
      <c r="AI112" s="7"/>
      <c r="AJ112" s="7"/>
      <c r="AK112" s="7"/>
      <c r="AL112" s="7"/>
      <c r="AM112" s="7"/>
      <c r="AN112" s="7"/>
      <c r="AO112" s="7"/>
      <c r="AP112" s="7"/>
      <c r="AQ112" s="7"/>
      <c r="AR112" s="7"/>
      <c r="AS112" s="7"/>
      <c r="AT112" s="7"/>
      <c r="AU112" s="7"/>
      <c r="AV112" s="7"/>
      <c r="AW112" s="7"/>
      <c r="AX112" s="7"/>
      <c r="AY112" s="7"/>
      <c r="AZ112" s="7"/>
    </row>
    <row r="113" spans="1:52" ht="63" customHeight="1">
      <c r="A113" s="20" t="s">
        <v>638</v>
      </c>
      <c r="B113" s="7">
        <v>1</v>
      </c>
      <c r="C113" s="7" t="s">
        <v>58</v>
      </c>
      <c r="D113" s="7" t="s">
        <v>36</v>
      </c>
      <c r="E113" s="7" t="s">
        <v>37</v>
      </c>
      <c r="F113" s="7" t="s">
        <v>639</v>
      </c>
      <c r="G113" s="7">
        <v>2003</v>
      </c>
      <c r="H113" s="7"/>
      <c r="I113" s="14" t="str">
        <f>HYPERLINK("mailto:irpinfo@dhsc.gov.uk","irpinfo@dhsc.gov.uk")</f>
        <v>irpinfo@dhsc.gov.uk</v>
      </c>
      <c r="J113" s="14" t="str">
        <f>HYPERLINK("https://www.gov.uk/government/organisations/independent-reconfiguration-panel","https://www.gov.uk/government/organisations/independent-reconfiguration-panel")</f>
        <v>https://www.gov.uk/government/organisations/independent-reconfiguration-panel</v>
      </c>
      <c r="K113" s="7" t="s">
        <v>640</v>
      </c>
      <c r="L113" s="7" t="s">
        <v>641</v>
      </c>
      <c r="M113" s="7" t="s">
        <v>42</v>
      </c>
      <c r="N113" s="15" t="s">
        <v>43</v>
      </c>
      <c r="O113" s="16">
        <v>36780</v>
      </c>
      <c r="P113" s="15" t="s">
        <v>52</v>
      </c>
      <c r="Q113" s="17" t="s">
        <v>642</v>
      </c>
      <c r="R113" s="7" t="s">
        <v>43</v>
      </c>
      <c r="S113" s="7" t="s">
        <v>43</v>
      </c>
      <c r="T113" s="7" t="s">
        <v>43</v>
      </c>
      <c r="U113" s="7" t="s">
        <v>54</v>
      </c>
      <c r="V113" s="7">
        <v>2015</v>
      </c>
      <c r="W113" s="7">
        <v>1.5</v>
      </c>
      <c r="X113" s="18">
        <v>0</v>
      </c>
      <c r="Y113" s="18">
        <v>0</v>
      </c>
      <c r="Z113" s="18">
        <v>0</v>
      </c>
      <c r="AA113" s="18">
        <v>99</v>
      </c>
      <c r="AB113" s="18">
        <v>0</v>
      </c>
      <c r="AC113" s="18">
        <v>0</v>
      </c>
      <c r="AD113" s="7"/>
      <c r="AE113" s="13" t="s">
        <v>56</v>
      </c>
      <c r="AF113" s="7"/>
      <c r="AG113" s="7"/>
      <c r="AH113" s="7"/>
      <c r="AI113" s="7"/>
      <c r="AJ113" s="7"/>
      <c r="AK113" s="7"/>
      <c r="AL113" s="7"/>
      <c r="AM113" s="7"/>
      <c r="AN113" s="7"/>
      <c r="AO113" s="7"/>
      <c r="AP113" s="7"/>
      <c r="AQ113" s="7"/>
      <c r="AR113" s="7"/>
      <c r="AS113" s="7"/>
      <c r="AT113" s="7"/>
      <c r="AU113" s="7"/>
      <c r="AV113" s="7"/>
      <c r="AW113" s="7"/>
      <c r="AX113" s="7"/>
      <c r="AY113" s="7"/>
      <c r="AZ113" s="7"/>
    </row>
    <row r="114" spans="1:52" ht="63" customHeight="1">
      <c r="A114" s="20" t="s">
        <v>643</v>
      </c>
      <c r="B114" s="7">
        <v>1</v>
      </c>
      <c r="C114" s="7" t="s">
        <v>512</v>
      </c>
      <c r="D114" s="7" t="s">
        <v>36</v>
      </c>
      <c r="E114" s="7" t="s">
        <v>43</v>
      </c>
      <c r="F114" s="13" t="s">
        <v>644</v>
      </c>
      <c r="G114" s="7">
        <v>1948</v>
      </c>
      <c r="H114" s="7"/>
      <c r="I114" s="14" t="s">
        <v>645</v>
      </c>
      <c r="J114" s="14" t="str">
        <f>HYPERLINK("http://www.gov.uk/iiac","http://www.gov.uk/iiac")</f>
        <v>http://www.gov.uk/iiac</v>
      </c>
      <c r="K114" s="7" t="s">
        <v>646</v>
      </c>
      <c r="L114" s="7" t="s">
        <v>647</v>
      </c>
      <c r="M114" s="7" t="s">
        <v>42</v>
      </c>
      <c r="N114" s="15" t="s">
        <v>43</v>
      </c>
      <c r="O114" s="16">
        <v>15000</v>
      </c>
      <c r="P114" s="15" t="s">
        <v>52</v>
      </c>
      <c r="Q114" s="15" t="s">
        <v>648</v>
      </c>
      <c r="R114" s="7" t="s">
        <v>43</v>
      </c>
      <c r="S114" s="7" t="s">
        <v>43</v>
      </c>
      <c r="T114" s="7" t="s">
        <v>43</v>
      </c>
      <c r="U114" s="7" t="s">
        <v>46</v>
      </c>
      <c r="V114" s="7">
        <v>2015</v>
      </c>
      <c r="W114" s="7">
        <v>2.1</v>
      </c>
      <c r="X114" s="18">
        <v>0</v>
      </c>
      <c r="Y114" s="18">
        <v>0</v>
      </c>
      <c r="Z114" s="18">
        <v>0</v>
      </c>
      <c r="AA114" s="18">
        <v>0</v>
      </c>
      <c r="AB114" s="18">
        <v>0</v>
      </c>
      <c r="AC114" s="18">
        <v>0</v>
      </c>
      <c r="AD114" s="7" t="s">
        <v>46</v>
      </c>
      <c r="AE114" s="7"/>
      <c r="AF114" s="7"/>
      <c r="AG114" s="7"/>
      <c r="AH114" s="7"/>
      <c r="AI114" s="7"/>
      <c r="AJ114" s="7"/>
      <c r="AK114" s="7"/>
      <c r="AL114" s="7"/>
      <c r="AM114" s="7"/>
      <c r="AN114" s="7"/>
      <c r="AO114" s="7"/>
      <c r="AP114" s="7"/>
      <c r="AQ114" s="7"/>
      <c r="AR114" s="7"/>
      <c r="AS114" s="7"/>
      <c r="AT114" s="7"/>
      <c r="AU114" s="7"/>
      <c r="AV114" s="7"/>
      <c r="AW114" s="7"/>
      <c r="AX114" s="7"/>
      <c r="AY114" s="7"/>
      <c r="AZ114" s="7"/>
    </row>
    <row r="115" spans="1:52" ht="63" customHeight="1">
      <c r="A115" s="12" t="s">
        <v>649</v>
      </c>
      <c r="B115" s="7">
        <v>1</v>
      </c>
      <c r="C115" s="7" t="s">
        <v>122</v>
      </c>
      <c r="D115" s="7" t="s">
        <v>95</v>
      </c>
      <c r="E115" s="7" t="s">
        <v>43</v>
      </c>
      <c r="F115" s="7" t="s">
        <v>650</v>
      </c>
      <c r="G115" s="7">
        <v>1984</v>
      </c>
      <c r="H115" s="7"/>
      <c r="I115" s="14" t="str">
        <f>HYPERLINK("mailto:casework@ico.org.uk","casework@ico.org.uk")</f>
        <v>casework@ico.org.uk</v>
      </c>
      <c r="J115" s="14" t="s">
        <v>651</v>
      </c>
      <c r="K115" s="7" t="s">
        <v>652</v>
      </c>
      <c r="L115" s="7" t="s">
        <v>653</v>
      </c>
      <c r="M115" s="27" t="s">
        <v>42</v>
      </c>
      <c r="N115" s="15" t="s">
        <v>43</v>
      </c>
      <c r="O115" s="16">
        <v>160000</v>
      </c>
      <c r="P115" s="15" t="s">
        <v>52</v>
      </c>
      <c r="Q115" s="7" t="s">
        <v>374</v>
      </c>
      <c r="R115" s="7" t="s">
        <v>37</v>
      </c>
      <c r="S115" s="7" t="s">
        <v>43</v>
      </c>
      <c r="T115" s="7" t="s">
        <v>43</v>
      </c>
      <c r="U115" s="7" t="s">
        <v>654</v>
      </c>
      <c r="V115" s="7">
        <v>2018</v>
      </c>
      <c r="W115" s="7">
        <v>679.7</v>
      </c>
      <c r="X115" s="18">
        <v>2896</v>
      </c>
      <c r="Y115" s="18">
        <v>39980</v>
      </c>
      <c r="Z115" s="18">
        <f>(X115+Y115)</f>
        <v>42876</v>
      </c>
      <c r="AA115" s="18">
        <v>3444</v>
      </c>
      <c r="AB115" s="18">
        <v>647</v>
      </c>
      <c r="AC115" s="18">
        <v>105</v>
      </c>
      <c r="AD115" s="7"/>
      <c r="AE115" s="7"/>
      <c r="AF115" s="7"/>
      <c r="AG115" s="7"/>
      <c r="AH115" s="7"/>
      <c r="AI115" s="7"/>
      <c r="AJ115" s="7"/>
      <c r="AK115" s="7"/>
      <c r="AL115" s="7"/>
      <c r="AM115" s="7"/>
      <c r="AN115" s="7"/>
      <c r="AO115" s="7"/>
      <c r="AP115" s="7"/>
      <c r="AQ115" s="7"/>
      <c r="AR115" s="7"/>
      <c r="AS115" s="7"/>
      <c r="AT115" s="7"/>
      <c r="AU115" s="7"/>
      <c r="AV115" s="7"/>
      <c r="AW115" s="7"/>
      <c r="AX115" s="7"/>
      <c r="AY115" s="7"/>
      <c r="AZ115" s="7"/>
    </row>
    <row r="116" spans="1:52" ht="63" customHeight="1">
      <c r="A116" s="12" t="s">
        <v>655</v>
      </c>
      <c r="B116" s="7">
        <v>1</v>
      </c>
      <c r="C116" s="7" t="s">
        <v>89</v>
      </c>
      <c r="D116" s="7" t="s">
        <v>95</v>
      </c>
      <c r="E116" s="7" t="s">
        <v>37</v>
      </c>
      <c r="F116" s="7" t="s">
        <v>656</v>
      </c>
      <c r="G116" s="7">
        <v>1976</v>
      </c>
      <c r="H116" s="7"/>
      <c r="I116" s="13" t="s">
        <v>657</v>
      </c>
      <c r="J116" s="14" t="str">
        <f>HYPERLINK("https://www.gov.uk/government/organisations/insolvency-rules-committee","https://www.gov.uk/government/organisations/insolvency-rules-committee")</f>
        <v>https://www.gov.uk/government/organisations/insolvency-rules-committee</v>
      </c>
      <c r="K116" s="7" t="s">
        <v>658</v>
      </c>
      <c r="L116" s="7" t="s">
        <v>659</v>
      </c>
      <c r="M116" s="7" t="s">
        <v>71</v>
      </c>
      <c r="N116" s="15" t="s">
        <v>37</v>
      </c>
      <c r="O116" s="16"/>
      <c r="P116" s="7"/>
      <c r="Q116" s="44" t="s">
        <v>660</v>
      </c>
      <c r="R116" s="7" t="s">
        <v>37</v>
      </c>
      <c r="S116" s="7" t="s">
        <v>37</v>
      </c>
      <c r="T116" s="7" t="s">
        <v>37</v>
      </c>
      <c r="U116" s="7" t="s">
        <v>46</v>
      </c>
      <c r="V116" s="7"/>
      <c r="W116" s="7">
        <v>0</v>
      </c>
      <c r="X116" s="18">
        <v>0</v>
      </c>
      <c r="Y116" s="18">
        <v>0</v>
      </c>
      <c r="Z116" s="18">
        <v>0</v>
      </c>
      <c r="AA116" s="18">
        <v>0</v>
      </c>
      <c r="AB116" s="18">
        <v>0</v>
      </c>
      <c r="AC116" s="18">
        <v>0</v>
      </c>
      <c r="AD116" s="7"/>
      <c r="AE116" s="7"/>
      <c r="AF116" s="7"/>
      <c r="AG116" s="7"/>
      <c r="AH116" s="7"/>
      <c r="AI116" s="7"/>
      <c r="AJ116" s="7"/>
      <c r="AK116" s="7"/>
      <c r="AL116" s="7"/>
      <c r="AM116" s="7"/>
      <c r="AN116" s="7"/>
      <c r="AO116" s="7"/>
      <c r="AP116" s="7"/>
      <c r="AQ116" s="7"/>
      <c r="AR116" s="7"/>
      <c r="AS116" s="7"/>
      <c r="AT116" s="7"/>
      <c r="AU116" s="7"/>
      <c r="AV116" s="7"/>
      <c r="AW116" s="7"/>
      <c r="AX116" s="7"/>
      <c r="AY116" s="7"/>
      <c r="AZ116" s="7"/>
    </row>
    <row r="117" spans="1:52" ht="63" customHeight="1">
      <c r="A117" s="20" t="s">
        <v>661</v>
      </c>
      <c r="B117" s="7">
        <v>1</v>
      </c>
      <c r="C117" s="7" t="s">
        <v>94</v>
      </c>
      <c r="D117" s="7" t="s">
        <v>108</v>
      </c>
      <c r="E117" s="7" t="s">
        <v>56</v>
      </c>
      <c r="F117" s="7" t="s">
        <v>662</v>
      </c>
      <c r="G117" s="7">
        <v>1990</v>
      </c>
      <c r="H117" s="7"/>
      <c r="I117" s="14" t="str">
        <f>HYPERLINK("https://www.insolvencydirect.bis.gov.uk/ExternalOnlineForms/GeneralEnquiry.aspx","Contact form on website")</f>
        <v>Contact form on website</v>
      </c>
      <c r="J117" s="14" t="str">
        <f>HYPERLINK("https://www.gov.uk/government/organisations/insolvency-service","https://www.gov.uk/government/organisations/insolvency-service")</f>
        <v>https://www.gov.uk/government/organisations/insolvency-service</v>
      </c>
      <c r="K117" s="7" t="s">
        <v>97</v>
      </c>
      <c r="L117" s="7" t="s">
        <v>663</v>
      </c>
      <c r="M117" s="7" t="s">
        <v>42</v>
      </c>
      <c r="N117" s="15" t="s">
        <v>56</v>
      </c>
      <c r="O117" s="16" t="s">
        <v>664</v>
      </c>
      <c r="P117" s="15" t="s">
        <v>52</v>
      </c>
      <c r="Q117" s="15" t="s">
        <v>665</v>
      </c>
      <c r="R117" s="7" t="s">
        <v>63</v>
      </c>
      <c r="S117" s="7" t="s">
        <v>63</v>
      </c>
      <c r="T117" s="7" t="s">
        <v>56</v>
      </c>
      <c r="U117" s="7" t="s">
        <v>54</v>
      </c>
      <c r="V117" s="7">
        <v>2016</v>
      </c>
      <c r="W117" s="26">
        <v>1783</v>
      </c>
      <c r="X117" s="18">
        <v>185527</v>
      </c>
      <c r="Y117" s="18">
        <v>96471</v>
      </c>
      <c r="Z117" s="18">
        <f>(X117+Y117)</f>
        <v>281998</v>
      </c>
      <c r="AA117" s="18">
        <v>111150</v>
      </c>
      <c r="AB117" s="18">
        <v>3264</v>
      </c>
      <c r="AC117" s="18">
        <v>190584</v>
      </c>
      <c r="AD117" s="7"/>
      <c r="AE117" s="7"/>
      <c r="AF117" s="7"/>
      <c r="AG117" s="7"/>
      <c r="AH117" s="7"/>
      <c r="AI117" s="7"/>
      <c r="AJ117" s="7"/>
      <c r="AK117" s="7"/>
      <c r="AL117" s="7"/>
      <c r="AM117" s="7"/>
      <c r="AN117" s="7"/>
      <c r="AO117" s="7"/>
      <c r="AP117" s="7"/>
      <c r="AQ117" s="7"/>
      <c r="AR117" s="7"/>
      <c r="AS117" s="7"/>
      <c r="AT117" s="7"/>
      <c r="AU117" s="7"/>
      <c r="AV117" s="7"/>
      <c r="AW117" s="7"/>
      <c r="AX117" s="7"/>
      <c r="AY117" s="7"/>
      <c r="AZ117" s="7"/>
    </row>
    <row r="118" spans="1:52" ht="63" customHeight="1">
      <c r="A118" s="20" t="s">
        <v>666</v>
      </c>
      <c r="B118" s="7">
        <v>1</v>
      </c>
      <c r="C118" s="7" t="s">
        <v>334</v>
      </c>
      <c r="D118" s="7" t="s">
        <v>95</v>
      </c>
      <c r="E118" s="7" t="s">
        <v>37</v>
      </c>
      <c r="F118" s="27" t="s">
        <v>667</v>
      </c>
      <c r="G118" s="7">
        <v>2017</v>
      </c>
      <c r="H118" s="7"/>
      <c r="I118" s="14" t="str">
        <f>HYPERLINK("mailto:enquiries.ifa@education.gov.uk","enquiries.ifa@education.gov.uk")</f>
        <v>enquiries.ifa@education.gov.uk</v>
      </c>
      <c r="J118" s="14" t="str">
        <f>HYPERLINK("https://www.instituteforapprenticeships.org/","https://www.instituteforapprenticeships.org/")</f>
        <v>https://www.instituteforapprenticeships.org/</v>
      </c>
      <c r="K118" s="7" t="s">
        <v>668</v>
      </c>
      <c r="L118" s="27" t="s">
        <v>669</v>
      </c>
      <c r="M118" s="13" t="s">
        <v>42</v>
      </c>
      <c r="N118" s="15" t="s">
        <v>43</v>
      </c>
      <c r="O118" s="16">
        <v>15000</v>
      </c>
      <c r="P118" s="15" t="s">
        <v>52</v>
      </c>
      <c r="Q118" s="7"/>
      <c r="R118" s="7" t="s">
        <v>37</v>
      </c>
      <c r="S118" s="7" t="s">
        <v>43</v>
      </c>
      <c r="T118" s="7" t="s">
        <v>43</v>
      </c>
      <c r="U118" s="7" t="s">
        <v>46</v>
      </c>
      <c r="V118" s="7"/>
      <c r="W118" s="7">
        <v>142</v>
      </c>
      <c r="X118" s="18">
        <v>15781</v>
      </c>
      <c r="Y118" s="18">
        <v>376</v>
      </c>
      <c r="Z118" s="18">
        <v>16157</v>
      </c>
      <c r="AA118" s="18">
        <v>13537</v>
      </c>
      <c r="AB118" s="18">
        <v>153</v>
      </c>
      <c r="AC118" s="18">
        <v>0</v>
      </c>
      <c r="AD118" s="7" t="s">
        <v>670</v>
      </c>
      <c r="AE118" s="13" t="s">
        <v>56</v>
      </c>
      <c r="AF118" s="7"/>
      <c r="AG118" s="7"/>
      <c r="AH118" s="7"/>
      <c r="AI118" s="7"/>
      <c r="AJ118" s="7"/>
      <c r="AK118" s="7"/>
      <c r="AL118" s="7"/>
      <c r="AM118" s="7"/>
      <c r="AN118" s="7"/>
      <c r="AO118" s="7"/>
      <c r="AP118" s="7"/>
      <c r="AQ118" s="7"/>
      <c r="AR118" s="7"/>
      <c r="AS118" s="7"/>
      <c r="AT118" s="7"/>
      <c r="AU118" s="7"/>
      <c r="AV118" s="7"/>
      <c r="AW118" s="7"/>
      <c r="AX118" s="7"/>
      <c r="AY118" s="7"/>
      <c r="AZ118" s="7"/>
    </row>
    <row r="119" spans="1:52" ht="63" customHeight="1">
      <c r="A119" s="20" t="s">
        <v>671</v>
      </c>
      <c r="B119" s="7">
        <v>1</v>
      </c>
      <c r="C119" s="7" t="s">
        <v>94</v>
      </c>
      <c r="D119" s="7" t="s">
        <v>108</v>
      </c>
      <c r="E119" s="7" t="s">
        <v>63</v>
      </c>
      <c r="F119" s="7" t="s">
        <v>672</v>
      </c>
      <c r="G119" s="7">
        <v>1852</v>
      </c>
      <c r="H119" s="7" t="s">
        <v>673</v>
      </c>
      <c r="I119" s="14" t="str">
        <f>HYPERLINK("mailto:information@ipo.gov.uk","information@ipo.gov.uk")</f>
        <v>information@ipo.gov.uk</v>
      </c>
      <c r="J119" s="14" t="str">
        <f>HYPERLINK("https://www.gov.uk/government/organisations/intellectual-property-office","https://www.gov.uk/government/organisations/intellectual-property-office")</f>
        <v>https://www.gov.uk/government/organisations/intellectual-property-office</v>
      </c>
      <c r="K119" s="7" t="s">
        <v>347</v>
      </c>
      <c r="L119" s="7" t="s">
        <v>674</v>
      </c>
      <c r="M119" s="7" t="s">
        <v>42</v>
      </c>
      <c r="N119" s="15" t="s">
        <v>56</v>
      </c>
      <c r="O119" s="16">
        <v>10000</v>
      </c>
      <c r="P119" s="15" t="s">
        <v>52</v>
      </c>
      <c r="Q119" s="17" t="s">
        <v>675</v>
      </c>
      <c r="R119" s="7" t="s">
        <v>63</v>
      </c>
      <c r="S119" s="7" t="s">
        <v>56</v>
      </c>
      <c r="T119" s="7" t="s">
        <v>56</v>
      </c>
      <c r="U119" s="7" t="s">
        <v>54</v>
      </c>
      <c r="V119" s="7"/>
      <c r="W119" s="26">
        <v>1074</v>
      </c>
      <c r="X119" s="18">
        <v>0</v>
      </c>
      <c r="Y119" s="18">
        <v>99370</v>
      </c>
      <c r="Z119" s="18">
        <f>IF(SUM(Y119)&lt;&gt;0,SUM(Y119),"")</f>
        <v>99370</v>
      </c>
      <c r="AA119" s="18">
        <v>99370</v>
      </c>
      <c r="AB119" s="18">
        <v>338</v>
      </c>
      <c r="AC119" s="18">
        <v>0</v>
      </c>
      <c r="AD119" s="7" t="s">
        <v>676</v>
      </c>
      <c r="AE119" s="7"/>
      <c r="AF119" s="7"/>
      <c r="AG119" s="7"/>
      <c r="AH119" s="7"/>
      <c r="AI119" s="7"/>
      <c r="AJ119" s="7"/>
      <c r="AK119" s="7"/>
      <c r="AL119" s="7"/>
      <c r="AM119" s="7"/>
      <c r="AN119" s="7"/>
      <c r="AO119" s="7"/>
      <c r="AP119" s="7"/>
      <c r="AQ119" s="7"/>
      <c r="AR119" s="7"/>
      <c r="AS119" s="7"/>
      <c r="AT119" s="7"/>
      <c r="AU119" s="7"/>
      <c r="AV119" s="7"/>
      <c r="AW119" s="7"/>
      <c r="AX119" s="7"/>
      <c r="AY119" s="7"/>
      <c r="AZ119" s="7"/>
    </row>
    <row r="120" spans="1:52" ht="63" customHeight="1">
      <c r="A120" s="20" t="s">
        <v>677</v>
      </c>
      <c r="B120" s="7">
        <v>1</v>
      </c>
      <c r="C120" s="7" t="s">
        <v>133</v>
      </c>
      <c r="D120" s="7" t="s">
        <v>678</v>
      </c>
      <c r="E120" s="7" t="s">
        <v>37</v>
      </c>
      <c r="F120" s="7" t="s">
        <v>679</v>
      </c>
      <c r="G120" s="7">
        <v>2000</v>
      </c>
      <c r="H120" s="7"/>
      <c r="I120" s="14" t="str">
        <f>HYPERLINK("mailto:info@ipt-uk.com","info@ipt-uk.com")</f>
        <v>info@ipt-uk.com</v>
      </c>
      <c r="J120" s="14" t="str">
        <f>HYPERLINK("https://www.ipt-uk.com/","https://www.ipt-uk.com/")</f>
        <v>https://www.ipt-uk.com/</v>
      </c>
      <c r="K120" s="7" t="s">
        <v>680</v>
      </c>
      <c r="L120" s="7" t="s">
        <v>681</v>
      </c>
      <c r="M120" s="7" t="s">
        <v>42</v>
      </c>
      <c r="N120" s="15" t="s">
        <v>37</v>
      </c>
      <c r="O120" s="16"/>
      <c r="P120" s="15"/>
      <c r="Q120" s="15" t="s">
        <v>682</v>
      </c>
      <c r="R120" s="7" t="s">
        <v>37</v>
      </c>
      <c r="S120" s="7" t="s">
        <v>37</v>
      </c>
      <c r="T120" s="7" t="s">
        <v>37</v>
      </c>
      <c r="U120" s="7" t="s">
        <v>46</v>
      </c>
      <c r="V120" s="7">
        <v>2009</v>
      </c>
      <c r="W120" s="7">
        <v>5</v>
      </c>
      <c r="X120" s="18">
        <v>655</v>
      </c>
      <c r="Y120" s="18">
        <v>0</v>
      </c>
      <c r="Z120" s="18">
        <v>655</v>
      </c>
      <c r="AA120" s="18">
        <v>736</v>
      </c>
      <c r="AB120" s="18">
        <v>0</v>
      </c>
      <c r="AC120" s="18">
        <v>0</v>
      </c>
      <c r="AD120" s="7"/>
      <c r="AE120" s="7"/>
      <c r="AF120" s="7"/>
      <c r="AG120" s="7"/>
      <c r="AH120" s="7"/>
      <c r="AI120" s="7"/>
      <c r="AJ120" s="7"/>
      <c r="AK120" s="7"/>
      <c r="AL120" s="7"/>
      <c r="AM120" s="7"/>
      <c r="AN120" s="7"/>
      <c r="AO120" s="7"/>
      <c r="AP120" s="7"/>
      <c r="AQ120" s="7"/>
      <c r="AR120" s="7"/>
      <c r="AS120" s="7"/>
      <c r="AT120" s="7"/>
      <c r="AU120" s="7"/>
      <c r="AV120" s="7"/>
      <c r="AW120" s="7"/>
      <c r="AX120" s="7"/>
      <c r="AY120" s="7"/>
      <c r="AZ120" s="7"/>
    </row>
    <row r="121" spans="1:52" ht="63" customHeight="1">
      <c r="A121" s="20" t="s">
        <v>683</v>
      </c>
      <c r="B121" s="7">
        <v>1</v>
      </c>
      <c r="C121" s="7" t="s">
        <v>79</v>
      </c>
      <c r="D121" s="7" t="s">
        <v>95</v>
      </c>
      <c r="E121" s="7" t="s">
        <v>37</v>
      </c>
      <c r="F121" s="7" t="s">
        <v>684</v>
      </c>
      <c r="G121" s="7">
        <v>1990</v>
      </c>
      <c r="H121" s="7"/>
      <c r="I121" s="14" t="str">
        <f>HYPERLINK("mailto:comment@jncc.gov.uk","comment@jncc.gov.uk")</f>
        <v>comment@jncc.gov.uk</v>
      </c>
      <c r="J121" s="14" t="str">
        <f>HYPERLINK("http://jncc.defra.gov.uk/","http://jncc.defra.gov.uk/")</f>
        <v>http://jncc.defra.gov.uk/</v>
      </c>
      <c r="K121" s="7" t="s">
        <v>685</v>
      </c>
      <c r="L121" s="7" t="s">
        <v>686</v>
      </c>
      <c r="M121" s="13" t="s">
        <v>42</v>
      </c>
      <c r="N121" s="15" t="s">
        <v>43</v>
      </c>
      <c r="O121" s="16">
        <v>40059</v>
      </c>
      <c r="P121" s="15" t="s">
        <v>52</v>
      </c>
      <c r="Q121" s="7" t="s">
        <v>687</v>
      </c>
      <c r="R121" s="7" t="s">
        <v>43</v>
      </c>
      <c r="S121" s="7" t="s">
        <v>43</v>
      </c>
      <c r="T121" s="7" t="s">
        <v>43</v>
      </c>
      <c r="U121" s="7" t="s">
        <v>54</v>
      </c>
      <c r="V121" s="7">
        <v>2016</v>
      </c>
      <c r="W121" s="39">
        <v>200.25</v>
      </c>
      <c r="X121" s="18">
        <v>11565</v>
      </c>
      <c r="Y121" s="18">
        <v>789</v>
      </c>
      <c r="Z121" s="18">
        <v>12354</v>
      </c>
      <c r="AA121" s="18">
        <v>13062</v>
      </c>
      <c r="AB121" s="18">
        <v>87</v>
      </c>
      <c r="AC121" s="18">
        <v>1</v>
      </c>
      <c r="AD121" s="7"/>
      <c r="AE121" s="7"/>
      <c r="AF121" s="7"/>
      <c r="AG121" s="7"/>
      <c r="AH121" s="7"/>
      <c r="AI121" s="7"/>
      <c r="AJ121" s="7"/>
      <c r="AK121" s="7"/>
      <c r="AL121" s="7"/>
      <c r="AM121" s="7"/>
      <c r="AN121" s="7"/>
      <c r="AO121" s="7"/>
      <c r="AP121" s="7"/>
      <c r="AQ121" s="7"/>
      <c r="AR121" s="7"/>
      <c r="AS121" s="7"/>
      <c r="AT121" s="7"/>
      <c r="AU121" s="7"/>
      <c r="AV121" s="7"/>
      <c r="AW121" s="7"/>
      <c r="AX121" s="7"/>
      <c r="AY121" s="7"/>
      <c r="AZ121" s="7"/>
    </row>
    <row r="122" spans="1:52" ht="63" customHeight="1">
      <c r="A122" s="20" t="s">
        <v>688</v>
      </c>
      <c r="B122" s="7">
        <v>1</v>
      </c>
      <c r="C122" s="7" t="s">
        <v>89</v>
      </c>
      <c r="D122" s="7" t="s">
        <v>95</v>
      </c>
      <c r="E122" s="7" t="s">
        <v>37</v>
      </c>
      <c r="F122" s="7" t="s">
        <v>689</v>
      </c>
      <c r="G122" s="7">
        <v>2006</v>
      </c>
      <c r="H122" s="7"/>
      <c r="I122" s="14" t="s">
        <v>690</v>
      </c>
      <c r="J122" s="14" t="s">
        <v>691</v>
      </c>
      <c r="K122" s="7" t="s">
        <v>692</v>
      </c>
      <c r="L122" s="7" t="s">
        <v>693</v>
      </c>
      <c r="M122" s="7" t="s">
        <v>71</v>
      </c>
      <c r="N122" s="15" t="s">
        <v>43</v>
      </c>
      <c r="O122" s="16" t="s">
        <v>694</v>
      </c>
      <c r="P122" s="15" t="s">
        <v>52</v>
      </c>
      <c r="Q122" s="44" t="s">
        <v>193</v>
      </c>
      <c r="R122" s="7" t="s">
        <v>37</v>
      </c>
      <c r="S122" s="7" t="s">
        <v>43</v>
      </c>
      <c r="T122" s="7" t="s">
        <v>43</v>
      </c>
      <c r="U122" s="7" t="s">
        <v>695</v>
      </c>
      <c r="V122" s="7">
        <v>2014</v>
      </c>
      <c r="W122" s="7">
        <v>62</v>
      </c>
      <c r="X122" s="18">
        <v>6937</v>
      </c>
      <c r="Y122" s="18">
        <v>0</v>
      </c>
      <c r="Z122" s="18">
        <v>6937</v>
      </c>
      <c r="AA122" s="18">
        <v>6687</v>
      </c>
      <c r="AB122" s="18">
        <v>0</v>
      </c>
      <c r="AC122" s="18">
        <v>0</v>
      </c>
      <c r="AD122" s="7"/>
      <c r="AE122" s="7"/>
      <c r="AF122" s="7"/>
      <c r="AG122" s="7"/>
      <c r="AH122" s="7"/>
      <c r="AI122" s="7"/>
      <c r="AJ122" s="7"/>
      <c r="AK122" s="7"/>
      <c r="AL122" s="7"/>
      <c r="AM122" s="7"/>
      <c r="AN122" s="7"/>
      <c r="AO122" s="7"/>
      <c r="AP122" s="7"/>
      <c r="AQ122" s="7"/>
      <c r="AR122" s="7"/>
      <c r="AS122" s="7"/>
      <c r="AT122" s="7"/>
      <c r="AU122" s="7"/>
      <c r="AV122" s="7"/>
      <c r="AW122" s="7"/>
      <c r="AX122" s="7"/>
      <c r="AY122" s="7"/>
      <c r="AZ122" s="7"/>
    </row>
    <row r="123" spans="1:52" ht="63" customHeight="1">
      <c r="A123" s="20" t="s">
        <v>696</v>
      </c>
      <c r="B123" s="7">
        <v>1</v>
      </c>
      <c r="C123" s="7" t="s">
        <v>94</v>
      </c>
      <c r="D123" s="7" t="s">
        <v>36</v>
      </c>
      <c r="E123" s="7" t="s">
        <v>63</v>
      </c>
      <c r="F123" s="7" t="s">
        <v>697</v>
      </c>
      <c r="G123" s="7">
        <v>2002</v>
      </c>
      <c r="H123" s="7"/>
      <c r="I123" s="14" t="str">
        <f>HYPERLINK("mailto:Carol.Gurajena@landregistry.gov.uk","Carol.Gurajena@landregistry.gov.uk")</f>
        <v>Carol.Gurajena@landregistry.gov.uk</v>
      </c>
      <c r="J123" s="14" t="str">
        <f>HYPERLINK("https://www.gov.uk/government/organisations/land-registration-rule-committee","https://www.gov.uk/government/organisations/land-registration-rule-committee")</f>
        <v>https://www.gov.uk/government/organisations/land-registration-rule-committee</v>
      </c>
      <c r="K123" s="7" t="s">
        <v>347</v>
      </c>
      <c r="L123" s="7" t="s">
        <v>698</v>
      </c>
      <c r="M123" s="7" t="s">
        <v>42</v>
      </c>
      <c r="N123" s="15" t="s">
        <v>37</v>
      </c>
      <c r="O123" s="16"/>
      <c r="P123" s="15"/>
      <c r="Q123" s="15"/>
      <c r="R123" s="7" t="s">
        <v>63</v>
      </c>
      <c r="S123" s="7" t="s">
        <v>63</v>
      </c>
      <c r="T123" s="7" t="s">
        <v>63</v>
      </c>
      <c r="U123" s="7" t="s">
        <v>46</v>
      </c>
      <c r="V123" s="7">
        <v>2015</v>
      </c>
      <c r="W123" s="7">
        <v>0</v>
      </c>
      <c r="X123" s="18">
        <v>0</v>
      </c>
      <c r="Y123" s="18">
        <v>0</v>
      </c>
      <c r="Z123" s="18">
        <v>0</v>
      </c>
      <c r="AA123" s="18">
        <v>0</v>
      </c>
      <c r="AB123" s="18">
        <v>0</v>
      </c>
      <c r="AC123" s="18">
        <v>0</v>
      </c>
      <c r="AD123" s="7"/>
      <c r="AE123" s="7"/>
      <c r="AF123" s="7"/>
      <c r="AG123" s="7"/>
      <c r="AH123" s="7"/>
      <c r="AI123" s="7"/>
      <c r="AJ123" s="7"/>
      <c r="AK123" s="7"/>
      <c r="AL123" s="7"/>
      <c r="AM123" s="7"/>
      <c r="AN123" s="7"/>
      <c r="AO123" s="7"/>
      <c r="AP123" s="7"/>
      <c r="AQ123" s="7"/>
      <c r="AR123" s="7"/>
      <c r="AS123" s="7"/>
      <c r="AT123" s="7"/>
      <c r="AU123" s="7"/>
      <c r="AV123" s="7"/>
      <c r="AW123" s="7"/>
      <c r="AX123" s="7"/>
      <c r="AY123" s="7"/>
      <c r="AZ123" s="7"/>
    </row>
    <row r="124" spans="1:52" ht="63" customHeight="1">
      <c r="A124" s="8" t="s">
        <v>699</v>
      </c>
      <c r="B124" s="7">
        <v>1</v>
      </c>
      <c r="C124" s="7" t="s">
        <v>89</v>
      </c>
      <c r="D124" s="7" t="s">
        <v>36</v>
      </c>
      <c r="E124" s="7" t="s">
        <v>37</v>
      </c>
      <c r="F124" s="7" t="s">
        <v>700</v>
      </c>
      <c r="G124" s="7">
        <v>1965</v>
      </c>
      <c r="H124" s="7"/>
      <c r="I124" s="14" t="str">
        <f>HYPERLINK("mailto:enquiries@lawcommission.gsi.gov.uk","enquiries@lawcommission.gsi.gov.uk")</f>
        <v>enquiries@lawcommission.gsi.gov.uk</v>
      </c>
      <c r="J124" s="14" t="str">
        <f>HYPERLINK("https://www.lawcom.gov.uk/","https://www.lawcom.gov.uk/")</f>
        <v>https://www.lawcom.gov.uk/</v>
      </c>
      <c r="K124" s="7" t="s">
        <v>701</v>
      </c>
      <c r="L124" s="27" t="s">
        <v>702</v>
      </c>
      <c r="M124" s="27" t="s">
        <v>42</v>
      </c>
      <c r="N124" s="15" t="s">
        <v>37</v>
      </c>
      <c r="O124" s="16"/>
      <c r="P124" s="15"/>
      <c r="Q124" s="15" t="s">
        <v>374</v>
      </c>
      <c r="R124" s="7" t="s">
        <v>37</v>
      </c>
      <c r="S124" s="7" t="s">
        <v>43</v>
      </c>
      <c r="T124" s="7" t="s">
        <v>43</v>
      </c>
      <c r="U124" s="7" t="s">
        <v>54</v>
      </c>
      <c r="V124" s="7">
        <v>2019</v>
      </c>
      <c r="W124" s="7">
        <v>55.5</v>
      </c>
      <c r="X124" s="18">
        <v>2277</v>
      </c>
      <c r="Y124" s="18">
        <v>1900</v>
      </c>
      <c r="Z124" s="18">
        <f>(X124+Y124)</f>
        <v>4177</v>
      </c>
      <c r="AA124" s="18">
        <v>4197</v>
      </c>
      <c r="AB124" s="18">
        <v>0</v>
      </c>
      <c r="AC124" s="18">
        <v>0</v>
      </c>
      <c r="AD124" s="7"/>
      <c r="AE124" s="13" t="s">
        <v>56</v>
      </c>
      <c r="AF124" s="7"/>
      <c r="AG124" s="7"/>
      <c r="AH124" s="7"/>
      <c r="AI124" s="7"/>
      <c r="AJ124" s="7"/>
      <c r="AK124" s="7"/>
      <c r="AL124" s="7"/>
      <c r="AM124" s="7"/>
      <c r="AN124" s="7"/>
      <c r="AO124" s="7"/>
      <c r="AP124" s="7"/>
      <c r="AQ124" s="7"/>
      <c r="AR124" s="7"/>
      <c r="AS124" s="7"/>
      <c r="AT124" s="7"/>
      <c r="AU124" s="7"/>
      <c r="AV124" s="7"/>
      <c r="AW124" s="7"/>
      <c r="AX124" s="7"/>
      <c r="AY124" s="7"/>
      <c r="AZ124" s="7"/>
    </row>
    <row r="125" spans="1:52" ht="63" customHeight="1">
      <c r="A125" s="20" t="s">
        <v>703</v>
      </c>
      <c r="B125" s="7">
        <v>1</v>
      </c>
      <c r="C125" s="7" t="s">
        <v>212</v>
      </c>
      <c r="D125" s="7" t="s">
        <v>95</v>
      </c>
      <c r="E125" s="7" t="s">
        <v>37</v>
      </c>
      <c r="F125" s="13" t="s">
        <v>704</v>
      </c>
      <c r="G125" s="7">
        <v>1994</v>
      </c>
      <c r="H125" s="7"/>
      <c r="I125" s="14" t="str">
        <f>HYPERLINK("mailto:info@lease-advice.org","info@lease-advice.org
")</f>
        <v xml:space="preserve">info@lease-advice.org
</v>
      </c>
      <c r="J125" s="14" t="str">
        <f>HYPERLINK("http://www.lease-advice.org","www.lease-advice.org
")</f>
        <v xml:space="preserve">www.lease-advice.org
</v>
      </c>
      <c r="K125" s="7" t="s">
        <v>705</v>
      </c>
      <c r="L125" s="27" t="s">
        <v>706</v>
      </c>
      <c r="M125" s="27" t="s">
        <v>42</v>
      </c>
      <c r="N125" s="15" t="s">
        <v>43</v>
      </c>
      <c r="O125" s="16">
        <v>654</v>
      </c>
      <c r="P125" s="15" t="s">
        <v>44</v>
      </c>
      <c r="Q125" s="17" t="s">
        <v>707</v>
      </c>
      <c r="R125" s="7" t="s">
        <v>37</v>
      </c>
      <c r="S125" s="7" t="s">
        <v>43</v>
      </c>
      <c r="T125" s="7" t="s">
        <v>43</v>
      </c>
      <c r="U125" s="7" t="s">
        <v>54</v>
      </c>
      <c r="V125" s="7">
        <v>2018</v>
      </c>
      <c r="W125" s="7">
        <v>23.1</v>
      </c>
      <c r="X125" s="18">
        <v>1596</v>
      </c>
      <c r="Y125" s="18">
        <v>30</v>
      </c>
      <c r="Z125" s="18">
        <v>1626</v>
      </c>
      <c r="AA125" s="18">
        <v>1589</v>
      </c>
      <c r="AB125" s="18">
        <v>0</v>
      </c>
      <c r="AC125" s="18">
        <v>0</v>
      </c>
      <c r="AD125" s="7"/>
      <c r="AE125" s="13" t="s">
        <v>56</v>
      </c>
      <c r="AF125" s="7"/>
      <c r="AG125" s="7"/>
      <c r="AH125" s="7"/>
      <c r="AI125" s="7"/>
      <c r="AJ125" s="7"/>
      <c r="AK125" s="7"/>
      <c r="AL125" s="7"/>
      <c r="AM125" s="7"/>
      <c r="AN125" s="7"/>
      <c r="AO125" s="7"/>
      <c r="AP125" s="7"/>
      <c r="AQ125" s="7"/>
      <c r="AR125" s="7"/>
      <c r="AS125" s="7"/>
      <c r="AT125" s="7"/>
      <c r="AU125" s="7"/>
      <c r="AV125" s="7"/>
      <c r="AW125" s="7"/>
      <c r="AX125" s="7"/>
      <c r="AY125" s="7"/>
      <c r="AZ125" s="7"/>
    </row>
    <row r="126" spans="1:52" ht="63" customHeight="1">
      <c r="A126" s="20" t="s">
        <v>708</v>
      </c>
      <c r="B126" s="7">
        <v>1</v>
      </c>
      <c r="C126" s="7" t="s">
        <v>89</v>
      </c>
      <c r="D126" s="7" t="s">
        <v>108</v>
      </c>
      <c r="E126" s="7" t="s">
        <v>37</v>
      </c>
      <c r="F126" s="27" t="s">
        <v>709</v>
      </c>
      <c r="G126" s="7">
        <v>2013</v>
      </c>
      <c r="H126" s="7"/>
      <c r="I126" s="14" t="str">
        <f>HYPERLINK("mailto:CentralisedAppeals@justice.gov.uk","CentralisedAppeals@justice.gov.uk")</f>
        <v>CentralisedAppeals@justice.gov.uk</v>
      </c>
      <c r="J126" s="14" t="str">
        <f>HYPERLINK("https://www.gov.uk/legal-aid","https://www.gov.uk/legal-aid")</f>
        <v>https://www.gov.uk/legal-aid</v>
      </c>
      <c r="K126" s="7" t="s">
        <v>710</v>
      </c>
      <c r="L126" s="27" t="s">
        <v>711</v>
      </c>
      <c r="M126" s="27" t="s">
        <v>71</v>
      </c>
      <c r="N126" s="15" t="s">
        <v>43</v>
      </c>
      <c r="O126" s="16">
        <v>97000</v>
      </c>
      <c r="P126" s="15" t="s">
        <v>52</v>
      </c>
      <c r="Q126" s="44" t="s">
        <v>46</v>
      </c>
      <c r="R126" s="7" t="s">
        <v>37</v>
      </c>
      <c r="S126" s="7" t="s">
        <v>37</v>
      </c>
      <c r="T126" s="7" t="s">
        <v>37</v>
      </c>
      <c r="U126" s="7" t="s">
        <v>54</v>
      </c>
      <c r="V126" s="7"/>
      <c r="W126" s="26">
        <v>1198</v>
      </c>
      <c r="X126" s="18">
        <v>0</v>
      </c>
      <c r="Y126" s="18">
        <v>56943</v>
      </c>
      <c r="Z126" s="18">
        <f t="shared" ref="Z126:Z127" si="4">IF(SUM(Y126)&lt;&gt;0,SUM(Y126),"")</f>
        <v>56943</v>
      </c>
      <c r="AA126" s="18">
        <v>1717675</v>
      </c>
      <c r="AB126" s="18">
        <v>4843</v>
      </c>
      <c r="AC126" s="18">
        <v>-38505</v>
      </c>
      <c r="AD126" s="7"/>
      <c r="AE126" s="7"/>
      <c r="AF126" s="7"/>
      <c r="AG126" s="7"/>
      <c r="AH126" s="7"/>
      <c r="AI126" s="7"/>
      <c r="AJ126" s="7"/>
      <c r="AK126" s="7"/>
      <c r="AL126" s="7"/>
      <c r="AM126" s="7"/>
      <c r="AN126" s="7"/>
      <c r="AO126" s="7"/>
      <c r="AP126" s="7"/>
      <c r="AQ126" s="7"/>
      <c r="AR126" s="7"/>
      <c r="AS126" s="7"/>
      <c r="AT126" s="7"/>
      <c r="AU126" s="7"/>
      <c r="AV126" s="7"/>
      <c r="AW126" s="7"/>
      <c r="AX126" s="7"/>
      <c r="AY126" s="7"/>
      <c r="AZ126" s="7"/>
    </row>
    <row r="127" spans="1:52" ht="63" customHeight="1">
      <c r="A127" s="20" t="s">
        <v>712</v>
      </c>
      <c r="B127" s="7">
        <v>1</v>
      </c>
      <c r="C127" s="7" t="s">
        <v>89</v>
      </c>
      <c r="D127" s="7" t="s">
        <v>95</v>
      </c>
      <c r="E127" s="7" t="s">
        <v>43</v>
      </c>
      <c r="F127" s="6" t="s">
        <v>713</v>
      </c>
      <c r="G127" s="7">
        <v>2009</v>
      </c>
      <c r="H127" s="7"/>
      <c r="I127" s="14" t="str">
        <f>HYPERLINK("mailto:contactus@legalservicesboard.org.uk","contactus@legalservicesboard.org.uk")</f>
        <v>contactus@legalservicesboard.org.uk</v>
      </c>
      <c r="J127" s="14" t="str">
        <f>HYPERLINK("http://www.legalservicesboard.org.uk/","http://www.legalservicesboard.org.uk/")</f>
        <v>http://www.legalservicesboard.org.uk/</v>
      </c>
      <c r="K127" s="7" t="s">
        <v>352</v>
      </c>
      <c r="L127" s="27" t="s">
        <v>714</v>
      </c>
      <c r="M127" s="27" t="s">
        <v>42</v>
      </c>
      <c r="N127" s="15" t="s">
        <v>43</v>
      </c>
      <c r="O127" s="16">
        <v>63000</v>
      </c>
      <c r="P127" s="15" t="s">
        <v>52</v>
      </c>
      <c r="Q127" s="17" t="s">
        <v>715</v>
      </c>
      <c r="R127" s="7" t="s">
        <v>37</v>
      </c>
      <c r="S127" s="7" t="s">
        <v>43</v>
      </c>
      <c r="T127" s="7" t="s">
        <v>43</v>
      </c>
      <c r="U127" s="7"/>
      <c r="V127" s="7">
        <v>2017</v>
      </c>
      <c r="W127" s="7">
        <v>33</v>
      </c>
      <c r="X127" s="18">
        <v>0</v>
      </c>
      <c r="Y127" s="18">
        <v>3798</v>
      </c>
      <c r="Z127" s="18">
        <f t="shared" si="4"/>
        <v>3798</v>
      </c>
      <c r="AA127" s="18">
        <v>3683</v>
      </c>
      <c r="AB127" s="18">
        <v>0</v>
      </c>
      <c r="AC127" s="18">
        <v>0</v>
      </c>
      <c r="AD127" s="7"/>
      <c r="AE127" s="7"/>
      <c r="AF127" s="7"/>
      <c r="AG127" s="7"/>
      <c r="AH127" s="7"/>
      <c r="AI127" s="7"/>
      <c r="AJ127" s="7"/>
      <c r="AK127" s="7"/>
      <c r="AL127" s="7"/>
      <c r="AM127" s="7"/>
      <c r="AN127" s="7"/>
      <c r="AO127" s="7"/>
      <c r="AP127" s="7"/>
      <c r="AQ127" s="7"/>
      <c r="AR127" s="7"/>
      <c r="AS127" s="7"/>
      <c r="AT127" s="7"/>
      <c r="AU127" s="7"/>
      <c r="AV127" s="7"/>
      <c r="AW127" s="7"/>
      <c r="AX127" s="7"/>
      <c r="AY127" s="7"/>
      <c r="AZ127" s="7"/>
    </row>
    <row r="128" spans="1:52" ht="63" customHeight="1">
      <c r="A128" s="12" t="s">
        <v>716</v>
      </c>
      <c r="B128" s="7">
        <v>1</v>
      </c>
      <c r="C128" s="7" t="s">
        <v>334</v>
      </c>
      <c r="D128" s="7" t="s">
        <v>95</v>
      </c>
      <c r="E128" s="7" t="s">
        <v>37</v>
      </c>
      <c r="F128" s="7" t="s">
        <v>717</v>
      </c>
      <c r="G128" s="7">
        <v>2017</v>
      </c>
      <c r="H128" s="7"/>
      <c r="I128" s="14" t="str">
        <f>HYPERLINK("mailto:info@LocatED.co.uk","info@LocatED.co.uk")</f>
        <v>info@LocatED.co.uk</v>
      </c>
      <c r="J128" s="14" t="str">
        <f>HYPERLINK("https://located.co.uk/","https://located.co.uk/")</f>
        <v>https://located.co.uk/</v>
      </c>
      <c r="K128" s="7" t="s">
        <v>718</v>
      </c>
      <c r="L128" s="27" t="s">
        <v>719</v>
      </c>
      <c r="M128" s="6" t="s">
        <v>42</v>
      </c>
      <c r="N128" s="15" t="s">
        <v>43</v>
      </c>
      <c r="O128" s="16">
        <v>25000</v>
      </c>
      <c r="P128" s="15" t="s">
        <v>52</v>
      </c>
      <c r="Q128" s="13" t="s">
        <v>560</v>
      </c>
      <c r="R128" s="7" t="s">
        <v>37</v>
      </c>
      <c r="S128" s="7" t="s">
        <v>43</v>
      </c>
      <c r="T128" s="7" t="s">
        <v>43</v>
      </c>
      <c r="U128" s="7" t="s">
        <v>46</v>
      </c>
      <c r="V128" s="7"/>
      <c r="W128" s="7">
        <v>52</v>
      </c>
      <c r="X128" s="18">
        <v>11861</v>
      </c>
      <c r="Y128" s="18">
        <v>0</v>
      </c>
      <c r="Z128" s="18">
        <v>11861</v>
      </c>
      <c r="AA128" s="18">
        <v>5761</v>
      </c>
      <c r="AB128" s="18">
        <v>6099</v>
      </c>
      <c r="AC128" s="18">
        <v>0</v>
      </c>
      <c r="AD128" s="7" t="s">
        <v>720</v>
      </c>
      <c r="AE128" s="13" t="s">
        <v>56</v>
      </c>
      <c r="AF128" s="7"/>
      <c r="AG128" s="7"/>
      <c r="AH128" s="7"/>
      <c r="AI128" s="7"/>
      <c r="AJ128" s="7"/>
      <c r="AK128" s="7"/>
      <c r="AL128" s="7"/>
      <c r="AM128" s="7"/>
      <c r="AN128" s="7"/>
      <c r="AO128" s="7"/>
      <c r="AP128" s="7"/>
      <c r="AQ128" s="7"/>
      <c r="AR128" s="7"/>
      <c r="AS128" s="7"/>
      <c r="AT128" s="7"/>
      <c r="AU128" s="7"/>
      <c r="AV128" s="7"/>
      <c r="AW128" s="7"/>
      <c r="AX128" s="7"/>
      <c r="AY128" s="7"/>
      <c r="AZ128" s="7"/>
    </row>
    <row r="129" spans="1:52" ht="63" customHeight="1">
      <c r="A129" s="20" t="s">
        <v>721</v>
      </c>
      <c r="B129" s="7">
        <v>1</v>
      </c>
      <c r="C129" s="7" t="s">
        <v>94</v>
      </c>
      <c r="D129" s="7" t="s">
        <v>95</v>
      </c>
      <c r="E129" s="7" t="s">
        <v>63</v>
      </c>
      <c r="F129" s="7" t="s">
        <v>722</v>
      </c>
      <c r="G129" s="7">
        <v>1997</v>
      </c>
      <c r="H129" s="7"/>
      <c r="I129" s="14" t="str">
        <f>HYPERLINK("mailto:lpc@lowpay.gov.uk","lpc@lowpay.gov.uk")</f>
        <v>lpc@lowpay.gov.uk</v>
      </c>
      <c r="J129" s="14" t="str">
        <f>HYPERLINK("https://www.gov.uk/government/organisations/low-pay-commission","https://www.gov.uk/government/organisations/low-pay-commission")</f>
        <v>https://www.gov.uk/government/organisations/low-pay-commission</v>
      </c>
      <c r="K129" s="7" t="s">
        <v>97</v>
      </c>
      <c r="L129" s="7" t="s">
        <v>723</v>
      </c>
      <c r="M129" s="7" t="s">
        <v>42</v>
      </c>
      <c r="N129" s="15" t="s">
        <v>56</v>
      </c>
      <c r="O129" s="16">
        <v>530.96</v>
      </c>
      <c r="P129" s="15" t="s">
        <v>44</v>
      </c>
      <c r="Q129" s="17" t="s">
        <v>724</v>
      </c>
      <c r="R129" s="7" t="s">
        <v>63</v>
      </c>
      <c r="S129" s="7" t="s">
        <v>63</v>
      </c>
      <c r="T129" s="7" t="s">
        <v>56</v>
      </c>
      <c r="U129" s="7" t="s">
        <v>46</v>
      </c>
      <c r="V129" s="7">
        <v>2013</v>
      </c>
      <c r="W129" s="7">
        <v>8</v>
      </c>
      <c r="X129" s="18">
        <v>834</v>
      </c>
      <c r="Y129" s="18">
        <v>0</v>
      </c>
      <c r="Z129" s="18">
        <v>834</v>
      </c>
      <c r="AA129" s="18">
        <v>830.60299999999995</v>
      </c>
      <c r="AB129" s="18">
        <v>0</v>
      </c>
      <c r="AC129" s="18">
        <v>0</v>
      </c>
      <c r="AD129" s="7" t="s">
        <v>185</v>
      </c>
      <c r="AE129" s="7"/>
      <c r="AF129" s="7"/>
      <c r="AG129" s="7"/>
      <c r="AH129" s="7"/>
      <c r="AI129" s="7"/>
      <c r="AJ129" s="7"/>
      <c r="AK129" s="7"/>
      <c r="AL129" s="7"/>
      <c r="AM129" s="7"/>
      <c r="AN129" s="7"/>
      <c r="AO129" s="7"/>
      <c r="AP129" s="7"/>
      <c r="AQ129" s="7"/>
      <c r="AR129" s="7"/>
      <c r="AS129" s="7"/>
      <c r="AT129" s="7"/>
      <c r="AU129" s="7"/>
      <c r="AV129" s="7"/>
      <c r="AW129" s="7"/>
      <c r="AX129" s="7"/>
      <c r="AY129" s="7"/>
      <c r="AZ129" s="7"/>
    </row>
    <row r="130" spans="1:52" ht="63" customHeight="1">
      <c r="A130" s="20" t="s">
        <v>725</v>
      </c>
      <c r="B130" s="7">
        <v>1</v>
      </c>
      <c r="C130" s="7" t="s">
        <v>79</v>
      </c>
      <c r="D130" s="7" t="s">
        <v>95</v>
      </c>
      <c r="E130" s="7" t="s">
        <v>43</v>
      </c>
      <c r="F130" s="7" t="s">
        <v>726</v>
      </c>
      <c r="G130" s="7">
        <v>2009</v>
      </c>
      <c r="H130" s="7"/>
      <c r="I130" s="14" t="str">
        <f>HYPERLINK("mailto:info@marinemanagement.org.uk","info@marinemanagement.org.uk")</f>
        <v>info@marinemanagement.org.uk</v>
      </c>
      <c r="J130" s="14" t="str">
        <f>HYPERLINK("https://www.gov.uk/government/ organisations/marine-management-organisation","https://www.gov.uk/government/
organisations/marine-management-organisation")</f>
        <v>https://www.gov.uk/government/
organisations/marine-management-organisation</v>
      </c>
      <c r="K130" s="7" t="s">
        <v>727</v>
      </c>
      <c r="L130" s="7" t="s">
        <v>728</v>
      </c>
      <c r="M130" s="13" t="s">
        <v>42</v>
      </c>
      <c r="N130" s="15" t="s">
        <v>43</v>
      </c>
      <c r="O130" s="16">
        <v>40459</v>
      </c>
      <c r="P130" s="15" t="s">
        <v>52</v>
      </c>
      <c r="Q130" s="17" t="s">
        <v>729</v>
      </c>
      <c r="R130" s="7" t="s">
        <v>37</v>
      </c>
      <c r="S130" s="7" t="s">
        <v>43</v>
      </c>
      <c r="T130" s="7" t="s">
        <v>43</v>
      </c>
      <c r="U130" s="7" t="s">
        <v>54</v>
      </c>
      <c r="V130" s="7">
        <v>2015</v>
      </c>
      <c r="W130" s="7">
        <v>317</v>
      </c>
      <c r="X130" s="18">
        <v>19834</v>
      </c>
      <c r="Y130" s="18">
        <v>8599</v>
      </c>
      <c r="Z130" s="18">
        <v>28433</v>
      </c>
      <c r="AA130" s="18">
        <v>23784</v>
      </c>
      <c r="AB130" s="18">
        <v>1864</v>
      </c>
      <c r="AC130" s="18">
        <v>0</v>
      </c>
      <c r="AD130" s="7"/>
      <c r="AE130" s="7"/>
      <c r="AF130" s="7"/>
      <c r="AG130" s="7"/>
      <c r="AH130" s="7"/>
      <c r="AI130" s="7"/>
      <c r="AJ130" s="7"/>
      <c r="AK130" s="7"/>
      <c r="AL130" s="7"/>
      <c r="AM130" s="7"/>
      <c r="AN130" s="7"/>
      <c r="AO130" s="7"/>
      <c r="AP130" s="7"/>
      <c r="AQ130" s="7"/>
      <c r="AR130" s="7"/>
      <c r="AS130" s="7"/>
      <c r="AT130" s="7"/>
      <c r="AU130" s="7"/>
      <c r="AV130" s="7"/>
      <c r="AW130" s="7"/>
      <c r="AX130" s="7"/>
      <c r="AY130" s="7"/>
      <c r="AZ130" s="7"/>
    </row>
    <row r="131" spans="1:52" ht="63" customHeight="1">
      <c r="A131" s="20" t="s">
        <v>730</v>
      </c>
      <c r="B131" s="7">
        <v>1</v>
      </c>
      <c r="C131" s="7" t="s">
        <v>206</v>
      </c>
      <c r="D131" s="7" t="s">
        <v>108</v>
      </c>
      <c r="E131" s="7" t="s">
        <v>37</v>
      </c>
      <c r="F131" s="7" t="s">
        <v>731</v>
      </c>
      <c r="G131" s="7">
        <v>1998</v>
      </c>
      <c r="H131" s="7"/>
      <c r="I131" s="14" t="str">
        <f>HYPERLINK("mailto:infoline@mcga.gov.uk","infoline@mcga.gov.uk")</f>
        <v>infoline@mcga.gov.uk</v>
      </c>
      <c r="J131" s="14" t="str">
        <f>HYPERLINK("https://www.gov.uk/government/organisations/maritime-and-coastguard-agency","www.gov.uk/mca")</f>
        <v>www.gov.uk/mca</v>
      </c>
      <c r="K131" s="7" t="s">
        <v>624</v>
      </c>
      <c r="L131" s="7" t="s">
        <v>732</v>
      </c>
      <c r="M131" s="7" t="s">
        <v>42</v>
      </c>
      <c r="N131" s="15" t="s">
        <v>43</v>
      </c>
      <c r="O131" s="16">
        <v>548</v>
      </c>
      <c r="P131" s="15" t="s">
        <v>44</v>
      </c>
      <c r="Q131" s="15" t="s">
        <v>733</v>
      </c>
      <c r="R131" s="7" t="s">
        <v>37</v>
      </c>
      <c r="S131" s="7" t="s">
        <v>37</v>
      </c>
      <c r="T131" s="7" t="s">
        <v>43</v>
      </c>
      <c r="U131" s="7" t="s">
        <v>54</v>
      </c>
      <c r="V131" s="7">
        <v>2019</v>
      </c>
      <c r="W131" s="26">
        <v>1101</v>
      </c>
      <c r="X131" s="18">
        <v>360900</v>
      </c>
      <c r="Y131" s="18">
        <v>14869</v>
      </c>
      <c r="Z131" s="18">
        <v>375769</v>
      </c>
      <c r="AA131" s="18">
        <f>322396+Y131</f>
        <v>337265</v>
      </c>
      <c r="AB131" s="18">
        <v>11566</v>
      </c>
      <c r="AC131" s="18">
        <v>1000</v>
      </c>
      <c r="AD131" s="18"/>
      <c r="AE131" s="18"/>
      <c r="AF131" s="18"/>
      <c r="AG131" s="18"/>
      <c r="AH131" s="7"/>
      <c r="AI131" s="7"/>
      <c r="AJ131" s="7"/>
      <c r="AK131" s="7"/>
      <c r="AL131" s="7"/>
      <c r="AM131" s="7"/>
      <c r="AN131" s="7"/>
      <c r="AO131" s="7"/>
      <c r="AP131" s="7"/>
      <c r="AQ131" s="7"/>
      <c r="AR131" s="7"/>
      <c r="AS131" s="7"/>
      <c r="AT131" s="7"/>
      <c r="AU131" s="7"/>
      <c r="AV131" s="7"/>
      <c r="AW131" s="7"/>
      <c r="AX131" s="7"/>
      <c r="AY131" s="7"/>
      <c r="AZ131" s="7"/>
    </row>
    <row r="132" spans="1:52" ht="63" customHeight="1">
      <c r="A132" s="12" t="s">
        <v>734</v>
      </c>
      <c r="B132" s="7">
        <v>1</v>
      </c>
      <c r="C132" s="7" t="s">
        <v>170</v>
      </c>
      <c r="D132" s="7" t="s">
        <v>95</v>
      </c>
      <c r="E132" s="7" t="s">
        <v>37</v>
      </c>
      <c r="F132" s="7" t="s">
        <v>735</v>
      </c>
      <c r="G132" s="7">
        <v>1953</v>
      </c>
      <c r="H132" s="7"/>
      <c r="I132" s="14" t="str">
        <f>HYPERLINK("mailto:apps@marshallscholarship.org","apps@marshallscholarship.org")</f>
        <v>apps@marshallscholarship.org</v>
      </c>
      <c r="J132" s="14" t="str">
        <f>HYPERLINK("http://www.marshallscholarship.org","http://www.marshallscholarship.org")</f>
        <v>http://www.marshallscholarship.org</v>
      </c>
      <c r="K132" s="7" t="s">
        <v>736</v>
      </c>
      <c r="L132" s="27" t="s">
        <v>737</v>
      </c>
      <c r="M132" s="27" t="s">
        <v>42</v>
      </c>
      <c r="N132" s="37" t="s">
        <v>37</v>
      </c>
      <c r="O132" s="16"/>
      <c r="P132" s="15"/>
      <c r="Q132" s="15" t="s">
        <v>137</v>
      </c>
      <c r="R132" s="7" t="s">
        <v>37</v>
      </c>
      <c r="S132" s="7" t="s">
        <v>37</v>
      </c>
      <c r="T132" s="7" t="s">
        <v>43</v>
      </c>
      <c r="U132" s="7" t="s">
        <v>46</v>
      </c>
      <c r="V132" s="7">
        <v>2019</v>
      </c>
      <c r="W132" s="7">
        <v>0</v>
      </c>
      <c r="X132" s="18">
        <v>2550</v>
      </c>
      <c r="Y132" s="18">
        <v>83</v>
      </c>
      <c r="Z132" s="18">
        <v>2633</v>
      </c>
      <c r="AA132" s="18">
        <v>2413</v>
      </c>
      <c r="AB132" s="18">
        <v>0</v>
      </c>
      <c r="AC132" s="18">
        <v>0</v>
      </c>
      <c r="AD132" s="18"/>
      <c r="AE132" s="18"/>
      <c r="AF132" s="18"/>
      <c r="AG132" s="18"/>
      <c r="AH132" s="7"/>
      <c r="AI132" s="7"/>
      <c r="AJ132" s="7"/>
      <c r="AK132" s="7"/>
      <c r="AL132" s="7"/>
      <c r="AM132" s="7"/>
      <c r="AN132" s="7"/>
      <c r="AO132" s="7"/>
      <c r="AP132" s="7"/>
      <c r="AQ132" s="7"/>
      <c r="AR132" s="7"/>
      <c r="AS132" s="7"/>
      <c r="AT132" s="7"/>
      <c r="AU132" s="7"/>
      <c r="AV132" s="7"/>
      <c r="AW132" s="7"/>
      <c r="AX132" s="7"/>
      <c r="AY132" s="7"/>
      <c r="AZ132" s="7"/>
    </row>
    <row r="133" spans="1:52" ht="63" customHeight="1">
      <c r="A133" s="12" t="s">
        <v>738</v>
      </c>
      <c r="B133" s="7">
        <v>1</v>
      </c>
      <c r="C133" s="7" t="s">
        <v>58</v>
      </c>
      <c r="D133" s="7" t="s">
        <v>108</v>
      </c>
      <c r="E133" s="7" t="s">
        <v>56</v>
      </c>
      <c r="F133" s="7" t="s">
        <v>739</v>
      </c>
      <c r="G133" s="7">
        <v>2003</v>
      </c>
      <c r="H133" s="7" t="s">
        <v>740</v>
      </c>
      <c r="I133" s="14" t="str">
        <f>HYPERLINK("mailto:info@mhra.gov.uk","info@mhra.gov.uk")</f>
        <v>info@mhra.gov.uk</v>
      </c>
      <c r="J133" s="14" t="str">
        <f>HYPERLINK("https://www.gov.uk/government/organisations/medicines-and-healthcare-products-regulatory-agency","https://www.gov.uk/government/organisations/medicines-and-healthcare-products-regulatory-agency")</f>
        <v>https://www.gov.uk/government/organisations/medicines-and-healthcare-products-regulatory-agency</v>
      </c>
      <c r="K133" s="7" t="s">
        <v>741</v>
      </c>
      <c r="L133" s="6" t="s">
        <v>742</v>
      </c>
      <c r="M133" s="6" t="s">
        <v>42</v>
      </c>
      <c r="N133" s="6" t="s">
        <v>43</v>
      </c>
      <c r="O133" s="16" t="s">
        <v>528</v>
      </c>
      <c r="P133" s="15" t="s">
        <v>52</v>
      </c>
      <c r="Q133" s="15" t="s">
        <v>221</v>
      </c>
      <c r="R133" s="7" t="s">
        <v>43</v>
      </c>
      <c r="S133" s="7" t="s">
        <v>43</v>
      </c>
      <c r="T133" s="7" t="s">
        <v>43</v>
      </c>
      <c r="U133" s="7" t="s">
        <v>54</v>
      </c>
      <c r="V133" s="7">
        <v>2015</v>
      </c>
      <c r="W133" s="26">
        <v>1306</v>
      </c>
      <c r="X133" s="18">
        <v>28272</v>
      </c>
      <c r="Y133" s="18">
        <v>0</v>
      </c>
      <c r="Z133" s="18">
        <v>28272</v>
      </c>
      <c r="AA133" s="33">
        <v>21272</v>
      </c>
      <c r="AB133" s="33">
        <v>7000</v>
      </c>
      <c r="AC133" s="33">
        <v>0</v>
      </c>
      <c r="AD133" s="7"/>
      <c r="AE133" s="13" t="s">
        <v>56</v>
      </c>
      <c r="AF133" s="7"/>
      <c r="AG133" s="7"/>
      <c r="AH133" s="7"/>
      <c r="AI133" s="7"/>
      <c r="AJ133" s="7"/>
      <c r="AK133" s="7"/>
      <c r="AL133" s="7"/>
      <c r="AM133" s="7"/>
      <c r="AN133" s="7"/>
      <c r="AO133" s="7"/>
      <c r="AP133" s="7"/>
      <c r="AQ133" s="7"/>
      <c r="AR133" s="7"/>
      <c r="AS133" s="7"/>
      <c r="AT133" s="7"/>
      <c r="AU133" s="7"/>
      <c r="AV133" s="7"/>
      <c r="AW133" s="7"/>
      <c r="AX133" s="7"/>
      <c r="AY133" s="7"/>
      <c r="AZ133" s="7"/>
    </row>
    <row r="134" spans="1:52" ht="63" customHeight="1">
      <c r="A134" s="20" t="s">
        <v>743</v>
      </c>
      <c r="B134" s="7">
        <v>1</v>
      </c>
      <c r="C134" s="7" t="s">
        <v>94</v>
      </c>
      <c r="D134" s="7" t="s">
        <v>108</v>
      </c>
      <c r="E134" s="7" t="s">
        <v>63</v>
      </c>
      <c r="F134" s="7" t="s">
        <v>744</v>
      </c>
      <c r="G134" s="7">
        <v>1984</v>
      </c>
      <c r="H134" s="7"/>
      <c r="I134" s="14" t="str">
        <f>HYPERLINK("mailto:enquiries@metoffice.gov.uk","enquiries@metoffice.gov.uk")</f>
        <v>enquiries@metoffice.gov.uk</v>
      </c>
      <c r="J134" s="14" t="str">
        <f>HYPERLINK("http://www.metoffice.gov.uk/","http://www.metoffice.gov.uk/")</f>
        <v>http://www.metoffice.gov.uk/</v>
      </c>
      <c r="K134" s="7" t="s">
        <v>347</v>
      </c>
      <c r="L134" s="6" t="s">
        <v>745</v>
      </c>
      <c r="M134" s="6" t="s">
        <v>42</v>
      </c>
      <c r="N134" s="37" t="s">
        <v>56</v>
      </c>
      <c r="O134" s="16">
        <v>35000</v>
      </c>
      <c r="P134" s="15" t="s">
        <v>52</v>
      </c>
      <c r="Q134" s="17" t="s">
        <v>746</v>
      </c>
      <c r="R134" s="7" t="s">
        <v>63</v>
      </c>
      <c r="S134" s="7" t="s">
        <v>56</v>
      </c>
      <c r="T134" s="7" t="s">
        <v>56</v>
      </c>
      <c r="U134" s="7"/>
      <c r="V134" s="7"/>
      <c r="W134" s="26">
        <v>1904</v>
      </c>
      <c r="X134" s="18">
        <v>214825</v>
      </c>
      <c r="Y134" s="18">
        <v>24298</v>
      </c>
      <c r="Z134" s="18">
        <f>(X134+Y134)</f>
        <v>239123</v>
      </c>
      <c r="AA134" s="18">
        <v>8400</v>
      </c>
      <c r="AB134" s="18">
        <v>162000</v>
      </c>
      <c r="AC134" s="18">
        <v>0</v>
      </c>
      <c r="AD134" s="7" t="s">
        <v>747</v>
      </c>
      <c r="AE134" s="7"/>
      <c r="AG134" s="7"/>
      <c r="AH134" s="7"/>
      <c r="AI134" s="7"/>
      <c r="AJ134" s="7"/>
      <c r="AK134" s="7"/>
      <c r="AL134" s="7"/>
      <c r="AM134" s="7"/>
      <c r="AN134" s="7"/>
      <c r="AO134" s="7"/>
      <c r="AP134" s="7"/>
      <c r="AQ134" s="7"/>
      <c r="AR134" s="7"/>
      <c r="AS134" s="7"/>
      <c r="AT134" s="7"/>
      <c r="AU134" s="7"/>
      <c r="AV134" s="7"/>
      <c r="AW134" s="7"/>
      <c r="AX134" s="7"/>
      <c r="AY134" s="7"/>
      <c r="AZ134" s="7"/>
    </row>
    <row r="135" spans="1:52" ht="63" customHeight="1">
      <c r="A135" s="20" t="s">
        <v>748</v>
      </c>
      <c r="B135" s="7">
        <v>1</v>
      </c>
      <c r="C135" s="7" t="s">
        <v>133</v>
      </c>
      <c r="D135" s="7" t="s">
        <v>36</v>
      </c>
      <c r="E135" s="7" t="s">
        <v>63</v>
      </c>
      <c r="F135" s="7" t="s">
        <v>749</v>
      </c>
      <c r="G135" s="7">
        <v>2007</v>
      </c>
      <c r="H135" s="7"/>
      <c r="I135" s="14" t="str">
        <f>HYPERLINK("mailto:mac@homeoffice.gov.uk","mac@homeoffice.gov.uk")</f>
        <v>mac@homeoffice.gov.uk</v>
      </c>
      <c r="J135" s="14" t="str">
        <f>HYPERLINK("https://www.gov.uk/government/organisations/migration-advisory-committee","https://www.gov.uk/government/organisations/migration-advisory-committee")</f>
        <v>https://www.gov.uk/government/organisations/migration-advisory-committee</v>
      </c>
      <c r="K135" s="7"/>
      <c r="L135" s="27" t="s">
        <v>750</v>
      </c>
      <c r="M135" s="27" t="s">
        <v>42</v>
      </c>
      <c r="N135" s="37" t="s">
        <v>43</v>
      </c>
      <c r="O135" s="16">
        <v>40000</v>
      </c>
      <c r="P135" s="15" t="s">
        <v>52</v>
      </c>
      <c r="Q135" s="17" t="s">
        <v>193</v>
      </c>
      <c r="R135" s="7"/>
      <c r="S135" s="7" t="s">
        <v>43</v>
      </c>
      <c r="T135" s="7"/>
      <c r="U135" s="7" t="s">
        <v>46</v>
      </c>
      <c r="V135" s="7"/>
      <c r="W135" s="7">
        <v>12.5</v>
      </c>
      <c r="X135" s="18">
        <v>1093</v>
      </c>
      <c r="Y135" s="18">
        <v>0</v>
      </c>
      <c r="Z135" s="18">
        <v>1093</v>
      </c>
      <c r="AA135" s="18">
        <v>1093</v>
      </c>
      <c r="AB135" s="18">
        <v>0</v>
      </c>
      <c r="AC135" s="18">
        <v>0</v>
      </c>
      <c r="AD135" s="7"/>
      <c r="AE135" s="13" t="s">
        <v>56</v>
      </c>
      <c r="AF135" s="7"/>
      <c r="AG135" s="7"/>
      <c r="AH135" s="7"/>
      <c r="AI135" s="7"/>
      <c r="AJ135" s="7"/>
      <c r="AK135" s="7"/>
      <c r="AL135" s="7"/>
      <c r="AM135" s="7"/>
      <c r="AN135" s="7"/>
      <c r="AO135" s="7"/>
      <c r="AP135" s="7"/>
      <c r="AQ135" s="7"/>
      <c r="AR135" s="7"/>
      <c r="AS135" s="7"/>
      <c r="AT135" s="7"/>
      <c r="AU135" s="7"/>
      <c r="AV135" s="7"/>
      <c r="AW135" s="7"/>
      <c r="AX135" s="7"/>
      <c r="AY135" s="7"/>
      <c r="AZ135" s="7"/>
    </row>
    <row r="136" spans="1:52" ht="63" customHeight="1">
      <c r="A136" s="20" t="s">
        <v>751</v>
      </c>
      <c r="B136" s="7">
        <v>1</v>
      </c>
      <c r="C136" s="7" t="s">
        <v>122</v>
      </c>
      <c r="D136" s="7" t="s">
        <v>233</v>
      </c>
      <c r="E136" s="7" t="s">
        <v>37</v>
      </c>
      <c r="F136" s="13" t="s">
        <v>752</v>
      </c>
      <c r="G136" s="7">
        <v>2003</v>
      </c>
      <c r="H136" s="7"/>
      <c r="I136" s="14" t="str">
        <f>HYPERLINK("https://www.nationalarchives.gov.uk/contact-us/","Please complete enquiry form online")</f>
        <v>Please complete enquiry form online</v>
      </c>
      <c r="J136" s="14" t="str">
        <f>HYPERLINK("http://www.nationalarchives.gov.uk/","www.nationalarchives.gov.uk")</f>
        <v>www.nationalarchives.gov.uk</v>
      </c>
      <c r="K136" s="13" t="s">
        <v>753</v>
      </c>
      <c r="L136" s="13" t="s">
        <v>754</v>
      </c>
      <c r="M136" s="27" t="s">
        <v>71</v>
      </c>
      <c r="N136" s="44" t="s">
        <v>56</v>
      </c>
      <c r="O136" s="16" t="s">
        <v>664</v>
      </c>
      <c r="P136" s="17" t="s">
        <v>52</v>
      </c>
      <c r="Q136" s="15"/>
      <c r="R136" s="7" t="s">
        <v>37</v>
      </c>
      <c r="S136" s="7" t="s">
        <v>43</v>
      </c>
      <c r="T136" s="7" t="s">
        <v>43</v>
      </c>
      <c r="U136" s="7" t="s">
        <v>54</v>
      </c>
      <c r="V136" s="7"/>
      <c r="W136" s="7">
        <v>481</v>
      </c>
      <c r="X136" s="18">
        <v>34481</v>
      </c>
      <c r="Y136" s="18">
        <v>10281</v>
      </c>
      <c r="Z136" s="18">
        <f>(X136+Y136)</f>
        <v>44762</v>
      </c>
      <c r="AA136" s="18">
        <v>27987</v>
      </c>
      <c r="AB136" s="18">
        <v>2765</v>
      </c>
      <c r="AC136" s="18">
        <v>0</v>
      </c>
      <c r="AD136" s="18" t="s">
        <v>755</v>
      </c>
      <c r="AE136" s="7"/>
      <c r="AF136" s="7"/>
      <c r="AG136" s="7"/>
      <c r="AH136" s="7"/>
      <c r="AI136" s="7"/>
      <c r="AJ136" s="7"/>
      <c r="AK136" s="7"/>
      <c r="AL136" s="7"/>
      <c r="AM136" s="7"/>
      <c r="AN136" s="7"/>
      <c r="AO136" s="7"/>
      <c r="AP136" s="7"/>
      <c r="AQ136" s="7"/>
      <c r="AR136" s="7"/>
      <c r="AS136" s="7"/>
      <c r="AT136" s="7"/>
      <c r="AU136" s="7"/>
      <c r="AV136" s="7"/>
      <c r="AW136" s="7"/>
      <c r="AX136" s="7"/>
      <c r="AY136" s="7"/>
      <c r="AZ136" s="7"/>
    </row>
    <row r="137" spans="1:52" ht="63" customHeight="1">
      <c r="A137" s="20" t="s">
        <v>756</v>
      </c>
      <c r="B137" s="7">
        <v>1</v>
      </c>
      <c r="C137" s="7" t="s">
        <v>65</v>
      </c>
      <c r="D137" s="7" t="s">
        <v>95</v>
      </c>
      <c r="E137" s="7" t="s">
        <v>37</v>
      </c>
      <c r="F137" s="7" t="s">
        <v>757</v>
      </c>
      <c r="G137" s="7">
        <v>1960</v>
      </c>
      <c r="H137" s="7"/>
      <c r="I137" s="14" t="str">
        <f>HYPERLINK("mailto:jmaciejewski@nam.ac.uk","jmaciejewski@nam.ac.uk")</f>
        <v>jmaciejewski@nam.ac.uk</v>
      </c>
      <c r="J137" s="14" t="str">
        <f>HYPERLINK("https://www.nam.ac.uk/","www.nam.ac.uk")</f>
        <v>www.nam.ac.uk</v>
      </c>
      <c r="K137" s="7" t="s">
        <v>758</v>
      </c>
      <c r="L137" s="7" t="s">
        <v>759</v>
      </c>
      <c r="M137" s="7" t="s">
        <v>71</v>
      </c>
      <c r="N137" s="15" t="s">
        <v>37</v>
      </c>
      <c r="O137" s="16"/>
      <c r="P137" s="15"/>
      <c r="Q137" s="17" t="s">
        <v>225</v>
      </c>
      <c r="R137" s="7" t="s">
        <v>37</v>
      </c>
      <c r="S137" s="7" t="s">
        <v>43</v>
      </c>
      <c r="T137" s="7" t="s">
        <v>43</v>
      </c>
      <c r="U137" s="7" t="s">
        <v>760</v>
      </c>
      <c r="V137" s="7"/>
      <c r="W137" s="7">
        <v>80.47</v>
      </c>
      <c r="X137" s="18">
        <v>7210</v>
      </c>
      <c r="Y137" s="18">
        <v>900</v>
      </c>
      <c r="Z137" s="18">
        <v>8110</v>
      </c>
      <c r="AA137" s="18">
        <v>7559</v>
      </c>
      <c r="AB137" s="18">
        <v>190</v>
      </c>
      <c r="AC137" s="18">
        <v>0</v>
      </c>
      <c r="AD137" s="18"/>
      <c r="AE137" s="7"/>
      <c r="AF137" s="7"/>
      <c r="AG137" s="7"/>
      <c r="AH137" s="7"/>
      <c r="AI137" s="7"/>
      <c r="AJ137" s="7"/>
      <c r="AK137" s="7"/>
      <c r="AL137" s="7"/>
      <c r="AM137" s="7"/>
      <c r="AN137" s="7"/>
      <c r="AO137" s="7"/>
      <c r="AP137" s="7"/>
      <c r="AQ137" s="7"/>
      <c r="AR137" s="7"/>
      <c r="AS137" s="7"/>
      <c r="AT137" s="7"/>
      <c r="AU137" s="7"/>
      <c r="AV137" s="7"/>
      <c r="AW137" s="7"/>
      <c r="AX137" s="7"/>
      <c r="AY137" s="7"/>
      <c r="AZ137" s="7"/>
    </row>
    <row r="138" spans="1:52" ht="63" customHeight="1">
      <c r="A138" s="20" t="s">
        <v>761</v>
      </c>
      <c r="B138" s="7">
        <v>1</v>
      </c>
      <c r="C138" s="7" t="s">
        <v>122</v>
      </c>
      <c r="D138" s="7" t="s">
        <v>108</v>
      </c>
      <c r="E138" s="7" t="s">
        <v>37</v>
      </c>
      <c r="F138" s="7" t="s">
        <v>762</v>
      </c>
      <c r="G138" s="7">
        <v>2017</v>
      </c>
      <c r="H138" s="7"/>
      <c r="I138" s="14" t="str">
        <f>HYPERLINK("https://wearencs.com/contact-us","Please complete enquiry form online")</f>
        <v>Please complete enquiry form online</v>
      </c>
      <c r="J138" s="14" t="str">
        <f>HYPERLINK("https://wearencs.com/","https://wearencs.com/")</f>
        <v>https://wearencs.com/</v>
      </c>
      <c r="K138" s="13" t="s">
        <v>763</v>
      </c>
      <c r="L138" s="7" t="s">
        <v>764</v>
      </c>
      <c r="M138" s="27" t="s">
        <v>42</v>
      </c>
      <c r="N138" s="15" t="s">
        <v>43</v>
      </c>
      <c r="O138" s="16">
        <v>400</v>
      </c>
      <c r="P138" s="15" t="s">
        <v>44</v>
      </c>
      <c r="Q138" s="13" t="s">
        <v>765</v>
      </c>
      <c r="R138" s="7" t="s">
        <v>37</v>
      </c>
      <c r="S138" s="7" t="s">
        <v>43</v>
      </c>
      <c r="T138" s="7" t="s">
        <v>37</v>
      </c>
      <c r="U138" s="7" t="s">
        <v>766</v>
      </c>
      <c r="V138" s="7"/>
      <c r="W138" s="7"/>
      <c r="X138" s="18">
        <v>177962</v>
      </c>
      <c r="Y138" s="18">
        <v>6</v>
      </c>
      <c r="Z138" s="18">
        <v>177968</v>
      </c>
      <c r="AA138" s="18">
        <v>64936</v>
      </c>
      <c r="AB138" s="18">
        <v>23</v>
      </c>
      <c r="AC138" s="18">
        <v>1137</v>
      </c>
      <c r="AD138" s="7" t="s">
        <v>767</v>
      </c>
      <c r="AE138" s="7"/>
      <c r="AF138" s="7"/>
      <c r="AG138" s="7"/>
      <c r="AH138" s="7"/>
      <c r="AI138" s="7"/>
      <c r="AJ138" s="7"/>
      <c r="AK138" s="7"/>
      <c r="AL138" s="7"/>
      <c r="AM138" s="7"/>
      <c r="AN138" s="7"/>
      <c r="AO138" s="7"/>
      <c r="AP138" s="7"/>
      <c r="AQ138" s="7"/>
      <c r="AR138" s="7"/>
      <c r="AS138" s="7"/>
      <c r="AT138" s="7"/>
      <c r="AU138" s="7"/>
      <c r="AV138" s="7"/>
      <c r="AW138" s="7"/>
      <c r="AX138" s="7"/>
      <c r="AY138" s="7"/>
      <c r="AZ138" s="7"/>
    </row>
    <row r="139" spans="1:52" ht="63" customHeight="1">
      <c r="A139" s="20" t="s">
        <v>768</v>
      </c>
      <c r="B139" s="7">
        <v>1</v>
      </c>
      <c r="C139" s="7" t="s">
        <v>133</v>
      </c>
      <c r="D139" s="7" t="s">
        <v>36</v>
      </c>
      <c r="E139" s="7" t="s">
        <v>37</v>
      </c>
      <c r="F139" s="7" t="s">
        <v>769</v>
      </c>
      <c r="G139" s="7">
        <v>2013</v>
      </c>
      <c r="H139" s="7"/>
      <c r="I139" s="14" t="s">
        <v>770</v>
      </c>
      <c r="J139" s="14" t="str">
        <f>HYPERLINK("https://www.gov.uk/government/organisations/national-crime-agency-remuneration-review-body","https://www.gov.uk/government/organisations/national-crime-agency-remuneration-review-body")</f>
        <v>https://www.gov.uk/government/organisations/national-crime-agency-remuneration-review-body</v>
      </c>
      <c r="K139" s="45" t="s">
        <v>771</v>
      </c>
      <c r="L139" s="7" t="s">
        <v>772</v>
      </c>
      <c r="M139" s="7" t="s">
        <v>42</v>
      </c>
      <c r="N139" s="15" t="s">
        <v>43</v>
      </c>
      <c r="O139" s="16">
        <v>350</v>
      </c>
      <c r="P139" s="15" t="s">
        <v>44</v>
      </c>
      <c r="Q139" s="17" t="s">
        <v>773</v>
      </c>
      <c r="R139" s="7" t="s">
        <v>37</v>
      </c>
      <c r="S139" s="7" t="s">
        <v>37</v>
      </c>
      <c r="T139" s="7" t="s">
        <v>43</v>
      </c>
      <c r="U139" s="7" t="s">
        <v>46</v>
      </c>
      <c r="V139" s="7">
        <v>2019</v>
      </c>
      <c r="W139" s="7">
        <v>2</v>
      </c>
      <c r="X139" s="18">
        <v>0</v>
      </c>
      <c r="Y139" s="18">
        <v>0</v>
      </c>
      <c r="Z139" s="18">
        <v>0</v>
      </c>
      <c r="AA139" s="18">
        <v>0</v>
      </c>
      <c r="AB139" s="18">
        <v>0</v>
      </c>
      <c r="AC139" s="18">
        <v>0</v>
      </c>
      <c r="AD139" s="7"/>
      <c r="AE139" s="13" t="s">
        <v>56</v>
      </c>
      <c r="AF139" s="7"/>
      <c r="AG139" s="7"/>
      <c r="AH139" s="7"/>
      <c r="AI139" s="7"/>
      <c r="AJ139" s="7"/>
      <c r="AK139" s="7"/>
      <c r="AL139" s="7"/>
      <c r="AM139" s="7"/>
      <c r="AN139" s="7"/>
      <c r="AO139" s="7"/>
      <c r="AP139" s="7"/>
      <c r="AQ139" s="7"/>
      <c r="AR139" s="7"/>
      <c r="AS139" s="7"/>
      <c r="AT139" s="7"/>
      <c r="AU139" s="7"/>
      <c r="AV139" s="7"/>
      <c r="AW139" s="7"/>
      <c r="AX139" s="7"/>
      <c r="AY139" s="7"/>
      <c r="AZ139" s="7"/>
    </row>
    <row r="140" spans="1:52" ht="63" customHeight="1">
      <c r="A140" s="20" t="s">
        <v>774</v>
      </c>
      <c r="B140" s="7">
        <v>1</v>
      </c>
      <c r="C140" s="7" t="s">
        <v>133</v>
      </c>
      <c r="D140" s="7" t="s">
        <v>233</v>
      </c>
      <c r="E140" s="7" t="s">
        <v>37</v>
      </c>
      <c r="F140" s="7" t="s">
        <v>775</v>
      </c>
      <c r="G140" s="7">
        <v>2013</v>
      </c>
      <c r="H140" s="7"/>
      <c r="I140" s="14" t="str">
        <f>HYPERLINK("mailto:communication@nca.gov.uk","communication@nca.gov.uk")</f>
        <v>communication@nca.gov.uk</v>
      </c>
      <c r="J140" s="14" t="str">
        <f>HYPERLINK("http://www.nationalcrimeagency.gov.uk","http://www.nationalcrimeagency.gov.uk")</f>
        <v>http://www.nationalcrimeagency.gov.uk</v>
      </c>
      <c r="K140" s="13" t="s">
        <v>776</v>
      </c>
      <c r="L140" s="27" t="s">
        <v>46</v>
      </c>
      <c r="M140" s="27" t="s">
        <v>46</v>
      </c>
      <c r="N140" s="27" t="s">
        <v>46</v>
      </c>
      <c r="O140" s="16"/>
      <c r="P140" s="15"/>
      <c r="Q140" s="15"/>
      <c r="R140" s="7" t="s">
        <v>37</v>
      </c>
      <c r="S140" s="7" t="s">
        <v>43</v>
      </c>
      <c r="T140" s="7" t="s">
        <v>43</v>
      </c>
      <c r="U140" s="7" t="s">
        <v>777</v>
      </c>
      <c r="V140" s="25"/>
      <c r="W140" s="31">
        <v>4393.3</v>
      </c>
      <c r="X140" s="18">
        <f>467199+54395+50000-85649</f>
        <v>485945</v>
      </c>
      <c r="Y140" s="18">
        <v>85649</v>
      </c>
      <c r="Z140" s="18">
        <f t="shared" ref="Z140:Z142" si="5">(X140+Y140)</f>
        <v>571594</v>
      </c>
      <c r="AA140" s="18">
        <v>462242</v>
      </c>
      <c r="AB140" s="18">
        <v>51932</v>
      </c>
      <c r="AC140" s="18">
        <v>26139</v>
      </c>
      <c r="AD140" s="46"/>
      <c r="AE140" s="46"/>
      <c r="AF140" s="46"/>
      <c r="AG140" s="7"/>
      <c r="AH140" s="7"/>
      <c r="AI140" s="7"/>
      <c r="AJ140" s="7"/>
      <c r="AK140" s="7"/>
      <c r="AL140" s="7"/>
      <c r="AM140" s="7"/>
      <c r="AN140" s="7"/>
      <c r="AO140" s="7"/>
      <c r="AP140" s="7"/>
      <c r="AQ140" s="7"/>
      <c r="AR140" s="7"/>
      <c r="AS140" s="7"/>
      <c r="AT140" s="7"/>
      <c r="AU140" s="7"/>
      <c r="AV140" s="7"/>
      <c r="AW140" s="7"/>
      <c r="AX140" s="7"/>
      <c r="AY140" s="7"/>
      <c r="AZ140" s="7"/>
    </row>
    <row r="141" spans="1:52" ht="63" customHeight="1">
      <c r="A141" s="20" t="s">
        <v>778</v>
      </c>
      <c r="B141" s="7">
        <v>1</v>
      </c>
      <c r="C141" s="7" t="s">
        <v>122</v>
      </c>
      <c r="D141" s="7" t="s">
        <v>95</v>
      </c>
      <c r="E141" s="7" t="s">
        <v>37</v>
      </c>
      <c r="F141" s="7" t="s">
        <v>779</v>
      </c>
      <c r="G141" s="7">
        <v>1824</v>
      </c>
      <c r="H141" s="7" t="s">
        <v>780</v>
      </c>
      <c r="I141" s="14" t="str">
        <f>HYPERLINK("mailto:information@ng-london.org.uk","information@ng-london.org.uk")</f>
        <v>information@ng-london.org.uk</v>
      </c>
      <c r="J141" s="14" t="s">
        <v>781</v>
      </c>
      <c r="K141" s="7" t="s">
        <v>197</v>
      </c>
      <c r="L141" s="7" t="s">
        <v>782</v>
      </c>
      <c r="M141" s="13" t="s">
        <v>71</v>
      </c>
      <c r="N141" s="15" t="s">
        <v>37</v>
      </c>
      <c r="O141" s="16"/>
      <c r="P141" s="15"/>
      <c r="Q141" s="13" t="s">
        <v>783</v>
      </c>
      <c r="R141" s="7" t="s">
        <v>37</v>
      </c>
      <c r="S141" s="7" t="s">
        <v>43</v>
      </c>
      <c r="T141" s="7" t="s">
        <v>43</v>
      </c>
      <c r="U141" s="7" t="s">
        <v>54</v>
      </c>
      <c r="V141" s="7">
        <v>2017</v>
      </c>
      <c r="W141" s="7">
        <v>250</v>
      </c>
      <c r="X141" s="18">
        <v>24092</v>
      </c>
      <c r="Y141" s="18">
        <v>32926</v>
      </c>
      <c r="Z141" s="18">
        <f t="shared" si="5"/>
        <v>57018</v>
      </c>
      <c r="AA141" s="18">
        <v>21881</v>
      </c>
      <c r="AB141" s="18">
        <v>-2313</v>
      </c>
      <c r="AC141" s="18">
        <v>438</v>
      </c>
      <c r="AD141" s="7"/>
      <c r="AE141" s="7"/>
      <c r="AF141" s="7"/>
      <c r="AG141" s="7"/>
      <c r="AH141" s="7"/>
      <c r="AI141" s="7"/>
      <c r="AJ141" s="7"/>
      <c r="AK141" s="7"/>
      <c r="AL141" s="7"/>
      <c r="AM141" s="7"/>
      <c r="AN141" s="7"/>
      <c r="AO141" s="7"/>
      <c r="AP141" s="7"/>
      <c r="AQ141" s="7"/>
      <c r="AR141" s="7"/>
      <c r="AS141" s="7"/>
      <c r="AT141" s="7"/>
      <c r="AU141" s="7"/>
      <c r="AV141" s="7"/>
      <c r="AW141" s="7"/>
      <c r="AX141" s="7"/>
      <c r="AY141" s="7"/>
      <c r="AZ141" s="7"/>
    </row>
    <row r="142" spans="1:52" ht="63" customHeight="1">
      <c r="A142" s="12" t="s">
        <v>784</v>
      </c>
      <c r="B142" s="7">
        <v>1</v>
      </c>
      <c r="C142" s="7" t="s">
        <v>122</v>
      </c>
      <c r="D142" s="7" t="s">
        <v>95</v>
      </c>
      <c r="E142" s="7" t="s">
        <v>37</v>
      </c>
      <c r="F142" s="7" t="s">
        <v>785</v>
      </c>
      <c r="G142" s="7">
        <v>1980</v>
      </c>
      <c r="H142" s="7"/>
      <c r="I142" s="14" t="str">
        <f>HYPERLINK("mailto:enquire@hlf.org.uk","enquire@hlf.org.uk")</f>
        <v>enquire@hlf.org.uk</v>
      </c>
      <c r="J142" s="14" t="s">
        <v>786</v>
      </c>
      <c r="K142" s="7" t="s">
        <v>570</v>
      </c>
      <c r="L142" s="7" t="s">
        <v>787</v>
      </c>
      <c r="M142" s="13" t="s">
        <v>42</v>
      </c>
      <c r="N142" s="37" t="s">
        <v>43</v>
      </c>
      <c r="O142" s="16">
        <v>26000</v>
      </c>
      <c r="P142" s="15" t="s">
        <v>52</v>
      </c>
      <c r="Q142" s="13" t="s">
        <v>100</v>
      </c>
      <c r="R142" s="7" t="s">
        <v>37</v>
      </c>
      <c r="S142" s="7" t="s">
        <v>43</v>
      </c>
      <c r="T142" s="7" t="s">
        <v>43</v>
      </c>
      <c r="U142" s="7" t="s">
        <v>54</v>
      </c>
      <c r="V142" s="7">
        <v>2017</v>
      </c>
      <c r="W142" s="7">
        <v>298</v>
      </c>
      <c r="X142" s="18">
        <v>4629</v>
      </c>
      <c r="Y142" s="18">
        <v>328771</v>
      </c>
      <c r="Z142" s="18">
        <f t="shared" si="5"/>
        <v>333400</v>
      </c>
      <c r="AA142" s="18">
        <v>157</v>
      </c>
      <c r="AB142" s="18">
        <v>4711</v>
      </c>
      <c r="AC142" s="18">
        <v>324781</v>
      </c>
      <c r="AD142" s="7"/>
      <c r="AE142" s="7"/>
      <c r="AF142" s="7"/>
      <c r="AG142" s="7"/>
      <c r="AH142" s="7"/>
      <c r="AI142" s="7"/>
      <c r="AJ142" s="7"/>
      <c r="AK142" s="7"/>
      <c r="AL142" s="7"/>
      <c r="AM142" s="7"/>
      <c r="AN142" s="7"/>
      <c r="AO142" s="7"/>
      <c r="AP142" s="7"/>
      <c r="AQ142" s="7"/>
      <c r="AR142" s="7"/>
      <c r="AS142" s="7"/>
      <c r="AT142" s="7"/>
      <c r="AU142" s="7"/>
      <c r="AV142" s="7"/>
      <c r="AW142" s="7"/>
      <c r="AX142" s="7"/>
      <c r="AY142" s="7"/>
      <c r="AZ142" s="7"/>
    </row>
    <row r="143" spans="1:52" ht="63" customHeight="1">
      <c r="A143" s="20" t="s">
        <v>788</v>
      </c>
      <c r="B143" s="7">
        <v>1</v>
      </c>
      <c r="C143" s="7" t="s">
        <v>275</v>
      </c>
      <c r="D143" s="7" t="s">
        <v>108</v>
      </c>
      <c r="E143" s="7" t="s">
        <v>37</v>
      </c>
      <c r="F143" s="13" t="s">
        <v>789</v>
      </c>
      <c r="G143" s="7">
        <v>2017</v>
      </c>
      <c r="H143" s="7"/>
      <c r="I143" s="14" t="str">
        <f>HYPERLINK("mailto:enquiries@nic.gov.uk","enquiries@nic.gov.uk")</f>
        <v>enquiries@nic.gov.uk</v>
      </c>
      <c r="J143" s="14" t="str">
        <f>HYPERLINK("www.nic.org.uk","www.nic.org.uk")</f>
        <v>www.nic.org.uk</v>
      </c>
      <c r="K143" s="7" t="s">
        <v>790</v>
      </c>
      <c r="L143" s="7" t="s">
        <v>791</v>
      </c>
      <c r="M143" s="7" t="s">
        <v>42</v>
      </c>
      <c r="N143" s="15" t="s">
        <v>792</v>
      </c>
      <c r="O143" s="16">
        <v>85200</v>
      </c>
      <c r="P143" s="15" t="s">
        <v>793</v>
      </c>
      <c r="Q143" s="17" t="s">
        <v>100</v>
      </c>
      <c r="R143" s="7" t="s">
        <v>63</v>
      </c>
      <c r="S143" s="7" t="s">
        <v>56</v>
      </c>
      <c r="T143" s="7" t="s">
        <v>56</v>
      </c>
      <c r="U143" s="7" t="s">
        <v>46</v>
      </c>
      <c r="V143" s="7"/>
      <c r="W143" s="7">
        <v>42</v>
      </c>
      <c r="X143" s="18">
        <v>5539</v>
      </c>
      <c r="Y143" s="18">
        <v>0</v>
      </c>
      <c r="Z143" s="18">
        <v>5539</v>
      </c>
      <c r="AA143" s="18">
        <v>4829</v>
      </c>
      <c r="AB143" s="18">
        <v>312</v>
      </c>
      <c r="AC143" s="18">
        <v>0</v>
      </c>
      <c r="AD143" s="7" t="s">
        <v>46</v>
      </c>
      <c r="AE143" s="7"/>
      <c r="AF143" s="7"/>
      <c r="AG143" s="7"/>
      <c r="AH143" s="7"/>
      <c r="AI143" s="7"/>
      <c r="AJ143" s="7"/>
      <c r="AK143" s="7"/>
      <c r="AL143" s="7"/>
      <c r="AM143" s="7"/>
      <c r="AN143" s="7"/>
      <c r="AO143" s="7"/>
      <c r="AP143" s="7"/>
      <c r="AQ143" s="7"/>
      <c r="AR143" s="7"/>
      <c r="AS143" s="7"/>
      <c r="AT143" s="7"/>
      <c r="AU143" s="7"/>
      <c r="AV143" s="7"/>
      <c r="AW143" s="7"/>
      <c r="AX143" s="7"/>
      <c r="AY143" s="7"/>
      <c r="AZ143" s="7"/>
    </row>
    <row r="144" spans="1:52" ht="63" customHeight="1">
      <c r="A144" s="20" t="s">
        <v>794</v>
      </c>
      <c r="B144" s="7">
        <v>1</v>
      </c>
      <c r="C144" s="7" t="s">
        <v>58</v>
      </c>
      <c r="D144" s="7" t="s">
        <v>95</v>
      </c>
      <c r="E144" s="7" t="s">
        <v>37</v>
      </c>
      <c r="F144" s="7" t="s">
        <v>795</v>
      </c>
      <c r="G144" s="7">
        <v>2013</v>
      </c>
      <c r="H144" s="7"/>
      <c r="I144" s="14" t="str">
        <f>HYPERLINK("mailto:nice@nice.org.uk","nice@nice.org.uk")</f>
        <v>nice@nice.org.uk</v>
      </c>
      <c r="J144" s="14" t="str">
        <f>HYPERLINK("http://www.nice.org.uk/","http://www.nice.org.uk/")</f>
        <v>http://www.nice.org.uk/</v>
      </c>
      <c r="K144" s="7" t="s">
        <v>271</v>
      </c>
      <c r="L144" s="7" t="s">
        <v>796</v>
      </c>
      <c r="M144" s="7" t="s">
        <v>42</v>
      </c>
      <c r="N144" s="15" t="s">
        <v>43</v>
      </c>
      <c r="O144" s="16">
        <v>63126</v>
      </c>
      <c r="P144" s="15" t="s">
        <v>52</v>
      </c>
      <c r="Q144" s="15" t="s">
        <v>464</v>
      </c>
      <c r="R144" s="7" t="s">
        <v>43</v>
      </c>
      <c r="S144" s="7" t="s">
        <v>43</v>
      </c>
      <c r="T144" s="7" t="s">
        <v>43</v>
      </c>
      <c r="U144" s="7" t="s">
        <v>54</v>
      </c>
      <c r="V144" s="7">
        <v>2015</v>
      </c>
      <c r="W144" s="7">
        <v>618</v>
      </c>
      <c r="X144" s="18">
        <v>49000</v>
      </c>
      <c r="Y144" s="18">
        <v>16589</v>
      </c>
      <c r="Z144" s="18">
        <f t="shared" ref="Z144:Z148" si="6">(X144+Y144)</f>
        <v>65589</v>
      </c>
      <c r="AA144" s="18">
        <v>66354</v>
      </c>
      <c r="AB144" s="18">
        <v>171</v>
      </c>
      <c r="AC144" s="18">
        <v>-385</v>
      </c>
      <c r="AD144" s="7"/>
      <c r="AE144" s="13" t="s">
        <v>56</v>
      </c>
      <c r="AF144" s="7"/>
      <c r="AG144" s="7"/>
      <c r="AH144" s="7"/>
      <c r="AI144" s="7"/>
      <c r="AJ144" s="7"/>
      <c r="AK144" s="7"/>
      <c r="AL144" s="7"/>
      <c r="AM144" s="7"/>
      <c r="AN144" s="7"/>
      <c r="AO144" s="7"/>
      <c r="AP144" s="7"/>
      <c r="AQ144" s="7"/>
      <c r="AR144" s="7"/>
      <c r="AS144" s="7"/>
      <c r="AT144" s="7"/>
      <c r="AU144" s="7"/>
      <c r="AV144" s="7"/>
      <c r="AW144" s="7"/>
      <c r="AX144" s="7"/>
      <c r="AY144" s="7"/>
      <c r="AZ144" s="7"/>
    </row>
    <row r="145" spans="1:52" ht="63" customHeight="1">
      <c r="A145" s="20" t="s">
        <v>797</v>
      </c>
      <c r="B145" s="7">
        <v>1</v>
      </c>
      <c r="C145" s="7" t="s">
        <v>65</v>
      </c>
      <c r="D145" s="7" t="s">
        <v>95</v>
      </c>
      <c r="E145" s="7" t="s">
        <v>37</v>
      </c>
      <c r="F145" s="7" t="s">
        <v>798</v>
      </c>
      <c r="G145" s="7">
        <v>2008</v>
      </c>
      <c r="H145" s="7"/>
      <c r="I145" s="14" t="str">
        <f>HYPERLINK("mailto:governance@nmrn.org.uk","governance@nmrn.org.uk")</f>
        <v>governance@nmrn.org.uk</v>
      </c>
      <c r="J145" s="14" t="str">
        <f>HYPERLINK("www.nmrn.org.uk","www.nmrn.org.uk")</f>
        <v>www.nmrn.org.uk</v>
      </c>
      <c r="K145" s="7"/>
      <c r="L145" s="7" t="s">
        <v>799</v>
      </c>
      <c r="M145" s="7" t="s">
        <v>71</v>
      </c>
      <c r="N145" s="15" t="s">
        <v>37</v>
      </c>
      <c r="O145" s="16"/>
      <c r="P145" s="15"/>
      <c r="Q145" s="15" t="s">
        <v>800</v>
      </c>
      <c r="R145" s="7" t="s">
        <v>37</v>
      </c>
      <c r="S145" s="7" t="s">
        <v>37</v>
      </c>
      <c r="T145" s="7" t="s">
        <v>43</v>
      </c>
      <c r="U145" s="7" t="s">
        <v>54</v>
      </c>
      <c r="V145" s="7">
        <v>2016</v>
      </c>
      <c r="W145" s="7">
        <v>4</v>
      </c>
      <c r="X145" s="18">
        <v>3445</v>
      </c>
      <c r="Y145" s="18">
        <v>15400</v>
      </c>
      <c r="Z145" s="18">
        <f t="shared" si="6"/>
        <v>18845</v>
      </c>
      <c r="AA145" s="18">
        <v>13464</v>
      </c>
      <c r="AB145" s="18">
        <v>5382</v>
      </c>
      <c r="AC145" s="18">
        <v>0</v>
      </c>
      <c r="AD145" s="7"/>
      <c r="AE145" s="7"/>
      <c r="AF145" s="7"/>
      <c r="AG145" s="7"/>
      <c r="AH145" s="7"/>
      <c r="AI145" s="7"/>
      <c r="AJ145" s="7"/>
      <c r="AK145" s="7"/>
      <c r="AL145" s="7"/>
      <c r="AM145" s="7"/>
      <c r="AN145" s="7"/>
      <c r="AO145" s="7"/>
      <c r="AP145" s="7"/>
      <c r="AQ145" s="7"/>
      <c r="AR145" s="7"/>
      <c r="AS145" s="7"/>
      <c r="AT145" s="7"/>
      <c r="AU145" s="7"/>
      <c r="AV145" s="7"/>
      <c r="AW145" s="7"/>
      <c r="AX145" s="7"/>
      <c r="AY145" s="7"/>
      <c r="AZ145" s="7"/>
    </row>
    <row r="146" spans="1:52" ht="63" customHeight="1">
      <c r="A146" s="20" t="s">
        <v>801</v>
      </c>
      <c r="B146" s="7">
        <v>1</v>
      </c>
      <c r="C146" s="7" t="s">
        <v>122</v>
      </c>
      <c r="D146" s="7" t="s">
        <v>95</v>
      </c>
      <c r="E146" s="7" t="s">
        <v>37</v>
      </c>
      <c r="F146" s="7" t="s">
        <v>802</v>
      </c>
      <c r="G146" s="7">
        <v>1986</v>
      </c>
      <c r="H146" s="7"/>
      <c r="I146" s="14" t="str">
        <f>HYPERLINK("https://www.liverpoolmuseums.org.uk/contact#section--contact-us","Please complete enquiry form online")</f>
        <v>Please complete enquiry form online</v>
      </c>
      <c r="J146" s="14" t="s">
        <v>803</v>
      </c>
      <c r="K146" s="7" t="s">
        <v>197</v>
      </c>
      <c r="L146" s="7" t="s">
        <v>804</v>
      </c>
      <c r="M146" s="13" t="s">
        <v>42</v>
      </c>
      <c r="N146" s="15" t="s">
        <v>37</v>
      </c>
      <c r="O146" s="16"/>
      <c r="P146" s="15"/>
      <c r="Q146" s="7" t="s">
        <v>805</v>
      </c>
      <c r="R146" s="7" t="s">
        <v>63</v>
      </c>
      <c r="S146" s="7" t="s">
        <v>56</v>
      </c>
      <c r="T146" s="7" t="s">
        <v>56</v>
      </c>
      <c r="U146" s="7" t="s">
        <v>54</v>
      </c>
      <c r="V146" s="7">
        <v>2017</v>
      </c>
      <c r="W146" s="7">
        <v>426</v>
      </c>
      <c r="X146" s="18">
        <v>19766</v>
      </c>
      <c r="Y146" s="18">
        <v>14006</v>
      </c>
      <c r="Z146" s="18">
        <f t="shared" si="6"/>
        <v>33772</v>
      </c>
      <c r="AA146" s="18">
        <v>17696</v>
      </c>
      <c r="AB146" s="18">
        <v>1583</v>
      </c>
      <c r="AC146" s="18">
        <v>3533</v>
      </c>
      <c r="AD146" s="7"/>
      <c r="AE146" s="7"/>
      <c r="AF146" s="7"/>
      <c r="AG146" s="7"/>
      <c r="AH146" s="7"/>
      <c r="AI146" s="7"/>
      <c r="AJ146" s="7"/>
      <c r="AK146" s="7"/>
      <c r="AL146" s="7"/>
      <c r="AM146" s="7"/>
      <c r="AN146" s="7"/>
      <c r="AO146" s="7"/>
      <c r="AP146" s="7"/>
      <c r="AQ146" s="7"/>
      <c r="AR146" s="7"/>
      <c r="AS146" s="7"/>
      <c r="AT146" s="7"/>
      <c r="AU146" s="7"/>
      <c r="AV146" s="7"/>
      <c r="AW146" s="7"/>
      <c r="AX146" s="7"/>
      <c r="AY146" s="7"/>
      <c r="AZ146" s="7"/>
    </row>
    <row r="147" spans="1:52" ht="63" customHeight="1">
      <c r="A147" s="20" t="s">
        <v>806</v>
      </c>
      <c r="B147" s="7">
        <v>1</v>
      </c>
      <c r="C147" s="7" t="s">
        <v>122</v>
      </c>
      <c r="D147" s="7" t="s">
        <v>95</v>
      </c>
      <c r="E147" s="7" t="s">
        <v>37</v>
      </c>
      <c r="F147" s="7" t="s">
        <v>807</v>
      </c>
      <c r="G147" s="7">
        <v>1856</v>
      </c>
      <c r="H147" s="7"/>
      <c r="I147" s="14" t="str">
        <f>HYPERLINK("mailto:archiveenquiry@npg.org.uk","archiveenquiry@npg.org.uk")</f>
        <v>archiveenquiry@npg.org.uk</v>
      </c>
      <c r="J147" s="14" t="s">
        <v>808</v>
      </c>
      <c r="K147" s="7" t="s">
        <v>197</v>
      </c>
      <c r="L147" s="7" t="s">
        <v>809</v>
      </c>
      <c r="M147" s="13" t="s">
        <v>42</v>
      </c>
      <c r="N147" s="15" t="s">
        <v>37</v>
      </c>
      <c r="O147" s="16"/>
      <c r="P147" s="15"/>
      <c r="Q147" s="13" t="s">
        <v>584</v>
      </c>
      <c r="R147" s="7" t="s">
        <v>37</v>
      </c>
      <c r="S147" s="7" t="s">
        <v>43</v>
      </c>
      <c r="T147" s="7" t="s">
        <v>43</v>
      </c>
      <c r="U147" s="7" t="s">
        <v>54</v>
      </c>
      <c r="V147" s="7">
        <v>2017</v>
      </c>
      <c r="W147" s="7">
        <v>228.3</v>
      </c>
      <c r="X147" s="18">
        <v>7634</v>
      </c>
      <c r="Y147" s="18">
        <v>16723</v>
      </c>
      <c r="Z147" s="18">
        <f t="shared" si="6"/>
        <v>24357</v>
      </c>
      <c r="AA147" s="18">
        <v>5982</v>
      </c>
      <c r="AB147" s="18">
        <v>115</v>
      </c>
      <c r="AC147" s="18">
        <v>1833</v>
      </c>
      <c r="AD147" s="7"/>
      <c r="AE147" s="7"/>
      <c r="AF147" s="7"/>
      <c r="AG147" s="7"/>
      <c r="AH147" s="7"/>
      <c r="AI147" s="7"/>
      <c r="AJ147" s="7"/>
      <c r="AK147" s="7"/>
      <c r="AL147" s="7"/>
      <c r="AM147" s="7"/>
      <c r="AN147" s="7"/>
      <c r="AO147" s="7"/>
      <c r="AP147" s="7"/>
      <c r="AQ147" s="7"/>
      <c r="AR147" s="7"/>
      <c r="AS147" s="7"/>
      <c r="AT147" s="7"/>
      <c r="AU147" s="7"/>
      <c r="AV147" s="7"/>
      <c r="AW147" s="7"/>
      <c r="AX147" s="7"/>
      <c r="AY147" s="7"/>
      <c r="AZ147" s="7"/>
    </row>
    <row r="148" spans="1:52" ht="63" customHeight="1">
      <c r="A148" s="20" t="s">
        <v>810</v>
      </c>
      <c r="B148" s="7">
        <v>1</v>
      </c>
      <c r="C148" s="7" t="s">
        <v>275</v>
      </c>
      <c r="D148" s="7" t="s">
        <v>233</v>
      </c>
      <c r="E148" s="7" t="s">
        <v>37</v>
      </c>
      <c r="F148" s="7" t="s">
        <v>811</v>
      </c>
      <c r="G148" s="7">
        <v>1861</v>
      </c>
      <c r="H148" s="7" t="s">
        <v>812</v>
      </c>
      <c r="I148" s="14" t="str">
        <f>HYPERLINK("https://www.nsandi.com/contact-us-email","Please complete enquiry form on website")</f>
        <v>Please complete enquiry form on website</v>
      </c>
      <c r="J148" s="14" t="str">
        <f>HYPERLINK("http://www.nsandi.com/","http://www.nsandi.com/")</f>
        <v>http://www.nsandi.com/</v>
      </c>
      <c r="K148" s="13" t="s">
        <v>813</v>
      </c>
      <c r="L148" s="7" t="s">
        <v>814</v>
      </c>
      <c r="M148" s="7" t="s">
        <v>42</v>
      </c>
      <c r="N148" s="15" t="s">
        <v>43</v>
      </c>
      <c r="O148" s="16">
        <v>25000</v>
      </c>
      <c r="P148" s="15" t="s">
        <v>52</v>
      </c>
      <c r="Q148" s="17" t="s">
        <v>815</v>
      </c>
      <c r="R148" s="7" t="s">
        <v>37</v>
      </c>
      <c r="S148" s="7" t="s">
        <v>37</v>
      </c>
      <c r="T148" s="7" t="s">
        <v>43</v>
      </c>
      <c r="U148" s="7" t="s">
        <v>816</v>
      </c>
      <c r="V148" s="7">
        <v>2005</v>
      </c>
      <c r="W148" s="7">
        <v>204</v>
      </c>
      <c r="X148" s="18">
        <v>121427</v>
      </c>
      <c r="Y148" s="18">
        <v>61379</v>
      </c>
      <c r="Z148" s="18">
        <f t="shared" si="6"/>
        <v>182806</v>
      </c>
      <c r="AA148" s="18">
        <v>188009</v>
      </c>
      <c r="AB148" s="18">
        <v>0</v>
      </c>
      <c r="AC148" s="18">
        <v>0</v>
      </c>
      <c r="AD148" s="7"/>
      <c r="AE148" s="7"/>
      <c r="AF148" s="7"/>
      <c r="AG148" s="7"/>
      <c r="AH148" s="7"/>
      <c r="AI148" s="7"/>
      <c r="AJ148" s="7"/>
      <c r="AK148" s="7"/>
      <c r="AL148" s="7"/>
      <c r="AM148" s="7"/>
      <c r="AN148" s="7"/>
      <c r="AO148" s="7"/>
      <c r="AP148" s="7"/>
      <c r="AQ148" s="7"/>
      <c r="AR148" s="7"/>
      <c r="AS148" s="7"/>
      <c r="AT148" s="7"/>
      <c r="AU148" s="7"/>
      <c r="AV148" s="7"/>
      <c r="AW148" s="7"/>
      <c r="AX148" s="7"/>
      <c r="AY148" s="7"/>
      <c r="AZ148" s="7"/>
    </row>
    <row r="149" spans="1:52" ht="63" customHeight="1">
      <c r="A149" s="20" t="s">
        <v>817</v>
      </c>
      <c r="B149" s="7">
        <v>1</v>
      </c>
      <c r="C149" s="7" t="s">
        <v>79</v>
      </c>
      <c r="D149" s="7" t="s">
        <v>95</v>
      </c>
      <c r="E149" s="7" t="s">
        <v>43</v>
      </c>
      <c r="F149" s="7" t="s">
        <v>818</v>
      </c>
      <c r="G149" s="7">
        <v>2006</v>
      </c>
      <c r="H149" s="7"/>
      <c r="I149" s="14" t="str">
        <f>HYPERLINK("mailto:enquiries@naturalengland.org.uk","enquiries@naturalengland.org.uk")</f>
        <v>enquiries@naturalengland.org.uk</v>
      </c>
      <c r="J149" s="14" t="str">
        <f>HYPERLINK("https://www.gov.uk/government/organisations/natural-england","https://www.gov.uk/government/
organisations/natural-england")</f>
        <v>https://www.gov.uk/government/
organisations/natural-england</v>
      </c>
      <c r="K149" s="7" t="s">
        <v>819</v>
      </c>
      <c r="L149" s="7" t="s">
        <v>820</v>
      </c>
      <c r="M149" s="13" t="s">
        <v>42</v>
      </c>
      <c r="N149" s="15" t="s">
        <v>43</v>
      </c>
      <c r="O149" s="16">
        <v>546</v>
      </c>
      <c r="P149" s="15" t="s">
        <v>44</v>
      </c>
      <c r="Q149" s="17" t="s">
        <v>821</v>
      </c>
      <c r="R149" s="7" t="s">
        <v>43</v>
      </c>
      <c r="S149" s="7" t="s">
        <v>43</v>
      </c>
      <c r="T149" s="7" t="s">
        <v>43</v>
      </c>
      <c r="U149" s="7" t="s">
        <v>54</v>
      </c>
      <c r="V149" s="7">
        <v>2013</v>
      </c>
      <c r="W149" s="31">
        <v>1795.94</v>
      </c>
      <c r="X149" s="18">
        <v>96204</v>
      </c>
      <c r="Y149" s="18">
        <v>32067</v>
      </c>
      <c r="Z149" s="18">
        <v>128271</v>
      </c>
      <c r="AA149" s="18">
        <v>112359</v>
      </c>
      <c r="AB149" s="18">
        <v>4801</v>
      </c>
      <c r="AC149" s="18">
        <v>3</v>
      </c>
      <c r="AD149" s="7"/>
      <c r="AE149" s="7"/>
      <c r="AF149" s="7"/>
      <c r="AG149" s="7"/>
      <c r="AH149" s="7"/>
      <c r="AI149" s="7"/>
      <c r="AJ149" s="7"/>
      <c r="AK149" s="7"/>
      <c r="AL149" s="7"/>
      <c r="AM149" s="7"/>
      <c r="AN149" s="7"/>
      <c r="AO149" s="7"/>
      <c r="AP149" s="7"/>
      <c r="AQ149" s="7"/>
      <c r="AR149" s="7"/>
      <c r="AS149" s="7"/>
      <c r="AT149" s="7"/>
      <c r="AU149" s="7"/>
      <c r="AV149" s="7"/>
      <c r="AW149" s="7"/>
      <c r="AX149" s="7"/>
      <c r="AY149" s="7"/>
      <c r="AZ149" s="7"/>
    </row>
    <row r="150" spans="1:52" ht="63" customHeight="1">
      <c r="A150" s="20" t="s">
        <v>822</v>
      </c>
      <c r="B150" s="7">
        <v>1</v>
      </c>
      <c r="C150" s="7" t="s">
        <v>122</v>
      </c>
      <c r="D150" s="7" t="s">
        <v>95</v>
      </c>
      <c r="E150" s="7" t="s">
        <v>37</v>
      </c>
      <c r="F150" s="7" t="s">
        <v>823</v>
      </c>
      <c r="G150" s="7">
        <v>1753</v>
      </c>
      <c r="H150" s="7"/>
      <c r="I150" s="14" t="str">
        <f>HYPERLINK("www.nhm.ac.uk/about-us/contact-enquiries/forms/","www.nhm.ac.uk/about-us/contact-enquiries/forms/")</f>
        <v>www.nhm.ac.uk/about-us/contact-enquiries/forms/</v>
      </c>
      <c r="J150" s="14" t="s">
        <v>824</v>
      </c>
      <c r="K150" s="7" t="s">
        <v>197</v>
      </c>
      <c r="L150" s="7" t="s">
        <v>825</v>
      </c>
      <c r="M150" s="13" t="s">
        <v>42</v>
      </c>
      <c r="N150" s="15" t="s">
        <v>37</v>
      </c>
      <c r="O150" s="16"/>
      <c r="P150" s="15"/>
      <c r="Q150" s="13" t="s">
        <v>826</v>
      </c>
      <c r="R150" s="7" t="s">
        <v>37</v>
      </c>
      <c r="S150" s="7" t="s">
        <v>37</v>
      </c>
      <c r="T150" s="7" t="s">
        <v>43</v>
      </c>
      <c r="U150" s="7" t="s">
        <v>46</v>
      </c>
      <c r="V150" s="7">
        <v>2017</v>
      </c>
      <c r="W150" s="7">
        <v>844</v>
      </c>
      <c r="X150" s="18">
        <v>42455</v>
      </c>
      <c r="Y150" s="18">
        <v>44120</v>
      </c>
      <c r="Z150" s="18">
        <f t="shared" ref="Z150:Z153" si="7">(X150+Y150)</f>
        <v>86575</v>
      </c>
      <c r="AA150" s="18">
        <v>45817</v>
      </c>
      <c r="AB150" s="18">
        <v>7412</v>
      </c>
      <c r="AC150" s="18">
        <v>2302</v>
      </c>
      <c r="AD150" s="7"/>
      <c r="AE150" s="7"/>
      <c r="AF150" s="7"/>
      <c r="AG150" s="7"/>
      <c r="AH150" s="7"/>
      <c r="AI150" s="7"/>
      <c r="AJ150" s="7"/>
      <c r="AK150" s="7"/>
      <c r="AL150" s="7"/>
      <c r="AM150" s="7"/>
      <c r="AN150" s="7"/>
      <c r="AO150" s="7"/>
      <c r="AP150" s="7"/>
      <c r="AQ150" s="7"/>
      <c r="AR150" s="7"/>
      <c r="AS150" s="7"/>
      <c r="AT150" s="7"/>
      <c r="AU150" s="7"/>
      <c r="AV150" s="7"/>
      <c r="AW150" s="7"/>
      <c r="AX150" s="7"/>
      <c r="AY150" s="7"/>
      <c r="AZ150" s="7"/>
    </row>
    <row r="151" spans="1:52" ht="63" customHeight="1">
      <c r="A151" s="20" t="s">
        <v>827</v>
      </c>
      <c r="B151" s="7">
        <v>1</v>
      </c>
      <c r="C151" s="7" t="s">
        <v>58</v>
      </c>
      <c r="D151" s="7" t="s">
        <v>95</v>
      </c>
      <c r="E151" s="7" t="s">
        <v>37</v>
      </c>
      <c r="F151" s="7" t="s">
        <v>828</v>
      </c>
      <c r="G151" s="7">
        <v>2005</v>
      </c>
      <c r="H151" s="7"/>
      <c r="I151" s="14" t="str">
        <f>HYPERLINK("mailto:nhsbsa@nhs.net","nhsbsa@nhs.net")</f>
        <v>nhsbsa@nhs.net</v>
      </c>
      <c r="J151" s="14" t="str">
        <f>HYPERLINK("https://www.nhsbsa.nhs.uk","https://www.nhsbsa.nhs.uk")</f>
        <v>https://www.nhsbsa.nhs.uk</v>
      </c>
      <c r="K151" s="7" t="s">
        <v>829</v>
      </c>
      <c r="L151" s="13" t="s">
        <v>830</v>
      </c>
      <c r="M151" s="27" t="s">
        <v>42</v>
      </c>
      <c r="N151" s="7" t="s">
        <v>43</v>
      </c>
      <c r="O151" s="16">
        <v>63000</v>
      </c>
      <c r="P151" s="15" t="s">
        <v>52</v>
      </c>
      <c r="Q151" s="15" t="s">
        <v>464</v>
      </c>
      <c r="R151" s="7" t="s">
        <v>43</v>
      </c>
      <c r="S151" s="7" t="s">
        <v>43</v>
      </c>
      <c r="T151" s="7" t="s">
        <v>43</v>
      </c>
      <c r="U151" s="7" t="s">
        <v>54</v>
      </c>
      <c r="V151" s="7"/>
      <c r="W151" s="26">
        <v>2500</v>
      </c>
      <c r="X151" s="18">
        <v>213435</v>
      </c>
      <c r="Y151" s="18">
        <v>2329813</v>
      </c>
      <c r="Z151" s="18">
        <f t="shared" si="7"/>
        <v>2543248</v>
      </c>
      <c r="AA151" s="18">
        <v>2440563</v>
      </c>
      <c r="AB151" s="18">
        <v>-55392</v>
      </c>
      <c r="AC151" s="18">
        <v>17233</v>
      </c>
      <c r="AD151" s="7"/>
      <c r="AE151" s="13" t="s">
        <v>56</v>
      </c>
      <c r="AF151" s="7"/>
      <c r="AG151" s="7"/>
      <c r="AH151" s="7"/>
      <c r="AI151" s="7"/>
      <c r="AJ151" s="7"/>
      <c r="AK151" s="7"/>
      <c r="AL151" s="7"/>
      <c r="AM151" s="7"/>
      <c r="AN151" s="7"/>
      <c r="AO151" s="7"/>
      <c r="AP151" s="7"/>
      <c r="AQ151" s="7"/>
      <c r="AR151" s="7"/>
      <c r="AS151" s="7"/>
      <c r="AT151" s="7"/>
      <c r="AU151" s="7"/>
      <c r="AV151" s="7"/>
      <c r="AW151" s="7"/>
      <c r="AX151" s="7"/>
      <c r="AY151" s="7"/>
      <c r="AZ151" s="7"/>
    </row>
    <row r="152" spans="1:52" ht="63" customHeight="1">
      <c r="A152" s="20" t="s">
        <v>831</v>
      </c>
      <c r="B152" s="7">
        <v>1</v>
      </c>
      <c r="C152" s="7" t="s">
        <v>58</v>
      </c>
      <c r="D152" s="7" t="s">
        <v>95</v>
      </c>
      <c r="E152" s="7" t="s">
        <v>37</v>
      </c>
      <c r="F152" s="7" t="s">
        <v>832</v>
      </c>
      <c r="G152" s="7">
        <v>2012</v>
      </c>
      <c r="H152" s="7" t="s">
        <v>833</v>
      </c>
      <c r="I152" s="14" t="str">
        <f>HYPERLINK("mailto:england.contactus@nhs.net","england.contactus@nhs.net")</f>
        <v>england.contactus@nhs.net</v>
      </c>
      <c r="J152" s="14" t="str">
        <f>HYPERLINK("http://www.england.nhs.uk/","http://www.england.nhs.uk/")</f>
        <v>http://www.england.nhs.uk/</v>
      </c>
      <c r="K152" s="7" t="s">
        <v>640</v>
      </c>
      <c r="L152" s="7" t="s">
        <v>834</v>
      </c>
      <c r="M152" s="7" t="s">
        <v>42</v>
      </c>
      <c r="N152" s="15" t="s">
        <v>43</v>
      </c>
      <c r="O152" s="16">
        <v>63000</v>
      </c>
      <c r="P152" s="15" t="s">
        <v>52</v>
      </c>
      <c r="Q152" s="15" t="s">
        <v>464</v>
      </c>
      <c r="R152" s="7" t="s">
        <v>835</v>
      </c>
      <c r="S152" s="7" t="s">
        <v>43</v>
      </c>
      <c r="T152" s="7" t="s">
        <v>43</v>
      </c>
      <c r="U152" s="7" t="s">
        <v>54</v>
      </c>
      <c r="V152" s="7"/>
      <c r="W152" s="26">
        <v>5400</v>
      </c>
      <c r="X152" s="18">
        <v>111725304</v>
      </c>
      <c r="Y152" s="18">
        <v>2097983</v>
      </c>
      <c r="Z152" s="18">
        <f t="shared" si="7"/>
        <v>113823287</v>
      </c>
      <c r="AA152" s="18">
        <v>114803059</v>
      </c>
      <c r="AB152" s="18">
        <v>221233</v>
      </c>
      <c r="AC152" s="18">
        <v>-19733</v>
      </c>
      <c r="AD152" s="7"/>
      <c r="AE152" s="13" t="s">
        <v>56</v>
      </c>
      <c r="AF152" s="7"/>
      <c r="AG152" s="7"/>
      <c r="AH152" s="7"/>
      <c r="AI152" s="7"/>
      <c r="AJ152" s="7"/>
      <c r="AK152" s="7"/>
      <c r="AL152" s="7"/>
      <c r="AM152" s="7"/>
      <c r="AN152" s="7"/>
      <c r="AO152" s="7"/>
      <c r="AP152" s="7"/>
      <c r="AQ152" s="7"/>
      <c r="AR152" s="7"/>
      <c r="AS152" s="7"/>
      <c r="AT152" s="7"/>
      <c r="AU152" s="7"/>
      <c r="AV152" s="7"/>
      <c r="AW152" s="7"/>
      <c r="AX152" s="7"/>
      <c r="AY152" s="7"/>
      <c r="AZ152" s="7"/>
    </row>
    <row r="153" spans="1:52" ht="63" customHeight="1">
      <c r="A153" s="20" t="s">
        <v>836</v>
      </c>
      <c r="B153" s="7">
        <v>1</v>
      </c>
      <c r="C153" s="7" t="s">
        <v>58</v>
      </c>
      <c r="D153" s="7" t="s">
        <v>95</v>
      </c>
      <c r="E153" s="7" t="s">
        <v>56</v>
      </c>
      <c r="F153" s="7" t="s">
        <v>837</v>
      </c>
      <c r="G153" s="7">
        <v>2016</v>
      </c>
      <c r="H153" s="7" t="s">
        <v>838</v>
      </c>
      <c r="I153" s="14" t="str">
        <f>HYPERLINK("mailto:enquiries@improvement.nhs.uk","enquiries@improvement.nhs.uk")</f>
        <v>enquiries@improvement.nhs.uk</v>
      </c>
      <c r="J153" s="14" t="str">
        <f>HYPERLINK("https://improvement.nhs.uk","https://improvement.nhs.uk")</f>
        <v>https://improvement.nhs.uk</v>
      </c>
      <c r="K153" s="7" t="s">
        <v>839</v>
      </c>
      <c r="L153" s="7" t="s">
        <v>840</v>
      </c>
      <c r="M153" s="13" t="s">
        <v>42</v>
      </c>
      <c r="N153" s="15" t="s">
        <v>43</v>
      </c>
      <c r="O153" s="16">
        <v>63000</v>
      </c>
      <c r="P153" s="15" t="s">
        <v>52</v>
      </c>
      <c r="Q153" s="15" t="s">
        <v>464</v>
      </c>
      <c r="R153" s="7" t="s">
        <v>841</v>
      </c>
      <c r="S153" s="7" t="s">
        <v>43</v>
      </c>
      <c r="T153" s="7" t="s">
        <v>43</v>
      </c>
      <c r="U153" s="7" t="s">
        <v>54</v>
      </c>
      <c r="V153" s="7"/>
      <c r="W153" s="26">
        <v>1677</v>
      </c>
      <c r="X153" s="18">
        <v>194632</v>
      </c>
      <c r="Y153" s="18">
        <v>42575</v>
      </c>
      <c r="Z153" s="18">
        <f t="shared" si="7"/>
        <v>237207</v>
      </c>
      <c r="AA153" s="18">
        <v>224461</v>
      </c>
      <c r="AB153" s="18">
        <v>8388</v>
      </c>
      <c r="AC153" s="18">
        <v>0</v>
      </c>
      <c r="AD153" s="7"/>
      <c r="AE153" s="13" t="s">
        <v>56</v>
      </c>
      <c r="AF153" s="7"/>
      <c r="AG153" s="7"/>
      <c r="AH153" s="7"/>
      <c r="AI153" s="7"/>
      <c r="AJ153" s="7"/>
      <c r="AK153" s="7"/>
      <c r="AL153" s="7"/>
      <c r="AM153" s="7"/>
      <c r="AN153" s="7"/>
      <c r="AO153" s="7"/>
      <c r="AP153" s="7"/>
      <c r="AQ153" s="7"/>
      <c r="AR153" s="7"/>
      <c r="AS153" s="7"/>
      <c r="AT153" s="7"/>
      <c r="AU153" s="7"/>
      <c r="AV153" s="7"/>
      <c r="AW153" s="7"/>
      <c r="AX153" s="7"/>
      <c r="AY153" s="7"/>
      <c r="AZ153" s="7"/>
    </row>
    <row r="154" spans="1:52" ht="63" customHeight="1">
      <c r="A154" s="20" t="s">
        <v>842</v>
      </c>
      <c r="B154" s="7">
        <v>1</v>
      </c>
      <c r="C154" s="7" t="s">
        <v>58</v>
      </c>
      <c r="D154" s="7" t="s">
        <v>36</v>
      </c>
      <c r="E154" s="7" t="s">
        <v>37</v>
      </c>
      <c r="F154" s="7" t="s">
        <v>843</v>
      </c>
      <c r="G154" s="7">
        <v>1983</v>
      </c>
      <c r="H154" s="7"/>
      <c r="I154" s="14" t="str">
        <f>HYPERLINK("mailto:craig.marchant@beis.gov.uk","craig.marchant@beis.gov.uk")</f>
        <v>craig.marchant@beis.gov.uk</v>
      </c>
      <c r="J154" s="14" t="str">
        <f>HYPERLINK("https://www.gov.uk/government/organisations/nhs-pay-review-body","https://www.gov.uk/government/organisations/nhs-pay-review-body")</f>
        <v>https://www.gov.uk/government/organisations/nhs-pay-review-body</v>
      </c>
      <c r="K154" s="7" t="s">
        <v>526</v>
      </c>
      <c r="L154" s="7" t="s">
        <v>844</v>
      </c>
      <c r="M154" s="7" t="s">
        <v>42</v>
      </c>
      <c r="N154" s="15" t="s">
        <v>43</v>
      </c>
      <c r="O154" s="16">
        <v>350</v>
      </c>
      <c r="P154" s="15" t="s">
        <v>44</v>
      </c>
      <c r="Q154" s="15" t="s">
        <v>845</v>
      </c>
      <c r="R154" s="7" t="s">
        <v>37</v>
      </c>
      <c r="S154" s="7" t="s">
        <v>37</v>
      </c>
      <c r="T154" s="7" t="s">
        <v>43</v>
      </c>
      <c r="U154" s="7"/>
      <c r="V154" s="7"/>
      <c r="W154" s="7">
        <v>0</v>
      </c>
      <c r="X154" s="18">
        <v>0</v>
      </c>
      <c r="Y154" s="18">
        <v>0</v>
      </c>
      <c r="Z154" s="18">
        <v>0</v>
      </c>
      <c r="AA154" s="18">
        <v>34.725000000000001</v>
      </c>
      <c r="AB154" s="18">
        <v>0</v>
      </c>
      <c r="AC154" s="18">
        <v>0</v>
      </c>
      <c r="AD154" s="7"/>
      <c r="AE154" s="13" t="s">
        <v>56</v>
      </c>
      <c r="AF154" s="7"/>
      <c r="AG154" s="7"/>
      <c r="AH154" s="7"/>
      <c r="AI154" s="7"/>
      <c r="AJ154" s="7"/>
      <c r="AK154" s="7"/>
      <c r="AL154" s="7"/>
      <c r="AM154" s="7"/>
      <c r="AN154" s="7"/>
      <c r="AO154" s="7"/>
      <c r="AP154" s="7"/>
      <c r="AQ154" s="7"/>
      <c r="AR154" s="7"/>
      <c r="AS154" s="7"/>
      <c r="AT154" s="7"/>
      <c r="AU154" s="7"/>
      <c r="AV154" s="7"/>
      <c r="AW154" s="7"/>
      <c r="AX154" s="7"/>
      <c r="AY154" s="7"/>
      <c r="AZ154" s="7"/>
    </row>
    <row r="155" spans="1:52" ht="63" customHeight="1">
      <c r="A155" s="12" t="s">
        <v>846</v>
      </c>
      <c r="B155" s="7">
        <v>1</v>
      </c>
      <c r="C155" s="7" t="s">
        <v>151</v>
      </c>
      <c r="D155" s="7" t="s">
        <v>95</v>
      </c>
      <c r="E155" s="7" t="s">
        <v>43</v>
      </c>
      <c r="F155" s="7" t="s">
        <v>847</v>
      </c>
      <c r="G155" s="7">
        <v>1999</v>
      </c>
      <c r="H155" s="7"/>
      <c r="I155" s="14" t="s">
        <v>848</v>
      </c>
      <c r="J155" s="14" t="s">
        <v>849</v>
      </c>
      <c r="K155" s="7" t="s">
        <v>156</v>
      </c>
      <c r="L155" s="27" t="s">
        <v>850</v>
      </c>
      <c r="M155" s="13" t="s">
        <v>42</v>
      </c>
      <c r="N155" s="15" t="s">
        <v>43</v>
      </c>
      <c r="O155" s="16">
        <v>66000</v>
      </c>
      <c r="P155" s="44" t="s">
        <v>52</v>
      </c>
      <c r="Q155" s="15" t="s">
        <v>374</v>
      </c>
      <c r="R155" s="7" t="s">
        <v>37</v>
      </c>
      <c r="S155" s="7" t="s">
        <v>43</v>
      </c>
      <c r="T155" s="7" t="s">
        <v>43</v>
      </c>
      <c r="U155" s="7" t="s">
        <v>54</v>
      </c>
      <c r="V155" s="7">
        <v>2008</v>
      </c>
      <c r="W155" s="7">
        <v>14</v>
      </c>
      <c r="X155" s="18">
        <v>1157</v>
      </c>
      <c r="Y155" s="18">
        <v>34</v>
      </c>
      <c r="Z155" s="18">
        <v>1191</v>
      </c>
      <c r="AA155" s="18">
        <v>1130</v>
      </c>
      <c r="AB155" s="18">
        <v>6</v>
      </c>
      <c r="AC155" s="18">
        <v>0</v>
      </c>
      <c r="AD155" s="7"/>
      <c r="AE155" s="7"/>
      <c r="AF155" s="7"/>
      <c r="AG155" s="7"/>
      <c r="AH155" s="7"/>
      <c r="AI155" s="7"/>
      <c r="AJ155" s="7"/>
      <c r="AK155" s="7"/>
      <c r="AL155" s="7"/>
      <c r="AM155" s="7"/>
      <c r="AN155" s="7"/>
      <c r="AO155" s="7"/>
      <c r="AP155" s="7"/>
      <c r="AQ155" s="7"/>
      <c r="AR155" s="7"/>
      <c r="AS155" s="7"/>
      <c r="AT155" s="7"/>
      <c r="AU155" s="7"/>
      <c r="AV155" s="7"/>
      <c r="AW155" s="7"/>
      <c r="AX155" s="7"/>
      <c r="AY155" s="7"/>
      <c r="AZ155" s="7"/>
    </row>
    <row r="156" spans="1:52" ht="63" customHeight="1">
      <c r="A156" s="20" t="s">
        <v>851</v>
      </c>
      <c r="B156" s="7">
        <v>1</v>
      </c>
      <c r="C156" s="7" t="s">
        <v>206</v>
      </c>
      <c r="D156" s="7" t="s">
        <v>95</v>
      </c>
      <c r="E156" s="7" t="s">
        <v>43</v>
      </c>
      <c r="F156" s="7" t="s">
        <v>852</v>
      </c>
      <c r="G156" s="7">
        <v>1786</v>
      </c>
      <c r="H156" s="7"/>
      <c r="I156" s="14" t="str">
        <f>HYPERLINK("mailto:enquiries@nlb.org.uk","enquiries@nlb.org.uk")</f>
        <v>enquiries@nlb.org.uk</v>
      </c>
      <c r="J156" s="14" t="str">
        <f>HYPERLINK("www.nlb.org.uk","www.nlb.org.uk")</f>
        <v>www.nlb.org.uk</v>
      </c>
      <c r="K156" s="7" t="s">
        <v>624</v>
      </c>
      <c r="L156" s="7" t="s">
        <v>853</v>
      </c>
      <c r="M156" s="7" t="s">
        <v>71</v>
      </c>
      <c r="N156" s="15" t="s">
        <v>43</v>
      </c>
      <c r="O156" s="16">
        <v>20536</v>
      </c>
      <c r="P156" s="15" t="s">
        <v>52</v>
      </c>
      <c r="Q156" s="15" t="s">
        <v>112</v>
      </c>
      <c r="R156" s="7" t="s">
        <v>37</v>
      </c>
      <c r="S156" s="7" t="s">
        <v>43</v>
      </c>
      <c r="T156" s="7" t="s">
        <v>43</v>
      </c>
      <c r="U156" s="7" t="s">
        <v>46</v>
      </c>
      <c r="V156" s="7">
        <v>2017</v>
      </c>
      <c r="W156" s="7">
        <v>179</v>
      </c>
      <c r="X156" s="18">
        <v>0</v>
      </c>
      <c r="Y156" s="18">
        <v>21622</v>
      </c>
      <c r="Z156" s="18">
        <f>IF(SUM(Y156)&lt;&gt;0,SUM(Y156),"")</f>
        <v>21622</v>
      </c>
      <c r="AA156" s="18">
        <v>23292</v>
      </c>
      <c r="AB156" s="18">
        <v>0</v>
      </c>
      <c r="AC156" s="18">
        <v>0</v>
      </c>
      <c r="AD156" s="7"/>
      <c r="AE156" s="7"/>
      <c r="AF156" s="7"/>
      <c r="AG156" s="7"/>
      <c r="AH156" s="7"/>
      <c r="AI156" s="7"/>
      <c r="AJ156" s="7"/>
      <c r="AK156" s="7"/>
      <c r="AL156" s="7"/>
      <c r="AM156" s="7"/>
      <c r="AN156" s="7"/>
      <c r="AO156" s="7"/>
      <c r="AP156" s="7"/>
      <c r="AQ156" s="7"/>
      <c r="AR156" s="7"/>
      <c r="AS156" s="7"/>
      <c r="AT156" s="7"/>
      <c r="AU156" s="7"/>
      <c r="AV156" s="7"/>
      <c r="AW156" s="7"/>
      <c r="AX156" s="7"/>
      <c r="AY156" s="7"/>
      <c r="AZ156" s="7"/>
    </row>
    <row r="157" spans="1:52" ht="63" customHeight="1">
      <c r="A157" s="20" t="s">
        <v>854</v>
      </c>
      <c r="B157" s="7">
        <v>1</v>
      </c>
      <c r="C157" s="7" t="s">
        <v>94</v>
      </c>
      <c r="D157" s="7" t="s">
        <v>95</v>
      </c>
      <c r="E157" s="7" t="s">
        <v>63</v>
      </c>
      <c r="F157" s="7" t="s">
        <v>855</v>
      </c>
      <c r="G157" s="7">
        <v>2004</v>
      </c>
      <c r="H157" s="7"/>
      <c r="I157" s="14" t="str">
        <f>HYPERLINK("mailto:enquiries@nda.gov.uk","enquiries@nda.gov.uk")</f>
        <v>enquiries@nda.gov.uk</v>
      </c>
      <c r="J157" s="14" t="str">
        <f>HYPERLINK("http://www.nda.gov.uk/","http://www.nda.gov.uk/")</f>
        <v>http://www.nda.gov.uk/</v>
      </c>
      <c r="K157" s="7" t="s">
        <v>250</v>
      </c>
      <c r="L157" s="7" t="s">
        <v>856</v>
      </c>
      <c r="M157" s="7" t="s">
        <v>42</v>
      </c>
      <c r="N157" s="15" t="s">
        <v>56</v>
      </c>
      <c r="O157" s="16">
        <v>150000</v>
      </c>
      <c r="P157" s="15" t="s">
        <v>52</v>
      </c>
      <c r="Q157" s="17" t="s">
        <v>193</v>
      </c>
      <c r="R157" s="7" t="s">
        <v>56</v>
      </c>
      <c r="S157" s="7" t="s">
        <v>56</v>
      </c>
      <c r="T157" s="7" t="s">
        <v>56</v>
      </c>
      <c r="U157" s="7" t="s">
        <v>54</v>
      </c>
      <c r="V157" s="7">
        <v>2011</v>
      </c>
      <c r="W157" s="39">
        <v>12742</v>
      </c>
      <c r="X157" s="18">
        <v>2212000</v>
      </c>
      <c r="Y157" s="18">
        <v>978373</v>
      </c>
      <c r="Z157" s="18">
        <f>(X157+Y157)</f>
        <v>3190373</v>
      </c>
      <c r="AA157" s="18"/>
      <c r="AB157" s="18"/>
      <c r="AC157" s="18"/>
      <c r="AD157" s="13" t="s">
        <v>56</v>
      </c>
      <c r="AE157" s="7"/>
      <c r="AF157" s="7"/>
      <c r="AG157" s="7"/>
      <c r="AH157" s="7"/>
      <c r="AI157" s="7"/>
      <c r="AJ157" s="7"/>
      <c r="AK157" s="7"/>
      <c r="AL157" s="7"/>
      <c r="AM157" s="7"/>
      <c r="AN157" s="7"/>
      <c r="AO157" s="7"/>
      <c r="AP157" s="7"/>
      <c r="AQ157" s="7"/>
      <c r="AR157" s="7"/>
      <c r="AS157" s="7"/>
      <c r="AT157" s="7"/>
      <c r="AU157" s="7"/>
      <c r="AV157" s="7"/>
      <c r="AW157" s="7"/>
      <c r="AX157" s="7"/>
      <c r="AY157" s="7"/>
      <c r="AZ157" s="7"/>
    </row>
    <row r="158" spans="1:52" ht="63" customHeight="1">
      <c r="A158" s="12" t="s">
        <v>857</v>
      </c>
      <c r="B158" s="7">
        <v>1</v>
      </c>
      <c r="C158" s="7" t="s">
        <v>65</v>
      </c>
      <c r="D158" s="7" t="s">
        <v>36</v>
      </c>
      <c r="E158" s="7" t="s">
        <v>37</v>
      </c>
      <c r="F158" s="7" t="s">
        <v>858</v>
      </c>
      <c r="G158" s="7">
        <v>2001</v>
      </c>
      <c r="H158" s="21" t="s">
        <v>859</v>
      </c>
      <c r="I158" s="14" t="str">
        <f>HYPERLINK("mailto:scott.aitken106@mod.gov.uk","scott.aitken106@mod.gov.uk")</f>
        <v>scott.aitken106@mod.gov.uk</v>
      </c>
      <c r="J158" s="14" t="s">
        <v>860</v>
      </c>
      <c r="K158" s="7" t="s">
        <v>861</v>
      </c>
      <c r="L158" s="27"/>
      <c r="M158" s="13" t="s">
        <v>42</v>
      </c>
      <c r="N158" s="15" t="s">
        <v>43</v>
      </c>
      <c r="O158" s="16">
        <v>465</v>
      </c>
      <c r="P158" s="15" t="s">
        <v>44</v>
      </c>
      <c r="Q158" s="17" t="s">
        <v>560</v>
      </c>
      <c r="R158" s="7" t="s">
        <v>37</v>
      </c>
      <c r="S158" s="7" t="s">
        <v>37</v>
      </c>
      <c r="T158" s="7" t="s">
        <v>37</v>
      </c>
      <c r="U158" s="7"/>
      <c r="V158" s="7">
        <v>2014</v>
      </c>
      <c r="W158" s="7">
        <v>1</v>
      </c>
      <c r="X158" s="18">
        <v>0</v>
      </c>
      <c r="Y158" s="18">
        <v>0</v>
      </c>
      <c r="Z158" s="18">
        <v>0</v>
      </c>
      <c r="AA158" s="18">
        <v>0</v>
      </c>
      <c r="AB158" s="18">
        <v>0</v>
      </c>
      <c r="AC158" s="18">
        <v>0</v>
      </c>
      <c r="AD158" s="7"/>
      <c r="AE158" s="13" t="s">
        <v>56</v>
      </c>
      <c r="AF158" s="7"/>
      <c r="AG158" s="7"/>
      <c r="AH158" s="7"/>
      <c r="AI158" s="7"/>
      <c r="AJ158" s="7"/>
      <c r="AK158" s="7"/>
      <c r="AL158" s="7"/>
      <c r="AM158" s="7"/>
      <c r="AN158" s="7"/>
      <c r="AO158" s="7"/>
      <c r="AP158" s="7"/>
      <c r="AQ158" s="7"/>
      <c r="AR158" s="7"/>
      <c r="AS158" s="7"/>
      <c r="AT158" s="7"/>
      <c r="AU158" s="7"/>
      <c r="AV158" s="7"/>
      <c r="AW158" s="7"/>
      <c r="AX158" s="7"/>
      <c r="AY158" s="7"/>
      <c r="AZ158" s="7"/>
    </row>
    <row r="159" spans="1:52" ht="63" customHeight="1">
      <c r="A159" s="20" t="s">
        <v>862</v>
      </c>
      <c r="B159" s="7">
        <v>1</v>
      </c>
      <c r="C159" s="7" t="s">
        <v>275</v>
      </c>
      <c r="D159" s="7" t="s">
        <v>95</v>
      </c>
      <c r="E159" s="7" t="s">
        <v>37</v>
      </c>
      <c r="F159" s="7" t="s">
        <v>863</v>
      </c>
      <c r="G159" s="7">
        <v>2010</v>
      </c>
      <c r="H159" s="7"/>
      <c r="I159" s="14" t="str">
        <f>HYPERLINK("mailto:OBR.Enquiries@obr.uk","OBR.Enquiries@obr.uk")</f>
        <v>OBR.Enquiries@obr.uk</v>
      </c>
      <c r="J159" s="14" t="s">
        <v>864</v>
      </c>
      <c r="K159" s="7" t="s">
        <v>865</v>
      </c>
      <c r="L159" s="7" t="s">
        <v>866</v>
      </c>
      <c r="M159" s="7" t="s">
        <v>42</v>
      </c>
      <c r="N159" s="15" t="s">
        <v>56</v>
      </c>
      <c r="O159" s="16">
        <v>158762</v>
      </c>
      <c r="P159" s="17" t="s">
        <v>52</v>
      </c>
      <c r="Q159" s="15" t="s">
        <v>374</v>
      </c>
      <c r="R159" s="7" t="s">
        <v>63</v>
      </c>
      <c r="S159" s="7" t="s">
        <v>56</v>
      </c>
      <c r="T159" s="7" t="s">
        <v>56</v>
      </c>
      <c r="U159" s="7" t="s">
        <v>54</v>
      </c>
      <c r="V159" s="7">
        <v>2015</v>
      </c>
      <c r="W159" s="7">
        <v>31</v>
      </c>
      <c r="X159" s="18">
        <v>2885</v>
      </c>
      <c r="Y159" s="18">
        <v>0</v>
      </c>
      <c r="Z159" s="18">
        <v>2885</v>
      </c>
      <c r="AA159" s="18">
        <v>2932</v>
      </c>
      <c r="AB159" s="18">
        <v>0</v>
      </c>
      <c r="AC159" s="18">
        <v>0</v>
      </c>
      <c r="AD159" s="7"/>
      <c r="AE159" s="7"/>
      <c r="AF159" s="7"/>
      <c r="AG159" s="7"/>
      <c r="AH159" s="7"/>
      <c r="AI159" s="7"/>
      <c r="AJ159" s="7"/>
      <c r="AK159" s="7"/>
      <c r="AL159" s="7"/>
      <c r="AM159" s="7"/>
      <c r="AN159" s="7"/>
      <c r="AO159" s="7"/>
      <c r="AP159" s="7"/>
      <c r="AQ159" s="7"/>
      <c r="AR159" s="7"/>
      <c r="AS159" s="7"/>
      <c r="AT159" s="7"/>
      <c r="AU159" s="7"/>
      <c r="AV159" s="7"/>
      <c r="AW159" s="7"/>
      <c r="AX159" s="7"/>
      <c r="AY159" s="7"/>
      <c r="AZ159" s="7"/>
    </row>
    <row r="160" spans="1:52" ht="15.75" customHeight="1">
      <c r="A160" s="20" t="s">
        <v>867</v>
      </c>
      <c r="B160" s="7">
        <v>1</v>
      </c>
      <c r="C160" s="7" t="s">
        <v>334</v>
      </c>
      <c r="D160" s="7" t="s">
        <v>233</v>
      </c>
      <c r="E160" s="7" t="s">
        <v>43</v>
      </c>
      <c r="F160" s="27" t="s">
        <v>868</v>
      </c>
      <c r="G160" s="7">
        <v>1992</v>
      </c>
      <c r="H160" s="7"/>
      <c r="I160" s="14" t="str">
        <f>HYPERLINK("enquiries@ofsted.gov.uk ","enquiries@ofsted.gov.uk ")</f>
        <v xml:space="preserve">enquiries@ofsted.gov.uk </v>
      </c>
      <c r="J160" s="14" t="str">
        <f>HYPERLINK("https://www.gov.uk/government/organisations/ofsted","https://www.gov.uk/government/organisations/ofsted")</f>
        <v>https://www.gov.uk/government/organisations/ofsted</v>
      </c>
      <c r="K160" s="7" t="s">
        <v>869</v>
      </c>
      <c r="L160" s="7" t="s">
        <v>870</v>
      </c>
      <c r="M160" s="7" t="s">
        <v>42</v>
      </c>
      <c r="N160" s="15" t="s">
        <v>43</v>
      </c>
      <c r="O160" s="16">
        <v>46800</v>
      </c>
      <c r="P160" s="15" t="s">
        <v>52</v>
      </c>
      <c r="Q160" s="15" t="s">
        <v>193</v>
      </c>
      <c r="R160" s="7" t="s">
        <v>37</v>
      </c>
      <c r="S160" s="7" t="s">
        <v>43</v>
      </c>
      <c r="T160" s="7" t="s">
        <v>43</v>
      </c>
      <c r="U160" s="7" t="s">
        <v>54</v>
      </c>
      <c r="V160" s="7"/>
      <c r="W160" s="31">
        <v>1613.5</v>
      </c>
      <c r="X160" s="18">
        <v>130219</v>
      </c>
      <c r="Y160" s="18">
        <v>21516</v>
      </c>
      <c r="Z160" s="18">
        <f>(X160+Y160)</f>
        <v>151735</v>
      </c>
      <c r="AA160" s="18">
        <v>122500</v>
      </c>
      <c r="AB160" s="18">
        <v>6098</v>
      </c>
      <c r="AC160" s="18">
        <v>-717</v>
      </c>
      <c r="AD160" s="7"/>
      <c r="AE160" s="7"/>
      <c r="AF160" s="7"/>
      <c r="AG160" s="7"/>
      <c r="AH160" s="7"/>
      <c r="AI160" s="7"/>
      <c r="AJ160" s="7"/>
      <c r="AK160" s="7"/>
      <c r="AL160" s="7"/>
      <c r="AM160" s="7"/>
      <c r="AN160" s="7"/>
      <c r="AO160" s="7"/>
      <c r="AP160" s="7"/>
      <c r="AQ160" s="7"/>
      <c r="AR160" s="7"/>
      <c r="AS160" s="7"/>
      <c r="AT160" s="7"/>
      <c r="AU160" s="7"/>
      <c r="AV160" s="7"/>
      <c r="AW160" s="7"/>
      <c r="AX160" s="7"/>
      <c r="AY160" s="7"/>
      <c r="AZ160" s="7"/>
    </row>
    <row r="161" spans="1:52" ht="63" customHeight="1">
      <c r="A161" s="20" t="s">
        <v>871</v>
      </c>
      <c r="B161" s="7">
        <v>1</v>
      </c>
      <c r="C161" s="7" t="s">
        <v>334</v>
      </c>
      <c r="D161" s="7" t="s">
        <v>95</v>
      </c>
      <c r="E161" s="7" t="s">
        <v>43</v>
      </c>
      <c r="F161" s="7" t="s">
        <v>872</v>
      </c>
      <c r="G161" s="7">
        <v>2018</v>
      </c>
      <c r="H161" s="7"/>
      <c r="I161" s="28" t="s">
        <v>873</v>
      </c>
      <c r="J161" s="14" t="str">
        <f>HYPERLINK("https://www.officeforstudents.org.uk/","https://www.officeforstudents.org.uk/")</f>
        <v>https://www.officeforstudents.org.uk/</v>
      </c>
      <c r="K161" s="7" t="s">
        <v>874</v>
      </c>
      <c r="L161" s="27" t="s">
        <v>875</v>
      </c>
      <c r="M161" s="27" t="s">
        <v>42</v>
      </c>
      <c r="N161" s="15" t="s">
        <v>43</v>
      </c>
      <c r="O161" s="16">
        <v>54000</v>
      </c>
      <c r="P161" s="15" t="s">
        <v>52</v>
      </c>
      <c r="Q161" s="13" t="s">
        <v>876</v>
      </c>
      <c r="R161" s="7" t="s">
        <v>37</v>
      </c>
      <c r="S161" s="7" t="s">
        <v>43</v>
      </c>
      <c r="T161" s="7" t="s">
        <v>43</v>
      </c>
      <c r="U161" s="7"/>
      <c r="V161" s="7"/>
      <c r="W161" s="7">
        <v>381</v>
      </c>
      <c r="X161" s="18">
        <v>1429</v>
      </c>
      <c r="Y161" s="18">
        <v>0</v>
      </c>
      <c r="Z161" s="18">
        <v>1429</v>
      </c>
      <c r="AA161" s="18">
        <v>1278</v>
      </c>
      <c r="AB161" s="18">
        <v>150</v>
      </c>
      <c r="AC161" s="18">
        <v>324</v>
      </c>
      <c r="AD161" s="7"/>
      <c r="AE161" s="7" t="s">
        <v>185</v>
      </c>
      <c r="AF161" s="7"/>
      <c r="AG161" s="7"/>
      <c r="AH161" s="7"/>
      <c r="AI161" s="7"/>
      <c r="AJ161" s="7"/>
      <c r="AK161" s="7"/>
      <c r="AL161" s="7"/>
      <c r="AM161" s="7"/>
      <c r="AN161" s="7"/>
      <c r="AO161" s="7"/>
      <c r="AP161" s="7"/>
      <c r="AQ161" s="7"/>
      <c r="AR161" s="7"/>
      <c r="AS161" s="7"/>
      <c r="AT161" s="7"/>
      <c r="AU161" s="7"/>
      <c r="AV161" s="7"/>
      <c r="AW161" s="7"/>
      <c r="AX161" s="7"/>
      <c r="AY161" s="7"/>
      <c r="AZ161" s="7"/>
    </row>
    <row r="162" spans="1:52" ht="63" customHeight="1">
      <c r="A162" s="20" t="s">
        <v>877</v>
      </c>
      <c r="B162" s="7">
        <v>1</v>
      </c>
      <c r="C162" s="6" t="s">
        <v>94</v>
      </c>
      <c r="D162" s="7" t="s">
        <v>233</v>
      </c>
      <c r="E162" s="7" t="s">
        <v>43</v>
      </c>
      <c r="F162" s="7" t="s">
        <v>878</v>
      </c>
      <c r="G162" s="7">
        <v>2000</v>
      </c>
      <c r="H162" s="7"/>
      <c r="I162" s="14" t="str">
        <f>HYPERLINK("mailto:consumeraffairs@ofgem.gov.uk","consumeraffairs@ofgem.gov.uk")</f>
        <v>consumeraffairs@ofgem.gov.uk</v>
      </c>
      <c r="J162" s="14" t="str">
        <f>HYPERLINK("https://www.ofgem.gov.uk/","www.ofgem.gov.uk")</f>
        <v>www.ofgem.gov.uk</v>
      </c>
      <c r="K162" s="7" t="s">
        <v>879</v>
      </c>
      <c r="L162" s="7" t="s">
        <v>880</v>
      </c>
      <c r="M162" s="7" t="s">
        <v>42</v>
      </c>
      <c r="N162" s="15" t="s">
        <v>43</v>
      </c>
      <c r="O162" s="16">
        <v>162000</v>
      </c>
      <c r="P162" s="15" t="s">
        <v>52</v>
      </c>
      <c r="Q162" s="17" t="s">
        <v>881</v>
      </c>
      <c r="R162" s="7" t="s">
        <v>37</v>
      </c>
      <c r="S162" s="7" t="s">
        <v>43</v>
      </c>
      <c r="T162" s="7" t="s">
        <v>43</v>
      </c>
      <c r="U162" s="7" t="s">
        <v>54</v>
      </c>
      <c r="V162" s="7">
        <v>2011</v>
      </c>
      <c r="W162" s="7">
        <v>851</v>
      </c>
      <c r="X162" s="18">
        <v>0</v>
      </c>
      <c r="Y162" s="18">
        <v>96728</v>
      </c>
      <c r="Z162" s="18">
        <f>IF(SUM(Y162)&lt;&gt;0,SUM(Y162),"")</f>
        <v>96728</v>
      </c>
      <c r="AA162" s="18">
        <f>97162-1458-688</f>
        <v>95016</v>
      </c>
      <c r="AB162" s="18">
        <v>688</v>
      </c>
      <c r="AC162" s="18">
        <v>0</v>
      </c>
      <c r="AD162" s="7"/>
      <c r="AE162" s="7"/>
      <c r="AF162" s="7"/>
      <c r="AG162" s="7"/>
      <c r="AH162" s="7"/>
      <c r="AI162" s="7"/>
      <c r="AJ162" s="7"/>
      <c r="AK162" s="7"/>
      <c r="AL162" s="7"/>
      <c r="AM162" s="7"/>
      <c r="AN162" s="7"/>
      <c r="AO162" s="7"/>
      <c r="AP162" s="7"/>
      <c r="AQ162" s="7"/>
      <c r="AR162" s="7"/>
      <c r="AS162" s="7"/>
      <c r="AT162" s="7"/>
      <c r="AU162" s="7"/>
      <c r="AV162" s="7"/>
      <c r="AW162" s="7"/>
      <c r="AX162" s="7"/>
      <c r="AY162" s="7"/>
      <c r="AZ162" s="7"/>
    </row>
    <row r="163" spans="1:52" ht="63" customHeight="1">
      <c r="A163" s="20" t="s">
        <v>882</v>
      </c>
      <c r="B163" s="7">
        <v>1</v>
      </c>
      <c r="C163" s="7" t="s">
        <v>334</v>
      </c>
      <c r="D163" s="7" t="s">
        <v>233</v>
      </c>
      <c r="E163" s="7" t="s">
        <v>43</v>
      </c>
      <c r="F163" s="7" t="s">
        <v>883</v>
      </c>
      <c r="G163" s="7">
        <v>2010</v>
      </c>
      <c r="H163" s="7"/>
      <c r="I163" s="14" t="str">
        <f>HYPERLINK("mailto:public.enquiries@ofqual.gov.uk","public.enquiries@ofqual.gov.uk")</f>
        <v>public.enquiries@ofqual.gov.uk</v>
      </c>
      <c r="J163" s="14" t="s">
        <v>884</v>
      </c>
      <c r="K163" s="13" t="s">
        <v>885</v>
      </c>
      <c r="L163" s="7" t="s">
        <v>886</v>
      </c>
      <c r="M163" s="7" t="s">
        <v>42</v>
      </c>
      <c r="N163" s="44" t="s">
        <v>56</v>
      </c>
      <c r="O163" s="16">
        <v>43400</v>
      </c>
      <c r="P163" s="15" t="s">
        <v>52</v>
      </c>
      <c r="Q163" s="17" t="s">
        <v>193</v>
      </c>
      <c r="R163" s="7" t="s">
        <v>37</v>
      </c>
      <c r="S163" s="7" t="s">
        <v>43</v>
      </c>
      <c r="T163" s="7" t="s">
        <v>43</v>
      </c>
      <c r="U163" s="7"/>
      <c r="V163" s="7"/>
      <c r="W163" s="7">
        <v>192</v>
      </c>
      <c r="X163" s="18">
        <f>18195-55</f>
        <v>18140</v>
      </c>
      <c r="Y163" s="18">
        <v>55</v>
      </c>
      <c r="Z163" s="18">
        <v>18195</v>
      </c>
      <c r="AA163" s="18">
        <v>18095</v>
      </c>
      <c r="AB163" s="18">
        <v>100</v>
      </c>
      <c r="AC163" s="18">
        <v>0</v>
      </c>
      <c r="AD163" s="7"/>
      <c r="AE163" s="7"/>
      <c r="AF163" s="7"/>
      <c r="AG163" s="7"/>
      <c r="AH163" s="7"/>
      <c r="AI163" s="7"/>
      <c r="AJ163" s="7"/>
      <c r="AK163" s="7"/>
      <c r="AL163" s="7"/>
      <c r="AM163" s="7"/>
      <c r="AN163" s="7"/>
      <c r="AO163" s="7"/>
      <c r="AP163" s="7"/>
      <c r="AQ163" s="7"/>
      <c r="AR163" s="7"/>
      <c r="AS163" s="7"/>
      <c r="AT163" s="7"/>
      <c r="AU163" s="7"/>
      <c r="AV163" s="7"/>
      <c r="AW163" s="7"/>
      <c r="AX163" s="7"/>
      <c r="AY163" s="7"/>
      <c r="AZ163" s="7"/>
    </row>
    <row r="164" spans="1:52" ht="63" customHeight="1">
      <c r="A164" s="20" t="s">
        <v>887</v>
      </c>
      <c r="B164" s="7">
        <v>1</v>
      </c>
      <c r="C164" s="7" t="s">
        <v>206</v>
      </c>
      <c r="D164" s="7" t="s">
        <v>233</v>
      </c>
      <c r="E164" s="7" t="s">
        <v>43</v>
      </c>
      <c r="F164" s="7" t="s">
        <v>888</v>
      </c>
      <c r="G164" s="7">
        <v>2015</v>
      </c>
      <c r="H164" s="7"/>
      <c r="I164" s="14" t="str">
        <f>HYPERLINK("mailto:contact.cct@orr.gov.uk","contact.cct@orr.gov.uk")</f>
        <v>contact.cct@orr.gov.uk</v>
      </c>
      <c r="J164" s="14" t="str">
        <f>HYPERLINK("https://orr.gov.uk/","https://orr.gov.uk/")</f>
        <v>https://orr.gov.uk/</v>
      </c>
      <c r="K164" s="7" t="s">
        <v>889</v>
      </c>
      <c r="L164" s="7" t="s">
        <v>890</v>
      </c>
      <c r="M164" s="7" t="s">
        <v>42</v>
      </c>
      <c r="N164" s="15" t="s">
        <v>43</v>
      </c>
      <c r="O164" s="16">
        <v>85000</v>
      </c>
      <c r="P164" s="15" t="s">
        <v>52</v>
      </c>
      <c r="Q164" s="17" t="s">
        <v>193</v>
      </c>
      <c r="R164" s="7" t="s">
        <v>37</v>
      </c>
      <c r="S164" s="7" t="s">
        <v>43</v>
      </c>
      <c r="T164" s="7" t="s">
        <v>43</v>
      </c>
      <c r="U164" s="7" t="s">
        <v>46</v>
      </c>
      <c r="V164" s="7"/>
      <c r="W164" s="7">
        <v>294.10000000000002</v>
      </c>
      <c r="X164" s="18">
        <v>3</v>
      </c>
      <c r="Y164" s="18">
        <v>31391</v>
      </c>
      <c r="Z164" s="18">
        <v>31394</v>
      </c>
      <c r="AA164" s="18">
        <v>3</v>
      </c>
      <c r="AB164" s="18">
        <v>483</v>
      </c>
      <c r="AC164" s="18">
        <v>0</v>
      </c>
      <c r="AD164" s="7" t="s">
        <v>891</v>
      </c>
      <c r="AE164" s="7"/>
      <c r="AF164" s="7"/>
      <c r="AG164" s="7"/>
      <c r="AH164" s="7"/>
      <c r="AI164" s="7"/>
      <c r="AJ164" s="7"/>
      <c r="AK164" s="7"/>
      <c r="AL164" s="7"/>
      <c r="AM164" s="7"/>
      <c r="AN164" s="7"/>
      <c r="AO164" s="7"/>
      <c r="AP164" s="7"/>
      <c r="AQ164" s="7"/>
      <c r="AR164" s="7"/>
      <c r="AS164" s="7"/>
      <c r="AT164" s="7"/>
      <c r="AU164" s="7"/>
      <c r="AV164" s="7"/>
      <c r="AW164" s="7"/>
      <c r="AX164" s="7"/>
      <c r="AY164" s="7"/>
      <c r="AZ164" s="7"/>
    </row>
    <row r="165" spans="1:52" ht="63" customHeight="1">
      <c r="A165" s="20" t="s">
        <v>892</v>
      </c>
      <c r="B165" s="7">
        <v>1</v>
      </c>
      <c r="C165" s="7" t="s">
        <v>334</v>
      </c>
      <c r="D165" s="7" t="s">
        <v>95</v>
      </c>
      <c r="E165" s="7" t="s">
        <v>37</v>
      </c>
      <c r="F165" s="7" t="s">
        <v>893</v>
      </c>
      <c r="G165" s="7">
        <v>2004</v>
      </c>
      <c r="H165" s="7"/>
      <c r="I165" s="14" t="str">
        <f>HYPERLINK("mailto:info.request@childrenscommissioner.gov.uk","info.request@childrenscommissioner.gov.uk")</f>
        <v>info.request@childrenscommissioner.gov.uk</v>
      </c>
      <c r="J165" s="14" t="str">
        <f>HYPERLINK("https://www.childrenscommissioner.gov.uk/","https://www.childrenscommissioner.gov.uk/")</f>
        <v>https://www.childrenscommissioner.gov.uk/</v>
      </c>
      <c r="K165" s="7" t="s">
        <v>894</v>
      </c>
      <c r="L165" s="27" t="s">
        <v>46</v>
      </c>
      <c r="M165" s="27" t="s">
        <v>46</v>
      </c>
      <c r="N165" s="27" t="s">
        <v>46</v>
      </c>
      <c r="O165" s="16"/>
      <c r="P165" s="6"/>
      <c r="Q165" s="7"/>
      <c r="R165" s="7" t="s">
        <v>37</v>
      </c>
      <c r="S165" s="7" t="s">
        <v>43</v>
      </c>
      <c r="T165" s="7" t="s">
        <v>37</v>
      </c>
      <c r="U165" s="7" t="s">
        <v>54</v>
      </c>
      <c r="V165" s="7">
        <v>2019</v>
      </c>
      <c r="W165" s="7">
        <v>31</v>
      </c>
      <c r="X165" s="18">
        <v>2484</v>
      </c>
      <c r="Y165" s="18">
        <v>0</v>
      </c>
      <c r="Z165" s="18">
        <v>2484</v>
      </c>
      <c r="AA165" s="18">
        <v>2407</v>
      </c>
      <c r="AB165" s="18">
        <v>0</v>
      </c>
      <c r="AC165" s="18">
        <v>0</v>
      </c>
      <c r="AD165" s="7"/>
      <c r="AE165" s="7"/>
      <c r="AF165" s="7"/>
      <c r="AG165" s="7"/>
      <c r="AH165" s="7"/>
      <c r="AI165" s="7"/>
      <c r="AJ165" s="7"/>
      <c r="AK165" s="7"/>
      <c r="AL165" s="7"/>
      <c r="AM165" s="7"/>
      <c r="AN165" s="7"/>
      <c r="AO165" s="7"/>
      <c r="AP165" s="7"/>
      <c r="AQ165" s="7"/>
      <c r="AR165" s="7"/>
      <c r="AS165" s="7"/>
      <c r="AT165" s="7"/>
      <c r="AU165" s="7"/>
      <c r="AV165" s="7"/>
      <c r="AW165" s="7"/>
      <c r="AX165" s="7"/>
      <c r="AY165" s="7"/>
      <c r="AZ165" s="7"/>
    </row>
    <row r="166" spans="1:52" ht="63" customHeight="1">
      <c r="A166" s="20" t="s">
        <v>895</v>
      </c>
      <c r="B166" s="7">
        <v>1</v>
      </c>
      <c r="C166" s="7" t="s">
        <v>133</v>
      </c>
      <c r="D166" s="7" t="s">
        <v>95</v>
      </c>
      <c r="E166" s="7" t="s">
        <v>43</v>
      </c>
      <c r="F166" s="7" t="s">
        <v>896</v>
      </c>
      <c r="G166" s="7">
        <v>2000</v>
      </c>
      <c r="H166" s="6" t="s">
        <v>897</v>
      </c>
      <c r="I166" s="14" t="str">
        <f>HYPERLINK("mailto:info@oisc.gov.uk","info@oisc.gov.uk")</f>
        <v>info@oisc.gov.uk</v>
      </c>
      <c r="J166" s="14" t="str">
        <f>HYPERLINK("https://www.gov.uk/government/organisations/office-of-the-immigration-services-commissioner","https://www.gov.uk/government/organisations/office-of-the-immigration-services-commissioner")</f>
        <v>https://www.gov.uk/government/organisations/office-of-the-immigration-services-commissioner</v>
      </c>
      <c r="K166" s="7" t="s">
        <v>898</v>
      </c>
      <c r="L166" s="27" t="s">
        <v>46</v>
      </c>
      <c r="M166" s="27" t="s">
        <v>46</v>
      </c>
      <c r="N166" s="17" t="s">
        <v>46</v>
      </c>
      <c r="O166" s="16"/>
      <c r="P166" s="15"/>
      <c r="Q166" s="15"/>
      <c r="R166" s="7" t="s">
        <v>37</v>
      </c>
      <c r="S166" s="7" t="s">
        <v>37</v>
      </c>
      <c r="T166" s="7" t="s">
        <v>43</v>
      </c>
      <c r="U166" s="7" t="s">
        <v>54</v>
      </c>
      <c r="V166" s="7">
        <v>2017</v>
      </c>
      <c r="W166" s="7">
        <v>55</v>
      </c>
      <c r="X166" s="18">
        <v>3820</v>
      </c>
      <c r="Y166" s="18">
        <v>0</v>
      </c>
      <c r="Z166" s="18">
        <v>3820</v>
      </c>
      <c r="AA166" s="18">
        <v>3820</v>
      </c>
      <c r="AB166" s="18">
        <v>5</v>
      </c>
      <c r="AC166" s="18">
        <v>0</v>
      </c>
      <c r="AD166" s="7"/>
      <c r="AE166" s="7" t="s">
        <v>185</v>
      </c>
      <c r="AF166" s="7"/>
      <c r="AG166" s="7"/>
      <c r="AH166" s="7"/>
      <c r="AI166" s="7"/>
      <c r="AJ166" s="7"/>
      <c r="AK166" s="7"/>
      <c r="AL166" s="7"/>
      <c r="AM166" s="7"/>
      <c r="AN166" s="7"/>
      <c r="AO166" s="7"/>
      <c r="AP166" s="7"/>
      <c r="AQ166" s="7"/>
      <c r="AR166" s="7"/>
      <c r="AS166" s="7"/>
      <c r="AT166" s="7"/>
      <c r="AU166" s="7"/>
      <c r="AV166" s="7"/>
      <c r="AW166" s="7"/>
      <c r="AX166" s="7"/>
      <c r="AY166" s="7"/>
      <c r="AZ166" s="7"/>
    </row>
    <row r="167" spans="1:52" ht="63" customHeight="1">
      <c r="A167" s="20" t="s">
        <v>899</v>
      </c>
      <c r="B167" s="7">
        <v>1</v>
      </c>
      <c r="C167" s="7" t="s">
        <v>89</v>
      </c>
      <c r="D167" s="7" t="s">
        <v>108</v>
      </c>
      <c r="E167" s="7" t="s">
        <v>37</v>
      </c>
      <c r="F167" s="7" t="s">
        <v>900</v>
      </c>
      <c r="G167" s="7">
        <v>2007</v>
      </c>
      <c r="H167" s="7"/>
      <c r="I167" s="14" t="str">
        <f>HYPERLINK("mailto:customerservices@publicguardian.gov.uk","customerservices@publicguardian.gov.uk")</f>
        <v>customerservices@publicguardian.gov.uk</v>
      </c>
      <c r="J167" s="14" t="str">
        <f>HYPERLINK("https://www.gov.uk/government/organisations/office-of-the-public-guardian","www.gov.uk/government/organisations/office-of-the-public-guardian")</f>
        <v>www.gov.uk/government/organisations/office-of-the-public-guardian</v>
      </c>
      <c r="K167" s="7" t="s">
        <v>901</v>
      </c>
      <c r="L167" s="7" t="s">
        <v>902</v>
      </c>
      <c r="M167" s="7" t="s">
        <v>42</v>
      </c>
      <c r="N167" s="15" t="s">
        <v>43</v>
      </c>
      <c r="O167" s="16">
        <v>114000</v>
      </c>
      <c r="P167" s="15" t="s">
        <v>52</v>
      </c>
      <c r="Q167" s="15" t="s">
        <v>903</v>
      </c>
      <c r="R167" s="7" t="s">
        <v>37</v>
      </c>
      <c r="S167" s="7" t="s">
        <v>37</v>
      </c>
      <c r="T167" s="7" t="s">
        <v>43</v>
      </c>
      <c r="U167" s="7" t="s">
        <v>54</v>
      </c>
      <c r="V167" s="7">
        <v>2018</v>
      </c>
      <c r="W167" s="39">
        <v>1565</v>
      </c>
      <c r="X167" s="18">
        <v>0</v>
      </c>
      <c r="Y167" s="18">
        <v>74979</v>
      </c>
      <c r="Z167" s="18">
        <f>IF(SUM(Y167)&lt;&gt;0,SUM(Y167),"")</f>
        <v>74979</v>
      </c>
      <c r="AA167" s="18">
        <v>74455</v>
      </c>
      <c r="AB167" s="18">
        <v>1873</v>
      </c>
      <c r="AC167" s="18">
        <v>0</v>
      </c>
      <c r="AD167" s="7"/>
      <c r="AE167" s="7"/>
      <c r="AF167" s="7"/>
      <c r="AG167" s="7"/>
      <c r="AH167" s="7"/>
      <c r="AI167" s="7"/>
      <c r="AJ167" s="7"/>
      <c r="AK167" s="7"/>
      <c r="AL167" s="7"/>
      <c r="AM167" s="7"/>
      <c r="AN167" s="7"/>
      <c r="AO167" s="7"/>
      <c r="AP167" s="7"/>
      <c r="AQ167" s="7"/>
      <c r="AR167" s="7"/>
      <c r="AS167" s="7"/>
      <c r="AT167" s="7"/>
      <c r="AU167" s="7"/>
      <c r="AV167" s="7"/>
      <c r="AW167" s="7"/>
      <c r="AX167" s="7"/>
      <c r="AY167" s="7"/>
      <c r="AZ167" s="7"/>
    </row>
    <row r="168" spans="1:52" ht="63" customHeight="1">
      <c r="A168" s="12" t="s">
        <v>904</v>
      </c>
      <c r="B168" s="7">
        <v>1</v>
      </c>
      <c r="C168" s="7" t="s">
        <v>79</v>
      </c>
      <c r="D168" s="7" t="s">
        <v>233</v>
      </c>
      <c r="E168" s="7" t="s">
        <v>43</v>
      </c>
      <c r="F168" s="7" t="s">
        <v>905</v>
      </c>
      <c r="G168" s="7">
        <v>1989</v>
      </c>
      <c r="H168" s="7"/>
      <c r="I168" s="14" t="str">
        <f>HYPERLINK("mailto:mailbox@ofwat.gov.uk","mailbox@ofwat.gov.uk")</f>
        <v>mailbox@ofwat.gov.uk</v>
      </c>
      <c r="J168" s="14" t="str">
        <f>HYPERLINK("https://www.ofwat.gov.uk/","www.ofwat.gov.uk")</f>
        <v>www.ofwat.gov.uk</v>
      </c>
      <c r="K168" s="13" t="s">
        <v>906</v>
      </c>
      <c r="L168" s="7" t="s">
        <v>907</v>
      </c>
      <c r="M168" s="7" t="s">
        <v>42</v>
      </c>
      <c r="N168" s="15" t="s">
        <v>43</v>
      </c>
      <c r="O168" s="16">
        <v>126000</v>
      </c>
      <c r="P168" s="15" t="s">
        <v>52</v>
      </c>
      <c r="Q168" s="17" t="s">
        <v>100</v>
      </c>
      <c r="R168" s="7" t="s">
        <v>37</v>
      </c>
      <c r="S168" s="7" t="s">
        <v>43</v>
      </c>
      <c r="T168" s="7" t="s">
        <v>43</v>
      </c>
      <c r="U168" s="7" t="s">
        <v>54</v>
      </c>
      <c r="V168" s="7">
        <v>2011</v>
      </c>
      <c r="W168" s="7">
        <v>239</v>
      </c>
      <c r="X168" s="18">
        <v>-888</v>
      </c>
      <c r="Y168" s="18">
        <v>31403</v>
      </c>
      <c r="Z168" s="18">
        <v>30515</v>
      </c>
      <c r="AA168" s="33">
        <v>30394</v>
      </c>
      <c r="AB168" s="33">
        <v>121</v>
      </c>
      <c r="AC168" s="33">
        <v>0</v>
      </c>
      <c r="AD168" s="7"/>
      <c r="AE168" s="7"/>
      <c r="AF168" s="7"/>
      <c r="AG168" s="7"/>
      <c r="AH168" s="7"/>
      <c r="AI168" s="7"/>
      <c r="AJ168" s="7"/>
      <c r="AK168" s="7"/>
      <c r="AL168" s="7"/>
      <c r="AM168" s="7"/>
      <c r="AN168" s="7"/>
      <c r="AO168" s="7"/>
      <c r="AP168" s="7"/>
      <c r="AQ168" s="7"/>
      <c r="AR168" s="7"/>
      <c r="AS168" s="7"/>
      <c r="AT168" s="7"/>
      <c r="AU168" s="7"/>
      <c r="AV168" s="7"/>
      <c r="AW168" s="7"/>
      <c r="AX168" s="7"/>
      <c r="AY168" s="7"/>
      <c r="AZ168" s="7"/>
    </row>
    <row r="169" spans="1:52" ht="63" customHeight="1">
      <c r="A169" s="12" t="s">
        <v>908</v>
      </c>
      <c r="B169" s="7">
        <v>1</v>
      </c>
      <c r="C169" s="7" t="s">
        <v>151</v>
      </c>
      <c r="D169" s="7" t="s">
        <v>95</v>
      </c>
      <c r="E169" s="7" t="s">
        <v>43</v>
      </c>
      <c r="F169" s="7" t="s">
        <v>909</v>
      </c>
      <c r="G169" s="7">
        <v>1998</v>
      </c>
      <c r="H169" s="7"/>
      <c r="I169" s="14" t="s">
        <v>910</v>
      </c>
      <c r="J169" s="14" t="s">
        <v>911</v>
      </c>
      <c r="K169" s="7" t="s">
        <v>912</v>
      </c>
      <c r="L169" s="7" t="s">
        <v>913</v>
      </c>
      <c r="M169" s="13" t="s">
        <v>42</v>
      </c>
      <c r="N169" s="15" t="s">
        <v>43</v>
      </c>
      <c r="O169" s="16">
        <v>50000</v>
      </c>
      <c r="P169" s="15" t="s">
        <v>914</v>
      </c>
      <c r="Q169" s="15" t="s">
        <v>374</v>
      </c>
      <c r="R169" s="7" t="s">
        <v>37</v>
      </c>
      <c r="S169" s="7" t="s">
        <v>37</v>
      </c>
      <c r="T169" s="7" t="s">
        <v>43</v>
      </c>
      <c r="U169" s="7" t="s">
        <v>54</v>
      </c>
      <c r="V169" s="7">
        <v>2003</v>
      </c>
      <c r="W169" s="7">
        <v>10</v>
      </c>
      <c r="X169" s="18">
        <v>683</v>
      </c>
      <c r="Y169" s="18">
        <v>0</v>
      </c>
      <c r="Z169" s="18">
        <v>683</v>
      </c>
      <c r="AA169" s="18">
        <v>720</v>
      </c>
      <c r="AB169" s="18">
        <v>0</v>
      </c>
      <c r="AC169" s="18">
        <v>0</v>
      </c>
      <c r="AD169" s="7"/>
      <c r="AE169" s="7"/>
      <c r="AF169" s="7"/>
      <c r="AG169" s="7"/>
      <c r="AH169" s="7"/>
      <c r="AI169" s="7"/>
      <c r="AJ169" s="7"/>
      <c r="AK169" s="7"/>
      <c r="AL169" s="7"/>
      <c r="AM169" s="7"/>
      <c r="AN169" s="7"/>
      <c r="AO169" s="7"/>
      <c r="AP169" s="7"/>
      <c r="AQ169" s="7"/>
      <c r="AR169" s="7"/>
      <c r="AS169" s="7"/>
      <c r="AT169" s="7"/>
      <c r="AU169" s="7"/>
      <c r="AV169" s="7"/>
      <c r="AW169" s="7"/>
      <c r="AX169" s="7"/>
      <c r="AY169" s="7"/>
      <c r="AZ169" s="7"/>
    </row>
    <row r="170" spans="1:52" ht="63" customHeight="1">
      <c r="A170" s="20" t="s">
        <v>915</v>
      </c>
      <c r="B170" s="7">
        <v>1</v>
      </c>
      <c r="C170" s="7" t="s">
        <v>89</v>
      </c>
      <c r="D170" s="7" t="s">
        <v>95</v>
      </c>
      <c r="E170" s="7" t="s">
        <v>37</v>
      </c>
      <c r="F170" s="7" t="s">
        <v>916</v>
      </c>
      <c r="G170" s="7">
        <v>1967</v>
      </c>
      <c r="H170" s="7"/>
      <c r="I170" s="14" t="str">
        <f>HYPERLINK("mailto:info@paroleboard.gsi.gov.uk","info@paroleboard.gsi.gov.uk")</f>
        <v>info@paroleboard.gsi.gov.uk</v>
      </c>
      <c r="J170" s="14" t="str">
        <f>HYPERLINK("https://www.gov.uk/government/organisations/parole-board","https://www.gov.uk/government/organisations/parole-board")</f>
        <v>https://www.gov.uk/government/organisations/parole-board</v>
      </c>
      <c r="K170" s="7" t="s">
        <v>352</v>
      </c>
      <c r="L170" s="7" t="s">
        <v>917</v>
      </c>
      <c r="M170" s="7" t="s">
        <v>42</v>
      </c>
      <c r="N170" s="15" t="s">
        <v>43</v>
      </c>
      <c r="O170" s="16">
        <v>400</v>
      </c>
      <c r="P170" s="15" t="s">
        <v>44</v>
      </c>
      <c r="Q170" s="17" t="s">
        <v>193</v>
      </c>
      <c r="R170" s="7" t="s">
        <v>37</v>
      </c>
      <c r="S170" s="7" t="s">
        <v>43</v>
      </c>
      <c r="T170" s="7" t="s">
        <v>43</v>
      </c>
      <c r="U170" s="7" t="s">
        <v>54</v>
      </c>
      <c r="V170" s="7">
        <v>2015</v>
      </c>
      <c r="W170" s="7">
        <v>121</v>
      </c>
      <c r="X170" s="18">
        <v>16453</v>
      </c>
      <c r="Y170" s="18">
        <v>0</v>
      </c>
      <c r="Z170" s="18">
        <v>16453</v>
      </c>
      <c r="AA170" s="18">
        <v>16856</v>
      </c>
      <c r="AB170" s="18">
        <v>448</v>
      </c>
      <c r="AC170" s="18">
        <v>0</v>
      </c>
      <c r="AD170" s="7"/>
      <c r="AE170" s="7"/>
      <c r="AF170" s="7"/>
      <c r="AG170" s="7"/>
      <c r="AH170" s="7"/>
      <c r="AI170" s="7"/>
      <c r="AJ170" s="7"/>
      <c r="AK170" s="7"/>
      <c r="AL170" s="7"/>
      <c r="AM170" s="7"/>
      <c r="AN170" s="7"/>
      <c r="AO170" s="7"/>
      <c r="AP170" s="7"/>
      <c r="AQ170" s="7"/>
      <c r="AR170" s="7"/>
      <c r="AS170" s="7"/>
      <c r="AT170" s="7"/>
      <c r="AU170" s="7"/>
      <c r="AV170" s="7"/>
      <c r="AW170" s="7"/>
      <c r="AX170" s="7"/>
      <c r="AY170" s="7"/>
      <c r="AZ170" s="7"/>
    </row>
    <row r="171" spans="1:52" ht="63" customHeight="1">
      <c r="A171" s="20" t="s">
        <v>918</v>
      </c>
      <c r="B171" s="7">
        <v>1</v>
      </c>
      <c r="C171" s="7" t="s">
        <v>512</v>
      </c>
      <c r="D171" s="7" t="s">
        <v>678</v>
      </c>
      <c r="E171" s="7" t="s">
        <v>37</v>
      </c>
      <c r="F171" s="7" t="s">
        <v>919</v>
      </c>
      <c r="G171" s="7">
        <v>1991</v>
      </c>
      <c r="H171" s="7"/>
      <c r="I171" s="14" t="s">
        <v>920</v>
      </c>
      <c r="J171" s="14" t="s">
        <v>921</v>
      </c>
      <c r="K171" s="7" t="s">
        <v>515</v>
      </c>
      <c r="L171" s="13" t="s">
        <v>46</v>
      </c>
      <c r="M171" s="13" t="s">
        <v>46</v>
      </c>
      <c r="N171" s="17" t="s">
        <v>46</v>
      </c>
      <c r="O171" s="16"/>
      <c r="P171" s="15"/>
      <c r="Q171" s="15"/>
      <c r="R171" s="7" t="s">
        <v>37</v>
      </c>
      <c r="S171" s="7" t="s">
        <v>37</v>
      </c>
      <c r="T171" s="7" t="s">
        <v>43</v>
      </c>
      <c r="U171" s="7" t="s">
        <v>54</v>
      </c>
      <c r="V171" s="7">
        <v>2019</v>
      </c>
      <c r="W171" s="7">
        <v>84</v>
      </c>
      <c r="X171" s="18">
        <v>6666.3490000000002</v>
      </c>
      <c r="Y171" s="18">
        <v>0</v>
      </c>
      <c r="Z171" s="18">
        <v>6666.3490000000002</v>
      </c>
      <c r="AA171" s="18">
        <v>6584.741</v>
      </c>
      <c r="AB171" s="18">
        <v>81.608000000000004</v>
      </c>
      <c r="AC171" s="18">
        <v>0</v>
      </c>
      <c r="AD171" s="7"/>
      <c r="AE171" s="7" t="s">
        <v>185</v>
      </c>
      <c r="AF171" s="7"/>
      <c r="AG171" s="7"/>
      <c r="AH171" s="7"/>
      <c r="AI171" s="7"/>
      <c r="AJ171" s="7"/>
      <c r="AK171" s="7"/>
      <c r="AL171" s="7"/>
      <c r="AM171" s="7"/>
      <c r="AN171" s="7"/>
      <c r="AO171" s="7"/>
      <c r="AP171" s="7"/>
      <c r="AQ171" s="7"/>
      <c r="AR171" s="7"/>
      <c r="AS171" s="7"/>
      <c r="AT171" s="7"/>
      <c r="AU171" s="7"/>
      <c r="AV171" s="7"/>
      <c r="AW171" s="7"/>
      <c r="AX171" s="7"/>
      <c r="AY171" s="7"/>
      <c r="AZ171" s="7"/>
    </row>
    <row r="172" spans="1:52" ht="63" customHeight="1">
      <c r="A172" s="20" t="s">
        <v>922</v>
      </c>
      <c r="B172" s="7">
        <v>1</v>
      </c>
      <c r="C172" s="7" t="s">
        <v>512</v>
      </c>
      <c r="D172" s="7" t="s">
        <v>95</v>
      </c>
      <c r="E172" s="7" t="s">
        <v>43</v>
      </c>
      <c r="F172" s="7" t="s">
        <v>923</v>
      </c>
      <c r="G172" s="7">
        <v>2005</v>
      </c>
      <c r="H172" s="7"/>
      <c r="I172" s="14" t="str">
        <f>HYPERLINK("mailto:customersupport@thepensionsregulator.gov.uk","customersupport@thepensionsregulator.gov.uk")</f>
        <v>customersupport@thepensionsregulator.gov.uk</v>
      </c>
      <c r="J172" s="14" t="str">
        <f>HYPERLINK("http://www.thepensionsregulator.gov.uk/","http://www.thepensionsregulator.gov.uk/")</f>
        <v>http://www.thepensionsregulator.gov.uk/</v>
      </c>
      <c r="K172" s="7" t="s">
        <v>646</v>
      </c>
      <c r="L172" s="7" t="s">
        <v>924</v>
      </c>
      <c r="M172" s="7" t="s">
        <v>42</v>
      </c>
      <c r="N172" s="15" t="s">
        <v>43</v>
      </c>
      <c r="O172" s="16">
        <v>92300</v>
      </c>
      <c r="P172" s="15" t="s">
        <v>52</v>
      </c>
      <c r="Q172" s="15"/>
      <c r="R172" s="7" t="s">
        <v>37</v>
      </c>
      <c r="S172" s="7" t="s">
        <v>43</v>
      </c>
      <c r="T172" s="7" t="s">
        <v>43</v>
      </c>
      <c r="U172" s="7" t="s">
        <v>54</v>
      </c>
      <c r="V172" s="7">
        <v>2019</v>
      </c>
      <c r="W172" s="7">
        <v>675</v>
      </c>
      <c r="X172" s="18">
        <v>83588</v>
      </c>
      <c r="Y172" s="18">
        <v>82</v>
      </c>
      <c r="Z172" s="18">
        <v>83670</v>
      </c>
      <c r="AA172" s="18">
        <f>34851+50446</f>
        <v>85297</v>
      </c>
      <c r="AB172" s="18">
        <v>410</v>
      </c>
      <c r="AC172" s="18">
        <v>0</v>
      </c>
      <c r="AD172" s="7" t="s">
        <v>925</v>
      </c>
      <c r="AE172" s="7"/>
      <c r="AF172" s="7"/>
      <c r="AG172" s="7"/>
      <c r="AH172" s="7"/>
      <c r="AI172" s="7"/>
      <c r="AJ172" s="7"/>
      <c r="AK172" s="7"/>
      <c r="AL172" s="7"/>
      <c r="AM172" s="7"/>
      <c r="AN172" s="7"/>
      <c r="AO172" s="7"/>
      <c r="AP172" s="7"/>
      <c r="AQ172" s="7"/>
      <c r="AR172" s="7"/>
      <c r="AS172" s="7"/>
      <c r="AT172" s="7"/>
      <c r="AU172" s="7"/>
      <c r="AV172" s="7"/>
      <c r="AW172" s="7"/>
      <c r="AX172" s="7"/>
      <c r="AY172" s="7"/>
      <c r="AZ172" s="7"/>
    </row>
    <row r="173" spans="1:52" ht="63" customHeight="1">
      <c r="A173" s="20" t="s">
        <v>926</v>
      </c>
      <c r="B173" s="7">
        <v>1</v>
      </c>
      <c r="C173" s="7" t="s">
        <v>212</v>
      </c>
      <c r="D173" s="7" t="s">
        <v>108</v>
      </c>
      <c r="E173" s="7" t="s">
        <v>43</v>
      </c>
      <c r="F173" s="7" t="s">
        <v>927</v>
      </c>
      <c r="G173" s="7">
        <v>1983</v>
      </c>
      <c r="H173" s="7" t="s">
        <v>928</v>
      </c>
      <c r="I173" s="14" t="str">
        <f>HYPERLINK("enquiries@planninginspectorate.gov.uk ","enquiries@planninginspectorate.gov.uk ")</f>
        <v xml:space="preserve">enquiries@planninginspectorate.gov.uk </v>
      </c>
      <c r="J173" s="14" t="str">
        <f>HYPERLINK("https://www.gov.uk/government/organisations/planning-inspectorate ","https://www.gov.uk/government/organisations/planning-inspectorate ")</f>
        <v xml:space="preserve">https://www.gov.uk/government/organisations/planning-inspectorate </v>
      </c>
      <c r="K173" s="7" t="s">
        <v>929</v>
      </c>
      <c r="L173" s="7" t="s">
        <v>930</v>
      </c>
      <c r="M173" s="7" t="s">
        <v>42</v>
      </c>
      <c r="N173" s="15" t="s">
        <v>43</v>
      </c>
      <c r="O173" s="16">
        <v>20000</v>
      </c>
      <c r="P173" s="15" t="s">
        <v>52</v>
      </c>
      <c r="Q173" s="15" t="s">
        <v>931</v>
      </c>
      <c r="R173" s="7" t="s">
        <v>37</v>
      </c>
      <c r="S173" s="7" t="s">
        <v>43</v>
      </c>
      <c r="T173" s="7" t="s">
        <v>43</v>
      </c>
      <c r="U173" s="7" t="s">
        <v>46</v>
      </c>
      <c r="V173" s="7">
        <v>2010</v>
      </c>
      <c r="W173" s="7">
        <v>650</v>
      </c>
      <c r="X173" s="18">
        <v>37155</v>
      </c>
      <c r="Y173" s="18">
        <v>16247</v>
      </c>
      <c r="Z173" s="18">
        <f>(X173+Y173)</f>
        <v>53402</v>
      </c>
      <c r="AA173" s="18">
        <v>52344</v>
      </c>
      <c r="AB173" s="18">
        <v>4452</v>
      </c>
      <c r="AC173" s="18">
        <v>0</v>
      </c>
      <c r="AD173" s="7"/>
      <c r="AE173" s="7"/>
      <c r="AF173" s="7"/>
      <c r="AG173" s="7"/>
      <c r="AH173" s="7"/>
      <c r="AI173" s="7"/>
      <c r="AJ173" s="7"/>
      <c r="AK173" s="7"/>
      <c r="AL173" s="7"/>
      <c r="AM173" s="7"/>
      <c r="AN173" s="7"/>
      <c r="AO173" s="7"/>
      <c r="AP173" s="7"/>
      <c r="AQ173" s="7"/>
      <c r="AR173" s="7"/>
      <c r="AS173" s="7"/>
      <c r="AT173" s="7"/>
      <c r="AU173" s="7"/>
      <c r="AV173" s="7"/>
      <c r="AW173" s="7"/>
      <c r="AX173" s="7"/>
      <c r="AY173" s="7"/>
      <c r="AZ173" s="7"/>
    </row>
    <row r="174" spans="1:52" ht="63" customHeight="1">
      <c r="A174" s="20" t="s">
        <v>932</v>
      </c>
      <c r="B174" s="7">
        <v>1</v>
      </c>
      <c r="C174" s="7" t="s">
        <v>79</v>
      </c>
      <c r="D174" s="7" t="s">
        <v>678</v>
      </c>
      <c r="E174" s="7" t="s">
        <v>37</v>
      </c>
      <c r="F174" s="7" t="s">
        <v>933</v>
      </c>
      <c r="G174" s="7">
        <v>1964</v>
      </c>
      <c r="H174" s="7" t="s">
        <v>934</v>
      </c>
      <c r="I174" s="14" t="str">
        <f>HYPERLINK("mailto:andy.mitchell@defra.gov.uk","andy.mitchell@defra.gov.uk")</f>
        <v>andy.mitchell@defra.gov.uk</v>
      </c>
      <c r="J174" s="14" t="str">
        <f>HYPERLINK("https://www.gov.uk/government/organisations/plant-varieties-and-seeds-tribunal","https://www.gov.uk/government/organisations/plant-varieties-and-seeds-tribunal")</f>
        <v>https://www.gov.uk/government/organisations/plant-varieties-and-seeds-tribunal</v>
      </c>
      <c r="K174" s="7" t="s">
        <v>935</v>
      </c>
      <c r="L174" s="7" t="s">
        <v>46</v>
      </c>
      <c r="M174" s="13" t="s">
        <v>46</v>
      </c>
      <c r="N174" s="17" t="s">
        <v>46</v>
      </c>
      <c r="O174" s="16"/>
      <c r="P174" s="15"/>
      <c r="Q174" s="15"/>
      <c r="R174" s="7"/>
      <c r="S174" s="7"/>
      <c r="T174" s="7"/>
      <c r="U174" s="7"/>
      <c r="V174" s="47"/>
      <c r="W174" s="7">
        <v>0</v>
      </c>
      <c r="X174" s="18">
        <v>0</v>
      </c>
      <c r="Y174" s="18">
        <v>0</v>
      </c>
      <c r="Z174" s="18">
        <v>0</v>
      </c>
      <c r="AA174" s="18">
        <v>0</v>
      </c>
      <c r="AB174" s="18">
        <v>0</v>
      </c>
      <c r="AC174" s="18">
        <v>0</v>
      </c>
      <c r="AD174" s="7"/>
      <c r="AE174" s="7"/>
      <c r="AF174" s="7"/>
      <c r="AG174" s="7"/>
      <c r="AH174" s="7"/>
      <c r="AI174" s="7"/>
      <c r="AJ174" s="7"/>
      <c r="AK174" s="7"/>
      <c r="AL174" s="7"/>
      <c r="AM174" s="7"/>
      <c r="AN174" s="7"/>
      <c r="AO174" s="7"/>
      <c r="AP174" s="7"/>
      <c r="AQ174" s="7"/>
      <c r="AR174" s="7"/>
      <c r="AS174" s="7"/>
      <c r="AT174" s="7"/>
      <c r="AU174" s="7"/>
      <c r="AV174" s="7"/>
      <c r="AW174" s="7"/>
      <c r="AX174" s="7"/>
      <c r="AY174" s="7"/>
      <c r="AZ174" s="7"/>
    </row>
    <row r="175" spans="1:52" ht="63" customHeight="1">
      <c r="A175" s="20" t="s">
        <v>936</v>
      </c>
      <c r="B175" s="7">
        <v>1</v>
      </c>
      <c r="C175" s="7" t="s">
        <v>133</v>
      </c>
      <c r="D175" s="7" t="s">
        <v>678</v>
      </c>
      <c r="E175" s="7" t="s">
        <v>37</v>
      </c>
      <c r="F175" s="7" t="s">
        <v>937</v>
      </c>
      <c r="G175" s="7">
        <v>1964</v>
      </c>
      <c r="H175" s="7" t="s">
        <v>938</v>
      </c>
      <c r="I175" s="7" t="s">
        <v>46</v>
      </c>
      <c r="J175" s="14" t="str">
        <f>HYPERLINK("https://www.gov.uk/government/organisations/police-discipline-appeals-tribunal","https://www.gov.uk/government/organisations/police-discipline-appeals-tribunal")</f>
        <v>https://www.gov.uk/government/organisations/police-discipline-appeals-tribunal</v>
      </c>
      <c r="K175" s="7" t="s">
        <v>939</v>
      </c>
      <c r="L175" s="7" t="s">
        <v>940</v>
      </c>
      <c r="M175" s="7" t="s">
        <v>42</v>
      </c>
      <c r="N175" s="15" t="s">
        <v>43</v>
      </c>
      <c r="O175" s="16">
        <v>477</v>
      </c>
      <c r="P175" s="15" t="s">
        <v>44</v>
      </c>
      <c r="Q175" s="15" t="s">
        <v>941</v>
      </c>
      <c r="R175" s="7" t="s">
        <v>37</v>
      </c>
      <c r="S175" s="7" t="s">
        <v>37</v>
      </c>
      <c r="T175" s="7" t="s">
        <v>37</v>
      </c>
      <c r="U175" s="7" t="s">
        <v>942</v>
      </c>
      <c r="V175" s="7">
        <v>2014</v>
      </c>
      <c r="W175" s="7">
        <v>0</v>
      </c>
      <c r="X175" s="18">
        <v>0</v>
      </c>
      <c r="Y175" s="18">
        <v>0</v>
      </c>
      <c r="Z175" s="18">
        <v>0</v>
      </c>
      <c r="AA175" s="18">
        <v>0</v>
      </c>
      <c r="AB175" s="18">
        <v>0</v>
      </c>
      <c r="AC175" s="18">
        <v>0</v>
      </c>
      <c r="AD175" s="7" t="s">
        <v>943</v>
      </c>
      <c r="AE175" s="7"/>
      <c r="AF175" s="7"/>
      <c r="AG175" s="7"/>
      <c r="AH175" s="7"/>
      <c r="AI175" s="7"/>
      <c r="AJ175" s="7"/>
      <c r="AK175" s="7"/>
      <c r="AL175" s="7"/>
      <c r="AM175" s="7"/>
      <c r="AN175" s="7"/>
      <c r="AO175" s="7"/>
      <c r="AP175" s="7"/>
      <c r="AQ175" s="7"/>
      <c r="AR175" s="7"/>
      <c r="AS175" s="7"/>
      <c r="AT175" s="7"/>
      <c r="AU175" s="7"/>
      <c r="AV175" s="7"/>
      <c r="AW175" s="7"/>
      <c r="AX175" s="7"/>
      <c r="AY175" s="7"/>
      <c r="AZ175" s="7"/>
    </row>
    <row r="176" spans="1:52" ht="63" customHeight="1">
      <c r="A176" s="20" t="s">
        <v>944</v>
      </c>
      <c r="B176" s="7">
        <v>1</v>
      </c>
      <c r="C176" s="7" t="s">
        <v>133</v>
      </c>
      <c r="D176" s="7" t="s">
        <v>36</v>
      </c>
      <c r="E176" s="7" t="s">
        <v>37</v>
      </c>
      <c r="F176" s="7" t="s">
        <v>945</v>
      </c>
      <c r="G176" s="7">
        <v>2014</v>
      </c>
      <c r="H176" s="7"/>
      <c r="I176" s="7" t="s">
        <v>946</v>
      </c>
      <c r="J176" s="14" t="str">
        <f>HYPERLINK("https://www.gov.uk/government/organisations/police-remuneration-review-body","https://www.gov.uk/government/organisations/police-remuneration-review-body")</f>
        <v>https://www.gov.uk/government/organisations/police-remuneration-review-body</v>
      </c>
      <c r="K176" s="7" t="s">
        <v>939</v>
      </c>
      <c r="L176" s="7" t="s">
        <v>772</v>
      </c>
      <c r="M176" s="7" t="s">
        <v>42</v>
      </c>
      <c r="N176" s="15" t="s">
        <v>43</v>
      </c>
      <c r="O176" s="16">
        <v>350</v>
      </c>
      <c r="P176" s="15" t="s">
        <v>44</v>
      </c>
      <c r="Q176" s="17" t="s">
        <v>947</v>
      </c>
      <c r="R176" s="7" t="s">
        <v>37</v>
      </c>
      <c r="S176" s="7" t="s">
        <v>37</v>
      </c>
      <c r="T176" s="7" t="s">
        <v>37</v>
      </c>
      <c r="U176" s="7" t="s">
        <v>46</v>
      </c>
      <c r="V176" s="7"/>
      <c r="W176" s="7">
        <v>6</v>
      </c>
      <c r="X176" s="18">
        <v>0</v>
      </c>
      <c r="Y176" s="18">
        <v>0</v>
      </c>
      <c r="Z176" s="18">
        <v>0</v>
      </c>
      <c r="AA176" s="18">
        <v>0</v>
      </c>
      <c r="AB176" s="18">
        <v>0</v>
      </c>
      <c r="AC176" s="18">
        <v>0</v>
      </c>
      <c r="AD176" s="7" t="s">
        <v>948</v>
      </c>
      <c r="AE176" s="7" t="s">
        <v>185</v>
      </c>
      <c r="AF176" s="7"/>
      <c r="AG176" s="7"/>
      <c r="AH176" s="7"/>
      <c r="AI176" s="7"/>
      <c r="AJ176" s="7"/>
      <c r="AK176" s="7"/>
      <c r="AL176" s="7"/>
      <c r="AM176" s="7"/>
      <c r="AN176" s="7"/>
      <c r="AO176" s="7"/>
      <c r="AP176" s="7"/>
      <c r="AQ176" s="7"/>
      <c r="AR176" s="7"/>
      <c r="AS176" s="7"/>
      <c r="AT176" s="7"/>
      <c r="AU176" s="7"/>
      <c r="AV176" s="7"/>
      <c r="AW176" s="7"/>
      <c r="AX176" s="7"/>
      <c r="AY176" s="7"/>
      <c r="AZ176" s="7"/>
    </row>
    <row r="177" spans="1:52" ht="63" customHeight="1">
      <c r="A177" s="20" t="s">
        <v>949</v>
      </c>
      <c r="B177" s="7">
        <v>1</v>
      </c>
      <c r="C177" s="7" t="s">
        <v>89</v>
      </c>
      <c r="D177" s="7" t="s">
        <v>95</v>
      </c>
      <c r="E177" s="7" t="s">
        <v>37</v>
      </c>
      <c r="F177" s="7" t="s">
        <v>950</v>
      </c>
      <c r="G177" s="7">
        <v>2001</v>
      </c>
      <c r="H177" s="7"/>
      <c r="I177" s="14" t="str">
        <f>HYPERLINK("mailto:elizabeth.waterfall@beis.gov.uk","elizabeth.waterfall@beis.gov.uk")</f>
        <v>elizabeth.waterfall@beis.gov.uk</v>
      </c>
      <c r="J177" s="14" t="s">
        <v>951</v>
      </c>
      <c r="K177" s="7" t="s">
        <v>952</v>
      </c>
      <c r="L177" s="7" t="s">
        <v>953</v>
      </c>
      <c r="M177" s="7" t="s">
        <v>42</v>
      </c>
      <c r="N177" s="15" t="s">
        <v>43</v>
      </c>
      <c r="O177" s="16">
        <v>350</v>
      </c>
      <c r="P177" s="15" t="s">
        <v>44</v>
      </c>
      <c r="Q177" s="15" t="s">
        <v>379</v>
      </c>
      <c r="R177" s="7" t="s">
        <v>37</v>
      </c>
      <c r="S177" s="7" t="s">
        <v>37</v>
      </c>
      <c r="T177" s="7" t="s">
        <v>43</v>
      </c>
      <c r="U177" s="7" t="s">
        <v>46</v>
      </c>
      <c r="V177" s="7">
        <v>2014</v>
      </c>
      <c r="W177" s="7">
        <v>0</v>
      </c>
      <c r="X177" s="18">
        <v>0</v>
      </c>
      <c r="Y177" s="18">
        <v>0</v>
      </c>
      <c r="Z177" s="18">
        <v>0</v>
      </c>
      <c r="AA177" s="18">
        <v>37</v>
      </c>
      <c r="AB177" s="18">
        <v>0</v>
      </c>
      <c r="AC177" s="18">
        <v>0</v>
      </c>
      <c r="AD177" s="7"/>
      <c r="AE177" s="7"/>
      <c r="AF177" s="7"/>
      <c r="AG177" s="7"/>
      <c r="AH177" s="7"/>
      <c r="AI177" s="7"/>
      <c r="AJ177" s="7"/>
      <c r="AK177" s="7"/>
      <c r="AL177" s="7"/>
      <c r="AM177" s="7"/>
      <c r="AN177" s="7"/>
      <c r="AO177" s="7"/>
      <c r="AP177" s="7"/>
      <c r="AQ177" s="7"/>
      <c r="AR177" s="7"/>
      <c r="AS177" s="7"/>
      <c r="AT177" s="7"/>
      <c r="AU177" s="7"/>
      <c r="AV177" s="7"/>
      <c r="AW177" s="7"/>
      <c r="AX177" s="7"/>
      <c r="AY177" s="7"/>
      <c r="AZ177" s="7"/>
    </row>
    <row r="178" spans="1:52" ht="63" customHeight="1">
      <c r="A178" s="20" t="s">
        <v>954</v>
      </c>
      <c r="B178" s="7">
        <v>1</v>
      </c>
      <c r="C178" s="7" t="s">
        <v>58</v>
      </c>
      <c r="D178" s="7" t="s">
        <v>108</v>
      </c>
      <c r="E178" s="7" t="s">
        <v>37</v>
      </c>
      <c r="F178" s="7" t="s">
        <v>955</v>
      </c>
      <c r="G178" s="7">
        <v>2013</v>
      </c>
      <c r="H178" s="7"/>
      <c r="I178" s="14" t="str">
        <f>HYPERLINK("mailto:enquiries@phe.gov.uk","enquiries@phe.gov.uk")</f>
        <v>enquiries@phe.gov.uk</v>
      </c>
      <c r="J178" s="14" t="str">
        <f>HYPERLINK("https://www.gov.uk/government/organisations/public-health-england","https://www.gov.uk/government/organisations/public-health-england")</f>
        <v>https://www.gov.uk/government/organisations/public-health-england</v>
      </c>
      <c r="K178" s="7" t="s">
        <v>599</v>
      </c>
      <c r="L178" s="7" t="s">
        <v>956</v>
      </c>
      <c r="M178" s="7" t="s">
        <v>42</v>
      </c>
      <c r="N178" s="15" t="s">
        <v>43</v>
      </c>
      <c r="O178" s="16">
        <v>21016</v>
      </c>
      <c r="P178" s="15" t="s">
        <v>52</v>
      </c>
      <c r="Q178" s="17" t="s">
        <v>957</v>
      </c>
      <c r="R178" s="7" t="s">
        <v>43</v>
      </c>
      <c r="S178" s="7" t="s">
        <v>43</v>
      </c>
      <c r="T178" s="7" t="s">
        <v>43</v>
      </c>
      <c r="U178" s="7" t="s">
        <v>54</v>
      </c>
      <c r="V178" s="7">
        <v>2017</v>
      </c>
      <c r="W178" s="26">
        <v>5446</v>
      </c>
      <c r="X178" s="18">
        <v>3925010</v>
      </c>
      <c r="Y178" s="18">
        <v>240437</v>
      </c>
      <c r="Z178" s="18">
        <f>(X178+Y178)</f>
        <v>4165447</v>
      </c>
      <c r="AA178" s="18">
        <v>998001</v>
      </c>
      <c r="AB178" s="18">
        <v>-70475</v>
      </c>
      <c r="AC178" s="18">
        <v>-2181</v>
      </c>
      <c r="AD178" s="7"/>
      <c r="AE178" s="7"/>
      <c r="AF178" s="7"/>
      <c r="AG178" s="7"/>
      <c r="AH178" s="7"/>
      <c r="AI178" s="7"/>
      <c r="AJ178" s="7"/>
      <c r="AK178" s="7"/>
      <c r="AL178" s="7"/>
      <c r="AM178" s="7"/>
      <c r="AN178" s="7"/>
      <c r="AO178" s="7"/>
      <c r="AP178" s="7"/>
      <c r="AQ178" s="7"/>
      <c r="AR178" s="7"/>
      <c r="AS178" s="7"/>
      <c r="AT178" s="7"/>
      <c r="AU178" s="7"/>
      <c r="AV178" s="7"/>
      <c r="AW178" s="7"/>
      <c r="AX178" s="7"/>
      <c r="AY178" s="7"/>
      <c r="AZ178" s="7"/>
    </row>
    <row r="179" spans="1:52" ht="63" customHeight="1">
      <c r="A179" s="20" t="s">
        <v>958</v>
      </c>
      <c r="B179" s="7">
        <v>1</v>
      </c>
      <c r="C179" s="7" t="s">
        <v>212</v>
      </c>
      <c r="D179" s="7" t="s">
        <v>108</v>
      </c>
      <c r="E179" s="7" t="s">
        <v>37</v>
      </c>
      <c r="F179" s="7" t="s">
        <v>959</v>
      </c>
      <c r="G179" s="7">
        <v>1986</v>
      </c>
      <c r="H179" s="7" t="s">
        <v>960</v>
      </c>
      <c r="I179" s="14" t="str">
        <f>HYPERLINK("mark.taylor@qeiicentre.london","mark.taylor@qeiicentre.london")</f>
        <v>mark.taylor@qeiicentre.london</v>
      </c>
      <c r="J179" s="14" t="str">
        <f>HYPERLINK("https://qeiicentre.london/","https://qeiicentre.london/")</f>
        <v>https://qeiicentre.london/</v>
      </c>
      <c r="K179" s="7" t="s">
        <v>961</v>
      </c>
      <c r="L179" s="13" t="s">
        <v>46</v>
      </c>
      <c r="M179" s="13" t="s">
        <v>46</v>
      </c>
      <c r="N179" s="17" t="s">
        <v>46</v>
      </c>
      <c r="O179" s="16" t="s">
        <v>46</v>
      </c>
      <c r="P179" s="17" t="s">
        <v>46</v>
      </c>
      <c r="Q179" s="17" t="s">
        <v>46</v>
      </c>
      <c r="R179" s="7" t="s">
        <v>37</v>
      </c>
      <c r="S179" s="7" t="s">
        <v>37</v>
      </c>
      <c r="T179" s="7" t="s">
        <v>43</v>
      </c>
      <c r="U179" s="7" t="s">
        <v>46</v>
      </c>
      <c r="V179" s="13">
        <v>2012</v>
      </c>
      <c r="W179" s="7">
        <v>50</v>
      </c>
      <c r="X179" s="18">
        <v>0</v>
      </c>
      <c r="Y179" s="18">
        <v>15899</v>
      </c>
      <c r="Z179" s="18">
        <f>IF(SUM(Y179)&lt;&gt;0,SUM(Y179),"")</f>
        <v>15899</v>
      </c>
      <c r="AA179" s="18">
        <v>14405</v>
      </c>
      <c r="AB179" s="18">
        <v>1658</v>
      </c>
      <c r="AC179" s="18">
        <v>0</v>
      </c>
      <c r="AD179" s="7"/>
      <c r="AE179" s="7"/>
      <c r="AF179" s="7"/>
      <c r="AG179" s="7"/>
      <c r="AH179" s="7"/>
      <c r="AI179" s="7"/>
      <c r="AJ179" s="7"/>
      <c r="AK179" s="7"/>
      <c r="AL179" s="7"/>
      <c r="AM179" s="7"/>
      <c r="AN179" s="7"/>
      <c r="AO179" s="7"/>
      <c r="AP179" s="7"/>
      <c r="AQ179" s="7"/>
      <c r="AR179" s="7"/>
      <c r="AS179" s="7"/>
      <c r="AT179" s="7"/>
      <c r="AU179" s="7"/>
      <c r="AV179" s="7"/>
      <c r="AW179" s="7"/>
      <c r="AX179" s="7"/>
      <c r="AY179" s="7"/>
      <c r="AZ179" s="7"/>
    </row>
    <row r="180" spans="1:52" ht="63" customHeight="1">
      <c r="A180" s="8" t="s">
        <v>962</v>
      </c>
      <c r="B180" s="13">
        <v>9</v>
      </c>
      <c r="C180" s="27" t="s">
        <v>467</v>
      </c>
      <c r="D180" s="7" t="s">
        <v>36</v>
      </c>
      <c r="E180" s="7" t="s">
        <v>37</v>
      </c>
      <c r="F180" s="13" t="s">
        <v>963</v>
      </c>
      <c r="G180" s="7">
        <v>1967</v>
      </c>
      <c r="H180" s="7"/>
      <c r="I180" s="14" t="str">
        <f>HYPERLINK("mailto:Commissioners@forestrycommission.gov.uk","Commissioners@forestrycommission.gov.uk")</f>
        <v>Commissioners@forestrycommission.gov.uk</v>
      </c>
      <c r="J180" s="14" t="str">
        <f>HYPERLINK("https://www.gov.uk/government/organisations/forestry-commission","https://www.gov.uk/government/organisations/forestry-commission")</f>
        <v>https://www.gov.uk/government/organisations/forestry-commission</v>
      </c>
      <c r="K180" s="7" t="s">
        <v>964</v>
      </c>
      <c r="L180" s="7" t="s">
        <v>92</v>
      </c>
      <c r="M180" s="7" t="s">
        <v>71</v>
      </c>
      <c r="N180" s="17" t="s">
        <v>56</v>
      </c>
      <c r="O180" s="16">
        <v>2701</v>
      </c>
      <c r="P180" s="15" t="s">
        <v>52</v>
      </c>
      <c r="Q180" s="37"/>
      <c r="R180" s="7" t="s">
        <v>37</v>
      </c>
      <c r="S180" s="7" t="s">
        <v>37</v>
      </c>
      <c r="T180" s="7" t="s">
        <v>37</v>
      </c>
      <c r="U180" s="7" t="s">
        <v>54</v>
      </c>
      <c r="V180" s="7">
        <v>2013</v>
      </c>
      <c r="W180" s="7">
        <v>0</v>
      </c>
      <c r="X180" s="18">
        <v>0</v>
      </c>
      <c r="Y180" s="18">
        <v>0</v>
      </c>
      <c r="Z180" s="18">
        <v>0</v>
      </c>
      <c r="AA180" s="18">
        <v>0</v>
      </c>
      <c r="AB180" s="18">
        <v>0</v>
      </c>
      <c r="AC180" s="18">
        <v>0</v>
      </c>
      <c r="AD180" s="7"/>
      <c r="AE180" s="7"/>
      <c r="AF180" s="7"/>
      <c r="AG180" s="7"/>
      <c r="AH180" s="7"/>
      <c r="AI180" s="7"/>
      <c r="AJ180" s="7"/>
      <c r="AK180" s="7"/>
      <c r="AL180" s="7"/>
      <c r="AM180" s="7"/>
      <c r="AN180" s="7"/>
      <c r="AO180" s="7"/>
      <c r="AP180" s="7"/>
      <c r="AQ180" s="7"/>
      <c r="AR180" s="7"/>
      <c r="AS180" s="7"/>
      <c r="AT180" s="7"/>
      <c r="AU180" s="7"/>
      <c r="AV180" s="7"/>
      <c r="AW180" s="7"/>
      <c r="AX180" s="7"/>
      <c r="AY180" s="7"/>
      <c r="AZ180" s="7"/>
    </row>
    <row r="181" spans="1:52" ht="98.25" customHeight="1">
      <c r="A181" s="20" t="s">
        <v>965</v>
      </c>
      <c r="B181" s="7">
        <v>1</v>
      </c>
      <c r="C181" s="7" t="s">
        <v>212</v>
      </c>
      <c r="D181" s="7" t="s">
        <v>95</v>
      </c>
      <c r="E181" s="7" t="s">
        <v>43</v>
      </c>
      <c r="F181" s="7" t="s">
        <v>966</v>
      </c>
      <c r="G181" s="7">
        <v>2018</v>
      </c>
      <c r="H181" s="7"/>
      <c r="I181" s="14" t="str">
        <f>HYPERLINK("mailto:enquiries@rsh.gov.uk","enquiries@rsh.gov.uk")</f>
        <v>enquiries@rsh.gov.uk</v>
      </c>
      <c r="J181" s="14" t="str">
        <f>HYPERLINK("https://www.gov.uk/government/organisations/regulator-of-social-housing","https://www.gov.uk/government/organisations/regulator-of-social-housing")</f>
        <v>https://www.gov.uk/government/organisations/regulator-of-social-housing</v>
      </c>
      <c r="K181" s="7" t="s">
        <v>967</v>
      </c>
      <c r="L181" s="27" t="s">
        <v>968</v>
      </c>
      <c r="M181" s="13" t="s">
        <v>42</v>
      </c>
      <c r="N181" s="15" t="s">
        <v>43</v>
      </c>
      <c r="O181" s="16">
        <v>65000</v>
      </c>
      <c r="P181" s="15" t="s">
        <v>52</v>
      </c>
      <c r="Q181" s="17" t="s">
        <v>105</v>
      </c>
      <c r="R181" s="7" t="s">
        <v>37</v>
      </c>
      <c r="S181" s="7" t="s">
        <v>43</v>
      </c>
      <c r="T181" s="7" t="s">
        <v>43</v>
      </c>
      <c r="U181" s="7" t="s">
        <v>46</v>
      </c>
      <c r="V181" s="7"/>
      <c r="W181" s="7">
        <v>150</v>
      </c>
      <c r="X181" s="18">
        <v>5872</v>
      </c>
      <c r="Y181" s="18">
        <v>12751</v>
      </c>
      <c r="Z181" s="18">
        <f>(X181+Y181)</f>
        <v>18623</v>
      </c>
      <c r="AA181" s="18">
        <v>17385</v>
      </c>
      <c r="AB181" s="18">
        <v>1238</v>
      </c>
      <c r="AC181" s="18">
        <v>2436</v>
      </c>
      <c r="AD181" s="7"/>
      <c r="AE181" s="7" t="s">
        <v>185</v>
      </c>
      <c r="AF181" s="7"/>
      <c r="AG181" s="7"/>
      <c r="AH181" s="7"/>
      <c r="AI181" s="7"/>
      <c r="AJ181" s="7"/>
      <c r="AK181" s="7"/>
      <c r="AL181" s="7"/>
      <c r="AM181" s="7"/>
      <c r="AN181" s="7"/>
      <c r="AO181" s="7"/>
      <c r="AP181" s="7"/>
      <c r="AQ181" s="7"/>
      <c r="AR181" s="7"/>
      <c r="AS181" s="7"/>
      <c r="AT181" s="7"/>
      <c r="AU181" s="7"/>
      <c r="AV181" s="7"/>
      <c r="AW181" s="7"/>
      <c r="AX181" s="7"/>
      <c r="AY181" s="7"/>
      <c r="AZ181" s="7"/>
    </row>
    <row r="182" spans="1:52" ht="63" customHeight="1">
      <c r="A182" s="20" t="s">
        <v>969</v>
      </c>
      <c r="B182" s="7">
        <v>1</v>
      </c>
      <c r="C182" s="7" t="s">
        <v>94</v>
      </c>
      <c r="D182" s="7" t="s">
        <v>95</v>
      </c>
      <c r="E182" s="7" t="s">
        <v>63</v>
      </c>
      <c r="F182" s="7" t="s">
        <v>970</v>
      </c>
      <c r="G182" s="7">
        <v>2009</v>
      </c>
      <c r="H182" s="7"/>
      <c r="I182" s="14" t="str">
        <f>HYPERLINK("mailto:regulatoryenquiries@rpc.gov.uk","regulatoryenquiries@rpc.gov.uk")</f>
        <v>regulatoryenquiries@rpc.gov.uk</v>
      </c>
      <c r="J182" s="14" t="str">
        <f>HYPERLINK("https://www.gov.uk/government/organisations/regulatory-policy-committee","https://www.gov.uk/government/organisations/regulatory-policy-committee")</f>
        <v>https://www.gov.uk/government/organisations/regulatory-policy-committee</v>
      </c>
      <c r="K182" s="7" t="s">
        <v>97</v>
      </c>
      <c r="L182" s="7" t="s">
        <v>971</v>
      </c>
      <c r="M182" s="7" t="s">
        <v>42</v>
      </c>
      <c r="N182" s="15" t="s">
        <v>56</v>
      </c>
      <c r="O182" s="16">
        <v>500</v>
      </c>
      <c r="P182" s="15" t="s">
        <v>44</v>
      </c>
      <c r="Q182" s="15" t="s">
        <v>972</v>
      </c>
      <c r="R182" s="7" t="s">
        <v>63</v>
      </c>
      <c r="S182" s="7" t="s">
        <v>56</v>
      </c>
      <c r="T182" s="7" t="s">
        <v>56</v>
      </c>
      <c r="U182" s="7" t="s">
        <v>46</v>
      </c>
      <c r="V182" s="7">
        <v>2014</v>
      </c>
      <c r="W182" s="7">
        <v>15</v>
      </c>
      <c r="X182" s="18">
        <v>882.26</v>
      </c>
      <c r="Y182" s="18">
        <v>0</v>
      </c>
      <c r="Z182" s="18">
        <v>882.26</v>
      </c>
      <c r="AA182" s="18">
        <v>750.61300000000006</v>
      </c>
      <c r="AB182" s="18">
        <v>0</v>
      </c>
      <c r="AC182" s="18">
        <v>0</v>
      </c>
      <c r="AD182" s="7" t="s">
        <v>185</v>
      </c>
      <c r="AE182" s="7"/>
      <c r="AF182" s="7"/>
      <c r="AG182" s="7"/>
      <c r="AH182" s="7"/>
      <c r="AI182" s="7"/>
      <c r="AJ182" s="7"/>
      <c r="AK182" s="7"/>
      <c r="AL182" s="7"/>
      <c r="AM182" s="7"/>
      <c r="AN182" s="7"/>
      <c r="AO182" s="7"/>
      <c r="AP182" s="7"/>
      <c r="AQ182" s="7"/>
      <c r="AR182" s="7"/>
      <c r="AS182" s="7"/>
      <c r="AT182" s="7"/>
      <c r="AU182" s="7"/>
      <c r="AV182" s="7"/>
      <c r="AW182" s="7"/>
      <c r="AX182" s="7"/>
      <c r="AY182" s="7"/>
      <c r="AZ182" s="7"/>
    </row>
    <row r="183" spans="1:52" ht="63" customHeight="1">
      <c r="A183" s="20" t="s">
        <v>973</v>
      </c>
      <c r="B183" s="7">
        <v>1</v>
      </c>
      <c r="C183" s="7" t="s">
        <v>58</v>
      </c>
      <c r="D183" s="7" t="s">
        <v>36</v>
      </c>
      <c r="E183" s="7" t="s">
        <v>37</v>
      </c>
      <c r="F183" s="7" t="s">
        <v>974</v>
      </c>
      <c r="G183" s="7">
        <v>1971</v>
      </c>
      <c r="H183" s="7"/>
      <c r="I183" s="14" t="str">
        <f>HYPERLINK("mailto:Rimple.Rana@beis.gov.uk","Rimple.Rana@beis.gov.uk")</f>
        <v>Rimple.Rana@beis.gov.uk</v>
      </c>
      <c r="J183" s="14" t="str">
        <f>HYPERLINK("https://www.gov.uk/government/organisations/review-body-on-doctors-and-dentists-remuneration","https://www.gov.uk/government/organisations/review-body-on-doctors-and-dentists-remuneration")</f>
        <v>https://www.gov.uk/government/organisations/review-body-on-doctors-and-dentists-remuneration</v>
      </c>
      <c r="K183" s="7" t="s">
        <v>526</v>
      </c>
      <c r="L183" s="7" t="s">
        <v>975</v>
      </c>
      <c r="M183" s="7" t="s">
        <v>42</v>
      </c>
      <c r="N183" s="15" t="s">
        <v>43</v>
      </c>
      <c r="O183" s="16">
        <v>350</v>
      </c>
      <c r="P183" s="15" t="s">
        <v>44</v>
      </c>
      <c r="Q183" s="15" t="s">
        <v>845</v>
      </c>
      <c r="R183" s="7" t="s">
        <v>37</v>
      </c>
      <c r="S183" s="7" t="s">
        <v>37</v>
      </c>
      <c r="T183" s="7" t="s">
        <v>43</v>
      </c>
      <c r="U183" s="7"/>
      <c r="V183" s="13">
        <v>2015</v>
      </c>
      <c r="W183" s="7">
        <v>3</v>
      </c>
      <c r="X183" s="18">
        <v>0</v>
      </c>
      <c r="Y183" s="18">
        <v>0</v>
      </c>
      <c r="Z183" s="18">
        <v>0</v>
      </c>
      <c r="AA183" s="18">
        <v>43.195999999999998</v>
      </c>
      <c r="AB183" s="18">
        <v>0</v>
      </c>
      <c r="AC183" s="18">
        <v>0</v>
      </c>
      <c r="AD183" s="7"/>
      <c r="AE183" s="7" t="s">
        <v>185</v>
      </c>
      <c r="AF183" s="7"/>
      <c r="AG183" s="7"/>
      <c r="AH183" s="7"/>
      <c r="AI183" s="7"/>
      <c r="AJ183" s="7"/>
      <c r="AK183" s="7"/>
      <c r="AL183" s="7"/>
      <c r="AM183" s="7"/>
      <c r="AN183" s="7"/>
      <c r="AO183" s="7"/>
      <c r="AP183" s="7"/>
      <c r="AQ183" s="7"/>
      <c r="AR183" s="7"/>
      <c r="AS183" s="7"/>
      <c r="AT183" s="7"/>
      <c r="AU183" s="7"/>
      <c r="AV183" s="7"/>
      <c r="AW183" s="7"/>
      <c r="AX183" s="7"/>
      <c r="AY183" s="7"/>
      <c r="AZ183" s="7"/>
    </row>
    <row r="184" spans="1:52" ht="63" customHeight="1">
      <c r="A184" s="48" t="s">
        <v>976</v>
      </c>
      <c r="B184" s="7">
        <v>1</v>
      </c>
      <c r="C184" s="7" t="s">
        <v>122</v>
      </c>
      <c r="D184" s="7" t="s">
        <v>36</v>
      </c>
      <c r="E184" s="7" t="s">
        <v>37</v>
      </c>
      <c r="F184" s="7" t="s">
        <v>977</v>
      </c>
      <c r="G184" s="7">
        <v>1952</v>
      </c>
      <c r="H184" s="7"/>
      <c r="I184" s="14" t="str">
        <f>HYPERLINK("mailto:peter.rowlands@artscouncil.org.uk","peter.rowlands@artscouncil.org.uk")</f>
        <v>peter.rowlands@artscouncil.org.uk</v>
      </c>
      <c r="J184" s="14" t="s">
        <v>978</v>
      </c>
      <c r="K184" s="49" t="s">
        <v>979</v>
      </c>
      <c r="L184" s="7" t="s">
        <v>980</v>
      </c>
      <c r="M184" s="7" t="s">
        <v>42</v>
      </c>
      <c r="N184" s="15" t="s">
        <v>37</v>
      </c>
      <c r="O184" s="16"/>
      <c r="P184" s="15"/>
      <c r="Q184" s="13" t="s">
        <v>981</v>
      </c>
      <c r="R184" s="7" t="s">
        <v>37</v>
      </c>
      <c r="S184" s="7" t="s">
        <v>43</v>
      </c>
      <c r="T184" s="7" t="s">
        <v>43</v>
      </c>
      <c r="U184" s="7" t="s">
        <v>54</v>
      </c>
      <c r="V184" s="7">
        <v>2013</v>
      </c>
      <c r="W184" s="13">
        <v>0</v>
      </c>
      <c r="X184" s="18">
        <v>0</v>
      </c>
      <c r="Y184" s="18">
        <v>0</v>
      </c>
      <c r="Z184" s="18">
        <f t="shared" ref="Z184:Z186" si="8">(X184+Y184)</f>
        <v>0</v>
      </c>
      <c r="AA184" s="18">
        <v>0</v>
      </c>
      <c r="AB184" s="18">
        <v>0</v>
      </c>
      <c r="AC184" s="18">
        <v>0</v>
      </c>
      <c r="AD184" s="7"/>
      <c r="AE184" s="7"/>
      <c r="AF184" s="7"/>
      <c r="AG184" s="7"/>
      <c r="AH184" s="7"/>
      <c r="AI184" s="7"/>
      <c r="AJ184" s="7"/>
      <c r="AK184" s="7"/>
      <c r="AL184" s="7"/>
      <c r="AM184" s="7"/>
      <c r="AN184" s="7"/>
      <c r="AO184" s="7"/>
      <c r="AP184" s="7"/>
      <c r="AQ184" s="7"/>
      <c r="AR184" s="7"/>
      <c r="AS184" s="7"/>
      <c r="AT184" s="7"/>
      <c r="AU184" s="7"/>
      <c r="AV184" s="7"/>
      <c r="AW184" s="7"/>
      <c r="AX184" s="7"/>
      <c r="AY184" s="7"/>
      <c r="AZ184" s="7"/>
    </row>
    <row r="185" spans="1:52" ht="63" customHeight="1">
      <c r="A185" s="20" t="s">
        <v>982</v>
      </c>
      <c r="B185" s="7">
        <v>1</v>
      </c>
      <c r="C185" s="7" t="s">
        <v>65</v>
      </c>
      <c r="D185" s="7" t="s">
        <v>95</v>
      </c>
      <c r="E185" s="7" t="s">
        <v>37</v>
      </c>
      <c r="F185" s="7" t="s">
        <v>983</v>
      </c>
      <c r="G185" s="7">
        <v>1963</v>
      </c>
      <c r="H185" s="7"/>
      <c r="I185" s="14" t="str">
        <f>HYPERLINK("mailto:vicky.bant517@mod.gov.uk","vicky.bant517@mod.gov.uk")</f>
        <v>vicky.bant517@mod.gov.uk</v>
      </c>
      <c r="J185" s="14" t="str">
        <f>HYPERLINK("https://www.rafmuseum.org.uk","https://www.rafmuseum.org.uk")</f>
        <v>https://www.rafmuseum.org.uk</v>
      </c>
      <c r="K185" s="7" t="s">
        <v>984</v>
      </c>
      <c r="L185" s="15" t="s">
        <v>985</v>
      </c>
      <c r="M185" s="7" t="s">
        <v>42</v>
      </c>
      <c r="N185" s="15" t="s">
        <v>37</v>
      </c>
      <c r="O185" s="16"/>
      <c r="P185" s="15"/>
      <c r="Q185" s="15" t="s">
        <v>986</v>
      </c>
      <c r="R185" s="7" t="s">
        <v>37</v>
      </c>
      <c r="S185" s="7" t="s">
        <v>43</v>
      </c>
      <c r="T185" s="7" t="s">
        <v>43</v>
      </c>
      <c r="U185" s="7"/>
      <c r="V185" s="7">
        <v>2017</v>
      </c>
      <c r="W185" s="7">
        <v>174</v>
      </c>
      <c r="X185" s="18">
        <v>9275</v>
      </c>
      <c r="Y185" s="18">
        <v>8287</v>
      </c>
      <c r="Z185" s="18">
        <f t="shared" si="8"/>
        <v>17562</v>
      </c>
      <c r="AA185" s="18">
        <v>13538</v>
      </c>
      <c r="AB185" s="18">
        <v>696</v>
      </c>
      <c r="AC185" s="18">
        <v>0</v>
      </c>
      <c r="AD185" s="7"/>
      <c r="AE185" s="7" t="s">
        <v>185</v>
      </c>
      <c r="AF185" s="7"/>
      <c r="AG185" s="7"/>
      <c r="AH185" s="7"/>
      <c r="AI185" s="7"/>
      <c r="AJ185" s="7"/>
      <c r="AK185" s="7"/>
      <c r="AL185" s="7"/>
      <c r="AM185" s="7"/>
      <c r="AN185" s="7"/>
      <c r="AO185" s="7"/>
      <c r="AP185" s="7"/>
      <c r="AQ185" s="7"/>
      <c r="AR185" s="7"/>
      <c r="AS185" s="7"/>
      <c r="AT185" s="7"/>
      <c r="AU185" s="7"/>
      <c r="AV185" s="7"/>
      <c r="AW185" s="7"/>
      <c r="AX185" s="7"/>
      <c r="AY185" s="7"/>
      <c r="AZ185" s="7"/>
    </row>
    <row r="186" spans="1:52" ht="63" customHeight="1">
      <c r="A186" s="20" t="s">
        <v>987</v>
      </c>
      <c r="B186" s="7">
        <v>1</v>
      </c>
      <c r="C186" s="7" t="s">
        <v>122</v>
      </c>
      <c r="D186" s="7" t="s">
        <v>95</v>
      </c>
      <c r="E186" s="7" t="s">
        <v>37</v>
      </c>
      <c r="F186" s="7" t="s">
        <v>988</v>
      </c>
      <c r="G186" s="7">
        <v>1660</v>
      </c>
      <c r="H186" s="7"/>
      <c r="I186" s="28" t="str">
        <f>HYPERLINK("mailto:enquiries@armouries.org.uk","enquiries@armouries.org.uk")</f>
        <v>enquiries@armouries.org.uk</v>
      </c>
      <c r="J186" s="14" t="str">
        <f>HYPERLINK("https://royalarmouries.org/","https://royalarmouries.org/")</f>
        <v>https://royalarmouries.org/</v>
      </c>
      <c r="K186" s="49" t="s">
        <v>979</v>
      </c>
      <c r="L186" s="7" t="s">
        <v>989</v>
      </c>
      <c r="M186" s="13" t="s">
        <v>42</v>
      </c>
      <c r="N186" s="15" t="s">
        <v>37</v>
      </c>
      <c r="O186" s="16"/>
      <c r="P186" s="15"/>
      <c r="Q186" s="13" t="s">
        <v>990</v>
      </c>
      <c r="R186" s="7" t="s">
        <v>37</v>
      </c>
      <c r="S186" s="7" t="s">
        <v>43</v>
      </c>
      <c r="T186" s="7" t="s">
        <v>43</v>
      </c>
      <c r="U186" s="7" t="s">
        <v>54</v>
      </c>
      <c r="V186" s="7">
        <v>2017</v>
      </c>
      <c r="W186" s="13">
        <v>141.80000000000001</v>
      </c>
      <c r="X186" s="18">
        <v>0</v>
      </c>
      <c r="Y186" s="18">
        <v>0</v>
      </c>
      <c r="Z186" s="18">
        <f t="shared" si="8"/>
        <v>0</v>
      </c>
      <c r="AA186" s="18">
        <v>0</v>
      </c>
      <c r="AB186" s="18">
        <v>0</v>
      </c>
      <c r="AC186" s="18">
        <v>0</v>
      </c>
      <c r="AD186" s="7"/>
      <c r="AE186" s="7"/>
      <c r="AF186" s="7"/>
      <c r="AG186" s="7"/>
      <c r="AH186" s="7"/>
      <c r="AI186" s="7"/>
      <c r="AJ186" s="7"/>
      <c r="AK186" s="7"/>
      <c r="AL186" s="7"/>
      <c r="AM186" s="7"/>
      <c r="AN186" s="7"/>
      <c r="AO186" s="7"/>
      <c r="AP186" s="7"/>
      <c r="AQ186" s="7"/>
      <c r="AR186" s="7"/>
      <c r="AS186" s="7"/>
      <c r="AT186" s="7"/>
      <c r="AU186" s="7"/>
      <c r="AV186" s="7"/>
      <c r="AW186" s="7"/>
      <c r="AX186" s="7"/>
      <c r="AY186" s="7"/>
      <c r="AZ186" s="7"/>
    </row>
    <row r="187" spans="1:52" ht="63" customHeight="1">
      <c r="A187" s="20" t="s">
        <v>991</v>
      </c>
      <c r="B187" s="7">
        <v>1</v>
      </c>
      <c r="C187" s="7" t="s">
        <v>79</v>
      </c>
      <c r="D187" s="7" t="s">
        <v>95</v>
      </c>
      <c r="E187" s="7" t="s">
        <v>37</v>
      </c>
      <c r="F187" s="7" t="s">
        <v>992</v>
      </c>
      <c r="G187" s="7">
        <v>1983</v>
      </c>
      <c r="H187" s="7"/>
      <c r="I187" s="14" t="str">
        <f>HYPERLINK("mailto:info@kew.org","info@kew.org")</f>
        <v>info@kew.org</v>
      </c>
      <c r="J187" s="14" t="str">
        <f>HYPERLINK("http://www.kew.org/ about-kew/index.htm","http://www.kew.org/
about-kew/index.htm")</f>
        <v>http://www.kew.org/
about-kew/index.htm</v>
      </c>
      <c r="K187" s="7" t="s">
        <v>993</v>
      </c>
      <c r="L187" s="7" t="s">
        <v>994</v>
      </c>
      <c r="M187" s="13" t="s">
        <v>42</v>
      </c>
      <c r="N187" s="15" t="s">
        <v>37</v>
      </c>
      <c r="O187" s="16"/>
      <c r="P187" s="15"/>
      <c r="Q187" s="17" t="s">
        <v>995</v>
      </c>
      <c r="R187" s="7" t="s">
        <v>37</v>
      </c>
      <c r="S187" s="7" t="s">
        <v>37</v>
      </c>
      <c r="T187" s="7" t="s">
        <v>43</v>
      </c>
      <c r="U187" s="7" t="s">
        <v>54</v>
      </c>
      <c r="V187" s="25"/>
      <c r="W187" s="7">
        <v>879</v>
      </c>
      <c r="X187" s="18">
        <v>35528</v>
      </c>
      <c r="Y187" s="18">
        <v>56203</v>
      </c>
      <c r="Z187" s="18">
        <v>91731</v>
      </c>
      <c r="AA187" s="18">
        <v>74117</v>
      </c>
      <c r="AB187" s="18">
        <v>12847</v>
      </c>
      <c r="AC187" s="18">
        <v>0</v>
      </c>
      <c r="AD187" s="7"/>
      <c r="AE187" s="7"/>
      <c r="AF187" s="7"/>
      <c r="AG187" s="7"/>
      <c r="AH187" s="7"/>
      <c r="AI187" s="7"/>
      <c r="AJ187" s="7"/>
      <c r="AK187" s="7"/>
      <c r="AL187" s="7"/>
      <c r="AM187" s="7"/>
      <c r="AN187" s="7"/>
      <c r="AO187" s="7"/>
      <c r="AP187" s="7"/>
      <c r="AQ187" s="7"/>
      <c r="AR187" s="7"/>
      <c r="AS187" s="7"/>
      <c r="AT187" s="7"/>
      <c r="AU187" s="7"/>
      <c r="AV187" s="7"/>
      <c r="AW187" s="7"/>
      <c r="AX187" s="7"/>
      <c r="AY187" s="7"/>
      <c r="AZ187" s="7"/>
    </row>
    <row r="188" spans="1:52" ht="63" customHeight="1">
      <c r="A188" s="20" t="s">
        <v>996</v>
      </c>
      <c r="B188" s="7">
        <v>1</v>
      </c>
      <c r="C188" s="7" t="s">
        <v>275</v>
      </c>
      <c r="D188" s="7" t="s">
        <v>36</v>
      </c>
      <c r="E188" s="7" t="s">
        <v>37</v>
      </c>
      <c r="F188" s="7" t="s">
        <v>997</v>
      </c>
      <c r="G188" s="7">
        <v>1922</v>
      </c>
      <c r="H188" s="7"/>
      <c r="I188" s="14" t="s">
        <v>998</v>
      </c>
      <c r="J188" s="14" t="str">
        <f>HYPERLINK("http://www.royalmintmuseum.org.uk/about-us/royal-mint-advisory-committee/index.html","http://www.royalmintmuseum.org.uk/about-us/royal-mint-advisory-committee/index.html")</f>
        <v>http://www.royalmintmuseum.org.uk/about-us/royal-mint-advisory-committee/index.html</v>
      </c>
      <c r="K188" s="7" t="s">
        <v>999</v>
      </c>
      <c r="L188" s="35" t="s">
        <v>1000</v>
      </c>
      <c r="M188" s="7" t="s">
        <v>42</v>
      </c>
      <c r="N188" s="15" t="s">
        <v>63</v>
      </c>
      <c r="O188" s="16"/>
      <c r="P188" s="15"/>
      <c r="Q188" s="17" t="s">
        <v>1001</v>
      </c>
      <c r="R188" s="7" t="s">
        <v>63</v>
      </c>
      <c r="S188" s="7" t="s">
        <v>63</v>
      </c>
      <c r="T188" s="7" t="s">
        <v>43</v>
      </c>
      <c r="U188" s="7" t="s">
        <v>54</v>
      </c>
      <c r="V188" s="7">
        <v>2014</v>
      </c>
      <c r="W188" s="7">
        <v>0</v>
      </c>
      <c r="X188" s="18">
        <v>0</v>
      </c>
      <c r="Y188" s="18">
        <v>0</v>
      </c>
      <c r="Z188" s="18">
        <v>0</v>
      </c>
      <c r="AA188" s="18">
        <v>0</v>
      </c>
      <c r="AB188" s="18">
        <v>0</v>
      </c>
      <c r="AC188" s="18">
        <v>0</v>
      </c>
      <c r="AD188" s="7"/>
      <c r="AE188" s="7"/>
      <c r="AF188" s="7"/>
      <c r="AG188" s="7"/>
      <c r="AH188" s="7"/>
      <c r="AI188" s="7"/>
      <c r="AJ188" s="7"/>
      <c r="AK188" s="7"/>
      <c r="AL188" s="7"/>
      <c r="AM188" s="7"/>
      <c r="AN188" s="7"/>
      <c r="AO188" s="7"/>
      <c r="AP188" s="7"/>
      <c r="AQ188" s="7"/>
      <c r="AR188" s="7"/>
      <c r="AS188" s="7"/>
      <c r="AT188" s="7"/>
      <c r="AU188" s="7"/>
      <c r="AV188" s="7"/>
      <c r="AW188" s="7"/>
      <c r="AX188" s="7"/>
      <c r="AY188" s="7"/>
      <c r="AZ188" s="7"/>
    </row>
    <row r="189" spans="1:52" ht="63" customHeight="1">
      <c r="A189" s="20" t="s">
        <v>1002</v>
      </c>
      <c r="B189" s="7">
        <v>1</v>
      </c>
      <c r="C189" s="7" t="s">
        <v>122</v>
      </c>
      <c r="D189" s="7" t="s">
        <v>95</v>
      </c>
      <c r="E189" s="7" t="s">
        <v>37</v>
      </c>
      <c r="F189" s="7" t="s">
        <v>1003</v>
      </c>
      <c r="G189" s="7">
        <v>1937</v>
      </c>
      <c r="H189" s="7"/>
      <c r="I189" s="14" t="str">
        <f>HYPERLINK("mailto:RMGEnquiries@rmg.co.uk","RMGEnquiries@rmg.co.uk")</f>
        <v>RMGEnquiries@rmg.co.uk</v>
      </c>
      <c r="J189" s="14" t="str">
        <f>HYPERLINK("https://www.rmg.co.uk/","www,rmg.co.uk")</f>
        <v>www,rmg.co.uk</v>
      </c>
      <c r="K189" s="13" t="s">
        <v>979</v>
      </c>
      <c r="L189" s="7" t="s">
        <v>1004</v>
      </c>
      <c r="M189" s="13" t="s">
        <v>42</v>
      </c>
      <c r="N189" s="15" t="s">
        <v>37</v>
      </c>
      <c r="O189" s="16"/>
      <c r="P189" s="15"/>
      <c r="Q189" s="13" t="s">
        <v>1005</v>
      </c>
      <c r="R189" s="7" t="s">
        <v>37</v>
      </c>
      <c r="S189" s="7" t="s">
        <v>43</v>
      </c>
      <c r="T189" s="7" t="s">
        <v>43</v>
      </c>
      <c r="U189" s="7" t="s">
        <v>54</v>
      </c>
      <c r="V189" s="7">
        <v>2017</v>
      </c>
      <c r="W189" s="7">
        <v>488.1</v>
      </c>
      <c r="X189" s="18">
        <v>15870</v>
      </c>
      <c r="Y189" s="18">
        <v>16256</v>
      </c>
      <c r="Z189" s="18">
        <f>(X189+Y189)</f>
        <v>32126</v>
      </c>
      <c r="AA189" s="18">
        <v>15268</v>
      </c>
      <c r="AB189" s="18">
        <v>3818</v>
      </c>
      <c r="AC189" s="18">
        <v>2849</v>
      </c>
      <c r="AD189" s="7"/>
      <c r="AE189" s="7"/>
      <c r="AF189" s="7"/>
      <c r="AG189" s="7"/>
      <c r="AH189" s="7"/>
      <c r="AI189" s="7"/>
      <c r="AJ189" s="7"/>
      <c r="AK189" s="7"/>
      <c r="AL189" s="7"/>
      <c r="AM189" s="7"/>
      <c r="AN189" s="7"/>
      <c r="AO189" s="7"/>
      <c r="AP189" s="7"/>
      <c r="AQ189" s="7"/>
      <c r="AR189" s="7"/>
      <c r="AS189" s="7"/>
      <c r="AT189" s="7"/>
      <c r="AU189" s="7"/>
      <c r="AV189" s="7"/>
      <c r="AW189" s="7"/>
      <c r="AX189" s="7"/>
      <c r="AY189" s="7"/>
      <c r="AZ189" s="7"/>
    </row>
    <row r="190" spans="1:52" ht="63" customHeight="1">
      <c r="A190" s="20" t="s">
        <v>1006</v>
      </c>
      <c r="B190" s="7">
        <v>1</v>
      </c>
      <c r="C190" s="7" t="s">
        <v>79</v>
      </c>
      <c r="D190" s="7" t="s">
        <v>108</v>
      </c>
      <c r="E190" s="7" t="s">
        <v>37</v>
      </c>
      <c r="F190" s="7" t="s">
        <v>1007</v>
      </c>
      <c r="G190" s="7">
        <v>2001</v>
      </c>
      <c r="H190" s="7"/>
      <c r="I190" s="14" t="str">
        <f>HYPERLINK("mailto:ruralpayments@defra.gov.uk","ruralpayments@defra.gov.uk")</f>
        <v>ruralpayments@defra.gov.uk</v>
      </c>
      <c r="J190" s="14" t="str">
        <f>HYPERLINK("https://www.gov.uk/government/organisations/ rural-payments-agency","https://www.gov.uk/government/organisations/
rural-payments-agency")</f>
        <v>https://www.gov.uk/government/organisations/
rural-payments-agency</v>
      </c>
      <c r="K190" s="7" t="s">
        <v>1008</v>
      </c>
      <c r="L190" s="7" t="s">
        <v>1009</v>
      </c>
      <c r="M190" s="7" t="s">
        <v>42</v>
      </c>
      <c r="N190" s="15" t="s">
        <v>43</v>
      </c>
      <c r="O190" s="16">
        <v>9000</v>
      </c>
      <c r="P190" s="15" t="s">
        <v>52</v>
      </c>
      <c r="Q190" s="17" t="s">
        <v>1010</v>
      </c>
      <c r="R190" s="7" t="s">
        <v>37</v>
      </c>
      <c r="S190" s="7" t="s">
        <v>37</v>
      </c>
      <c r="T190" s="7" t="s">
        <v>43</v>
      </c>
      <c r="U190" s="7" t="s">
        <v>54</v>
      </c>
      <c r="V190" s="7">
        <v>2010</v>
      </c>
      <c r="W190" s="26">
        <v>2040</v>
      </c>
      <c r="X190" s="18">
        <v>445000</v>
      </c>
      <c r="Y190" s="18">
        <v>2040360</v>
      </c>
      <c r="Z190" s="18">
        <v>2485360</v>
      </c>
      <c r="AA190" s="18">
        <v>2113167</v>
      </c>
      <c r="AB190" s="18">
        <v>-3353</v>
      </c>
      <c r="AC190" s="18">
        <v>-1</v>
      </c>
      <c r="AD190" s="7"/>
      <c r="AE190" s="7"/>
      <c r="AF190" s="7"/>
      <c r="AG190" s="7"/>
      <c r="AH190" s="7"/>
      <c r="AI190" s="7"/>
      <c r="AJ190" s="7"/>
      <c r="AK190" s="7"/>
      <c r="AL190" s="7"/>
      <c r="AM190" s="7"/>
      <c r="AN190" s="7"/>
      <c r="AO190" s="7"/>
      <c r="AP190" s="7"/>
      <c r="AQ190" s="7"/>
      <c r="AR190" s="7"/>
      <c r="AS190" s="7"/>
      <c r="AT190" s="7"/>
      <c r="AU190" s="7"/>
      <c r="AV190" s="7"/>
      <c r="AW190" s="7"/>
      <c r="AX190" s="7"/>
      <c r="AY190" s="7"/>
      <c r="AZ190" s="7"/>
    </row>
    <row r="191" spans="1:52" ht="63" customHeight="1">
      <c r="A191" s="12" t="s">
        <v>1011</v>
      </c>
      <c r="B191" s="7">
        <v>1</v>
      </c>
      <c r="C191" s="7" t="s">
        <v>334</v>
      </c>
      <c r="D191" s="7" t="s">
        <v>36</v>
      </c>
      <c r="E191" s="13" t="s">
        <v>63</v>
      </c>
      <c r="F191" s="7" t="s">
        <v>1012</v>
      </c>
      <c r="G191" s="7">
        <v>1991</v>
      </c>
      <c r="H191" s="7"/>
      <c r="I191" s="40" t="s">
        <v>1013</v>
      </c>
      <c r="J191" s="14" t="str">
        <f>HYPERLINK("https://www.gov.uk/government/organisations/school-teachers-review-body","https://www.gov.uk/government/organisations/school-teachers-review-body")</f>
        <v>https://www.gov.uk/government/organisations/school-teachers-review-body</v>
      </c>
      <c r="K191" s="7" t="s">
        <v>1014</v>
      </c>
      <c r="L191" s="13" t="s">
        <v>1015</v>
      </c>
      <c r="M191" s="7" t="s">
        <v>42</v>
      </c>
      <c r="N191" s="15" t="s">
        <v>43</v>
      </c>
      <c r="O191" s="16">
        <v>350</v>
      </c>
      <c r="P191" s="15" t="s">
        <v>44</v>
      </c>
      <c r="Q191" s="13" t="s">
        <v>560</v>
      </c>
      <c r="R191" s="7" t="s">
        <v>37</v>
      </c>
      <c r="S191" s="7" t="s">
        <v>37</v>
      </c>
      <c r="T191" s="7" t="s">
        <v>43</v>
      </c>
      <c r="U191" s="7" t="s">
        <v>46</v>
      </c>
      <c r="V191" s="13">
        <v>2013</v>
      </c>
      <c r="W191" s="6">
        <v>9</v>
      </c>
      <c r="X191" s="18">
        <v>0</v>
      </c>
      <c r="Y191" s="18">
        <v>48.5</v>
      </c>
      <c r="Z191" s="18">
        <f>IF(SUM(Y191)&lt;&gt;0,SUM(Y191),"")</f>
        <v>48.5</v>
      </c>
      <c r="AA191" s="18">
        <v>0</v>
      </c>
      <c r="AB191" s="18">
        <v>0</v>
      </c>
      <c r="AC191" s="18">
        <v>0</v>
      </c>
      <c r="AD191" s="7"/>
      <c r="AE191" s="7" t="s">
        <v>185</v>
      </c>
      <c r="AF191" s="7"/>
      <c r="AG191" s="7"/>
      <c r="AH191" s="7"/>
      <c r="AI191" s="7"/>
      <c r="AJ191" s="7"/>
      <c r="AK191" s="7"/>
      <c r="AL191" s="7"/>
      <c r="AM191" s="7"/>
      <c r="AN191" s="7"/>
      <c r="AO191" s="7"/>
      <c r="AP191" s="7"/>
      <c r="AQ191" s="7"/>
      <c r="AR191" s="7"/>
      <c r="AS191" s="7"/>
      <c r="AT191" s="7"/>
      <c r="AU191" s="7"/>
      <c r="AV191" s="7"/>
      <c r="AW191" s="7"/>
      <c r="AX191" s="7"/>
      <c r="AY191" s="7"/>
      <c r="AZ191" s="7"/>
    </row>
    <row r="192" spans="1:52" ht="63" customHeight="1">
      <c r="A192" s="12" t="s">
        <v>1016</v>
      </c>
      <c r="B192" s="7">
        <v>1</v>
      </c>
      <c r="C192" s="7" t="s">
        <v>65</v>
      </c>
      <c r="D192" s="7" t="s">
        <v>36</v>
      </c>
      <c r="E192" s="7" t="s">
        <v>37</v>
      </c>
      <c r="F192" s="7" t="s">
        <v>1017</v>
      </c>
      <c r="G192" s="7">
        <v>2009</v>
      </c>
      <c r="H192" s="7"/>
      <c r="I192" s="14" t="str">
        <f>HYPERLINK("mailto:sgsecfin-secgpmailbox@mod.uk","sgsecfin-secgpmailbox@mod.uk")</f>
        <v>sgsecfin-secgpmailbox@mod.uk</v>
      </c>
      <c r="J192" s="14" t="str">
        <f>HYPERLINK("https://www.gov.uk/government/organisations/science-advisory-committee-on-the-medical-implications-of-less-lethal-weapons","https://www.gov.uk/government/organisations/science-advisory-committee-on-the-medical-implications-of-less-lethal-weapons")</f>
        <v>https://www.gov.uk/government/organisations/science-advisory-committee-on-the-medical-implications-of-less-lethal-weapons</v>
      </c>
      <c r="K192" s="7" t="s">
        <v>1018</v>
      </c>
      <c r="L192" s="6"/>
      <c r="M192" s="13" t="s">
        <v>42</v>
      </c>
      <c r="N192" s="15" t="s">
        <v>43</v>
      </c>
      <c r="O192" s="16">
        <v>460</v>
      </c>
      <c r="P192" s="15" t="s">
        <v>44</v>
      </c>
      <c r="Q192" s="17" t="s">
        <v>45</v>
      </c>
      <c r="R192" s="7" t="s">
        <v>37</v>
      </c>
      <c r="S192" s="7" t="s">
        <v>37</v>
      </c>
      <c r="T192" s="7" t="s">
        <v>37</v>
      </c>
      <c r="U192" s="7" t="s">
        <v>46</v>
      </c>
      <c r="V192" s="7">
        <v>2014</v>
      </c>
      <c r="W192" s="7">
        <v>0</v>
      </c>
      <c r="X192" s="18">
        <v>4</v>
      </c>
      <c r="Y192" s="18">
        <v>0</v>
      </c>
      <c r="Z192" s="18">
        <v>4</v>
      </c>
      <c r="AA192" s="18">
        <v>4</v>
      </c>
      <c r="AB192" s="18">
        <v>0</v>
      </c>
      <c r="AC192" s="18">
        <v>0</v>
      </c>
      <c r="AD192" s="7"/>
      <c r="AE192" s="7" t="s">
        <v>185</v>
      </c>
      <c r="AF192" s="7"/>
      <c r="AG192" s="7"/>
      <c r="AH192" s="7"/>
      <c r="AI192" s="7"/>
      <c r="AJ192" s="7"/>
      <c r="AK192" s="7"/>
      <c r="AL192" s="7"/>
      <c r="AM192" s="7"/>
      <c r="AN192" s="7"/>
      <c r="AO192" s="7"/>
      <c r="AP192" s="7"/>
      <c r="AQ192" s="7"/>
      <c r="AR192" s="7"/>
      <c r="AS192" s="7"/>
      <c r="AT192" s="7"/>
      <c r="AU192" s="7"/>
      <c r="AV192" s="7"/>
      <c r="AW192" s="7"/>
      <c r="AX192" s="7"/>
      <c r="AY192" s="7"/>
      <c r="AZ192" s="7"/>
    </row>
    <row r="193" spans="1:52" ht="63" customHeight="1">
      <c r="A193" s="20" t="s">
        <v>1019</v>
      </c>
      <c r="B193" s="7">
        <v>1</v>
      </c>
      <c r="C193" s="7" t="s">
        <v>79</v>
      </c>
      <c r="D193" s="7" t="s">
        <v>36</v>
      </c>
      <c r="E193" s="7" t="s">
        <v>37</v>
      </c>
      <c r="F193" s="7" t="s">
        <v>1020</v>
      </c>
      <c r="G193" s="7">
        <v>2004</v>
      </c>
      <c r="H193" s="7"/>
      <c r="I193" s="14" t="str">
        <f>HYPERLINK("mailto:Science.Advisory.Council@defra.gov.uk","Science.Advisory.Council@defra.gov.uk")</f>
        <v>Science.Advisory.Council@defra.gov.uk</v>
      </c>
      <c r="J193" s="14" t="str">
        <f>HYPERLINK("https://www.gov.uk/government/ organisations/science-advisory-council","https://www.gov.uk/government/
organisations/science-advisory-council")</f>
        <v>https://www.gov.uk/government/
organisations/science-advisory-council</v>
      </c>
      <c r="K193" s="7" t="s">
        <v>1021</v>
      </c>
      <c r="L193" s="7" t="s">
        <v>1022</v>
      </c>
      <c r="M193" s="13" t="s">
        <v>42</v>
      </c>
      <c r="N193" s="15" t="s">
        <v>43</v>
      </c>
      <c r="O193" s="16">
        <v>2152</v>
      </c>
      <c r="P193" s="15" t="s">
        <v>52</v>
      </c>
      <c r="Q193" s="17" t="s">
        <v>1023</v>
      </c>
      <c r="R193" s="7" t="s">
        <v>37</v>
      </c>
      <c r="S193" s="7" t="s">
        <v>43</v>
      </c>
      <c r="T193" s="7" t="s">
        <v>43</v>
      </c>
      <c r="U193" s="7" t="s">
        <v>46</v>
      </c>
      <c r="V193" s="7">
        <v>2014</v>
      </c>
      <c r="W193" s="7">
        <v>1.8</v>
      </c>
      <c r="X193" s="18">
        <v>1429</v>
      </c>
      <c r="Y193" s="18">
        <v>0</v>
      </c>
      <c r="Z193" s="18">
        <v>1429</v>
      </c>
      <c r="AA193" s="18">
        <v>1278</v>
      </c>
      <c r="AB193" s="18">
        <v>150</v>
      </c>
      <c r="AC193" s="18">
        <v>324</v>
      </c>
      <c r="AD193" s="7"/>
      <c r="AE193" s="7" t="s">
        <v>185</v>
      </c>
      <c r="AF193" s="7"/>
      <c r="AG193" s="7"/>
      <c r="AH193" s="7"/>
      <c r="AI193" s="7"/>
      <c r="AJ193" s="7"/>
      <c r="AK193" s="7"/>
      <c r="AL193" s="7"/>
      <c r="AM193" s="7"/>
      <c r="AN193" s="7"/>
      <c r="AO193" s="7"/>
      <c r="AP193" s="7"/>
      <c r="AQ193" s="7"/>
      <c r="AR193" s="7"/>
      <c r="AS193" s="7"/>
      <c r="AT193" s="7"/>
      <c r="AU193" s="7"/>
      <c r="AV193" s="7"/>
      <c r="AW193" s="7"/>
      <c r="AX193" s="7"/>
      <c r="AY193" s="7"/>
      <c r="AZ193" s="7"/>
    </row>
    <row r="194" spans="1:52" ht="63" customHeight="1">
      <c r="A194" s="20" t="s">
        <v>1024</v>
      </c>
      <c r="B194" s="7">
        <v>1</v>
      </c>
      <c r="C194" s="7" t="s">
        <v>122</v>
      </c>
      <c r="D194" s="7" t="s">
        <v>95</v>
      </c>
      <c r="E194" s="7" t="s">
        <v>43</v>
      </c>
      <c r="F194" s="7" t="s">
        <v>1025</v>
      </c>
      <c r="G194" s="7">
        <v>2012</v>
      </c>
      <c r="H194" s="7"/>
      <c r="I194" s="14" t="str">
        <f>HYPERLINK("mailto:info@sciencemuseum.ac.uk","info@sciencemuseum.ac.uk")</f>
        <v>info@sciencemuseum.ac.uk</v>
      </c>
      <c r="J194" s="14" t="s">
        <v>1026</v>
      </c>
      <c r="K194" s="7" t="s">
        <v>197</v>
      </c>
      <c r="L194" s="7" t="s">
        <v>1027</v>
      </c>
      <c r="M194" s="13" t="s">
        <v>42</v>
      </c>
      <c r="N194" s="15" t="s">
        <v>37</v>
      </c>
      <c r="O194" s="16"/>
      <c r="P194" s="15"/>
      <c r="Q194" s="13" t="s">
        <v>1028</v>
      </c>
      <c r="R194" s="7" t="s">
        <v>37</v>
      </c>
      <c r="S194" s="7" t="s">
        <v>43</v>
      </c>
      <c r="T194" s="7" t="s">
        <v>43</v>
      </c>
      <c r="U194" s="7" t="s">
        <v>54</v>
      </c>
      <c r="V194" s="7">
        <v>2019</v>
      </c>
      <c r="W194" s="39">
        <v>1019.45</v>
      </c>
      <c r="X194" s="18">
        <v>0</v>
      </c>
      <c r="Y194" s="18">
        <v>96728</v>
      </c>
      <c r="Z194" s="18">
        <f>(X194+Y194)</f>
        <v>96728</v>
      </c>
      <c r="AA194" s="18">
        <f>97162-1458-688</f>
        <v>95016</v>
      </c>
      <c r="AB194" s="18">
        <v>688</v>
      </c>
      <c r="AC194" s="18">
        <v>0</v>
      </c>
      <c r="AD194" s="7"/>
      <c r="AE194" s="7"/>
      <c r="AF194" s="7"/>
      <c r="AG194" s="7"/>
      <c r="AH194" s="7"/>
      <c r="AI194" s="7"/>
      <c r="AJ194" s="7"/>
      <c r="AK194" s="7"/>
      <c r="AL194" s="7"/>
      <c r="AM194" s="7"/>
      <c r="AN194" s="7"/>
      <c r="AO194" s="7"/>
      <c r="AP194" s="7"/>
      <c r="AQ194" s="7"/>
      <c r="AR194" s="7"/>
      <c r="AS194" s="7"/>
      <c r="AT194" s="7"/>
      <c r="AU194" s="7"/>
      <c r="AV194" s="7"/>
      <c r="AW194" s="7"/>
      <c r="AX194" s="7"/>
      <c r="AY194" s="7"/>
      <c r="AZ194" s="7"/>
    </row>
    <row r="195" spans="1:52" ht="63" customHeight="1">
      <c r="A195" s="20" t="s">
        <v>1029</v>
      </c>
      <c r="B195" s="7">
        <v>1</v>
      </c>
      <c r="C195" s="7" t="s">
        <v>79</v>
      </c>
      <c r="D195" s="7" t="s">
        <v>95</v>
      </c>
      <c r="E195" s="7" t="s">
        <v>43</v>
      </c>
      <c r="F195" s="7" t="s">
        <v>1030</v>
      </c>
      <c r="G195" s="7">
        <v>1981</v>
      </c>
      <c r="H195" s="7"/>
      <c r="I195" s="14" t="str">
        <f>HYPERLINK("mailto:seafish@seafish.co.uk","seafish@seafish.co.uk ")</f>
        <v>seafish@seafish.co.uk </v>
      </c>
      <c r="J195" s="14" t="str">
        <f>HYPERLINK("http://www.seafish.org/","http://www.seafish.org/")</f>
        <v>http://www.seafish.org/</v>
      </c>
      <c r="K195" s="7" t="s">
        <v>1031</v>
      </c>
      <c r="L195" s="7" t="s">
        <v>1032</v>
      </c>
      <c r="M195" s="13" t="s">
        <v>42</v>
      </c>
      <c r="N195" s="15" t="s">
        <v>43</v>
      </c>
      <c r="O195" s="16">
        <v>18000</v>
      </c>
      <c r="P195" s="15" t="s">
        <v>52</v>
      </c>
      <c r="Q195" s="15" t="s">
        <v>379</v>
      </c>
      <c r="R195" s="7" t="s">
        <v>43</v>
      </c>
      <c r="S195" s="7" t="s">
        <v>43</v>
      </c>
      <c r="T195" s="7" t="s">
        <v>43</v>
      </c>
      <c r="U195" s="7" t="s">
        <v>54</v>
      </c>
      <c r="V195" s="7">
        <v>2011</v>
      </c>
      <c r="W195" s="7">
        <v>101</v>
      </c>
      <c r="X195" s="18">
        <f>18195-55</f>
        <v>18140</v>
      </c>
      <c r="Y195" s="18">
        <v>55</v>
      </c>
      <c r="Z195" s="18">
        <v>18195</v>
      </c>
      <c r="AA195" s="18">
        <v>18095</v>
      </c>
      <c r="AB195" s="18">
        <v>100</v>
      </c>
      <c r="AC195" s="18">
        <v>0</v>
      </c>
      <c r="AD195" s="7"/>
      <c r="AE195" s="7"/>
      <c r="AF195" s="7"/>
      <c r="AG195" s="7"/>
      <c r="AH195" s="7"/>
      <c r="AI195" s="7"/>
      <c r="AJ195" s="7"/>
      <c r="AK195" s="7"/>
      <c r="AL195" s="7"/>
      <c r="AM195" s="7"/>
      <c r="AN195" s="7"/>
      <c r="AO195" s="7"/>
      <c r="AP195" s="7"/>
      <c r="AQ195" s="7"/>
      <c r="AR195" s="7"/>
      <c r="AS195" s="7"/>
      <c r="AT195" s="7"/>
      <c r="AU195" s="7"/>
      <c r="AV195" s="7"/>
      <c r="AW195" s="7"/>
      <c r="AX195" s="7"/>
      <c r="AY195" s="7"/>
      <c r="AZ195" s="7"/>
    </row>
    <row r="196" spans="1:52" ht="63" customHeight="1">
      <c r="A196" s="20" t="s">
        <v>1033</v>
      </c>
      <c r="B196" s="7">
        <v>1</v>
      </c>
      <c r="C196" s="7" t="s">
        <v>133</v>
      </c>
      <c r="D196" s="7" t="s">
        <v>95</v>
      </c>
      <c r="E196" s="7" t="s">
        <v>43</v>
      </c>
      <c r="F196" s="7" t="s">
        <v>1034</v>
      </c>
      <c r="G196" s="7">
        <v>2003</v>
      </c>
      <c r="H196" s="7"/>
      <c r="I196" s="14" t="s">
        <v>1035</v>
      </c>
      <c r="J196" s="14" t="str">
        <f>HYPERLINK("https://www.sia.homeoffice.gov.uk/","www.sia.homeoffice.gov.uk")</f>
        <v>www.sia.homeoffice.gov.uk</v>
      </c>
      <c r="K196" s="7" t="s">
        <v>1036</v>
      </c>
      <c r="L196" s="7" t="s">
        <v>1037</v>
      </c>
      <c r="M196" s="7" t="s">
        <v>42</v>
      </c>
      <c r="N196" s="15" t="s">
        <v>43</v>
      </c>
      <c r="O196" s="16">
        <v>54963</v>
      </c>
      <c r="P196" s="15" t="s">
        <v>52</v>
      </c>
      <c r="Q196" s="17" t="s">
        <v>1038</v>
      </c>
      <c r="R196" s="7" t="s">
        <v>37</v>
      </c>
      <c r="S196" s="7" t="s">
        <v>56</v>
      </c>
      <c r="T196" s="7" t="s">
        <v>43</v>
      </c>
      <c r="U196" s="7" t="s">
        <v>54</v>
      </c>
      <c r="V196" s="7">
        <v>2016</v>
      </c>
      <c r="W196" s="7">
        <v>254</v>
      </c>
      <c r="X196" s="18">
        <v>0</v>
      </c>
      <c r="Y196" s="18">
        <v>26264</v>
      </c>
      <c r="Z196" s="18">
        <f>IF(SUM(Y196)&lt;&gt;0,SUM(Y196),"")</f>
        <v>26264</v>
      </c>
      <c r="AA196" s="18">
        <v>28257</v>
      </c>
      <c r="AB196" s="18">
        <v>800</v>
      </c>
      <c r="AC196" s="18">
        <v>0</v>
      </c>
      <c r="AD196" s="7" t="s">
        <v>1039</v>
      </c>
      <c r="AE196" s="7"/>
      <c r="AF196" s="7"/>
      <c r="AG196" s="7"/>
      <c r="AH196" s="7"/>
      <c r="AI196" s="7"/>
      <c r="AJ196" s="7"/>
      <c r="AK196" s="7"/>
      <c r="AL196" s="7"/>
      <c r="AM196" s="7"/>
      <c r="AN196" s="7"/>
      <c r="AO196" s="7"/>
      <c r="AP196" s="7"/>
      <c r="AQ196" s="7"/>
      <c r="AR196" s="7"/>
      <c r="AS196" s="7"/>
      <c r="AT196" s="7"/>
      <c r="AU196" s="7"/>
      <c r="AV196" s="7"/>
      <c r="AW196" s="7"/>
      <c r="AX196" s="7"/>
      <c r="AY196" s="7"/>
      <c r="AZ196" s="7"/>
    </row>
    <row r="197" spans="1:52" ht="63" customHeight="1">
      <c r="A197" s="20" t="s">
        <v>1040</v>
      </c>
      <c r="B197" s="7">
        <v>1</v>
      </c>
      <c r="C197" s="7" t="s">
        <v>48</v>
      </c>
      <c r="D197" s="7" t="s">
        <v>36</v>
      </c>
      <c r="E197" s="7" t="s">
        <v>37</v>
      </c>
      <c r="F197" s="7" t="s">
        <v>1041</v>
      </c>
      <c r="G197" s="7">
        <v>1997</v>
      </c>
      <c r="H197" s="7"/>
      <c r="I197" s="14" t="str">
        <f>HYPERLINK("mailto:svap@cabinet-office.x.gsi.gov.uk","svap@cabinet-office.x.gsi.gov.uk")</f>
        <v>svap@cabinet-office.x.gsi.gov.uk</v>
      </c>
      <c r="J197" s="14" t="str">
        <f>HYPERLINK("https://www.gov.uk/government/organisations/security-vetting-appeals-panel","https://www.gov.uk/government/organisations/security-vetting-appeals-panel")</f>
        <v>https://www.gov.uk/government/organisations/security-vetting-appeals-panel</v>
      </c>
      <c r="K197" s="7" t="s">
        <v>1042</v>
      </c>
      <c r="L197" s="7" t="s">
        <v>1043</v>
      </c>
      <c r="M197" s="13" t="s">
        <v>42</v>
      </c>
      <c r="N197" s="15" t="s">
        <v>43</v>
      </c>
      <c r="O197" s="16">
        <v>240</v>
      </c>
      <c r="P197" s="15" t="s">
        <v>44</v>
      </c>
      <c r="Q197" s="22" t="s">
        <v>1044</v>
      </c>
      <c r="R197" s="7" t="s">
        <v>37</v>
      </c>
      <c r="S197" s="7" t="s">
        <v>37</v>
      </c>
      <c r="T197" s="7" t="s">
        <v>37</v>
      </c>
      <c r="U197" s="7" t="s">
        <v>54</v>
      </c>
      <c r="V197" s="7">
        <v>2019</v>
      </c>
      <c r="W197" s="7">
        <v>2</v>
      </c>
      <c r="X197" s="18">
        <v>3</v>
      </c>
      <c r="Y197" s="18">
        <v>31391</v>
      </c>
      <c r="Z197" s="18">
        <v>31394</v>
      </c>
      <c r="AA197" s="18">
        <v>3</v>
      </c>
      <c r="AB197" s="18">
        <v>483</v>
      </c>
      <c r="AC197" s="18">
        <v>0</v>
      </c>
      <c r="AD197" s="7" t="s">
        <v>1045</v>
      </c>
      <c r="AE197" s="7"/>
      <c r="AF197" s="7"/>
      <c r="AG197" s="7"/>
      <c r="AH197" s="7"/>
      <c r="AI197" s="7"/>
      <c r="AJ197" s="7"/>
      <c r="AK197" s="7"/>
      <c r="AL197" s="7"/>
      <c r="AM197" s="7"/>
      <c r="AN197" s="7"/>
      <c r="AO197" s="7"/>
      <c r="AP197" s="7"/>
      <c r="AQ197" s="7"/>
      <c r="AR197" s="7"/>
      <c r="AS197" s="7"/>
      <c r="AT197" s="7"/>
      <c r="AU197" s="7"/>
      <c r="AV197" s="7"/>
      <c r="AW197" s="7"/>
      <c r="AX197" s="7"/>
      <c r="AY197" s="7"/>
      <c r="AZ197" s="7"/>
    </row>
    <row r="198" spans="1:52" ht="63" customHeight="1">
      <c r="A198" s="12" t="s">
        <v>1046</v>
      </c>
      <c r="B198" s="7">
        <v>1</v>
      </c>
      <c r="C198" s="7" t="s">
        <v>48</v>
      </c>
      <c r="D198" s="7" t="s">
        <v>36</v>
      </c>
      <c r="E198" s="7" t="s">
        <v>37</v>
      </c>
      <c r="F198" s="7" t="s">
        <v>1047</v>
      </c>
      <c r="G198" s="7">
        <v>1971</v>
      </c>
      <c r="H198" s="7"/>
      <c r="I198" s="14" t="str">
        <f>HYPERLINK("mailto:SSRB@BEIS.gov.uk","SSRB@BEIS.gov.uk")</f>
        <v>SSRB@BEIS.gov.uk</v>
      </c>
      <c r="J198" s="14" t="str">
        <f>HYPERLINK("https://www.gov.uk/government/organisations/review-body-on-senior-salaries","https://www.gov.uk/government/organisations/review-body-on-senior-salaries")</f>
        <v>https://www.gov.uk/government/organisations/review-body-on-senior-salaries</v>
      </c>
      <c r="K198" s="7" t="s">
        <v>1048</v>
      </c>
      <c r="L198" s="13" t="s">
        <v>1049</v>
      </c>
      <c r="M198" s="13" t="s">
        <v>42</v>
      </c>
      <c r="N198" s="15" t="s">
        <v>43</v>
      </c>
      <c r="O198" s="16">
        <v>350</v>
      </c>
      <c r="P198" s="15" t="s">
        <v>44</v>
      </c>
      <c r="Q198" s="22" t="s">
        <v>1044</v>
      </c>
      <c r="R198" s="7" t="s">
        <v>37</v>
      </c>
      <c r="S198" s="7" t="s">
        <v>37</v>
      </c>
      <c r="T198" s="7" t="s">
        <v>43</v>
      </c>
      <c r="U198" s="7" t="s">
        <v>54</v>
      </c>
      <c r="V198" s="7">
        <v>2015</v>
      </c>
      <c r="W198" s="7" t="s">
        <v>1050</v>
      </c>
      <c r="X198" s="18">
        <v>2764.1779999999999</v>
      </c>
      <c r="Y198" s="18">
        <v>0</v>
      </c>
      <c r="Z198" s="18">
        <v>2764.1779999999999</v>
      </c>
      <c r="AA198" s="18">
        <f>SUM(X198:Z198)</f>
        <v>5528.3559999999998</v>
      </c>
      <c r="AB198" s="18">
        <v>2407</v>
      </c>
      <c r="AC198" s="18">
        <v>0</v>
      </c>
      <c r="AD198" s="7"/>
      <c r="AE198" s="7"/>
      <c r="AF198" s="7"/>
      <c r="AG198" s="7"/>
      <c r="AH198" s="7"/>
      <c r="AI198" s="7"/>
      <c r="AJ198" s="7"/>
      <c r="AK198" s="7"/>
      <c r="AL198" s="7"/>
      <c r="AM198" s="7"/>
      <c r="AN198" s="7"/>
      <c r="AO198" s="7"/>
      <c r="AP198" s="7"/>
      <c r="AQ198" s="7"/>
      <c r="AR198" s="7"/>
      <c r="AS198" s="7"/>
      <c r="AT198" s="7"/>
      <c r="AU198" s="7"/>
      <c r="AV198" s="7"/>
      <c r="AW198" s="7"/>
      <c r="AX198" s="7"/>
      <c r="AY198" s="7"/>
      <c r="AZ198" s="7"/>
    </row>
    <row r="199" spans="1:52" ht="63" customHeight="1">
      <c r="A199" s="20" t="s">
        <v>1051</v>
      </c>
      <c r="B199" s="7">
        <v>1</v>
      </c>
      <c r="C199" s="7" t="s">
        <v>89</v>
      </c>
      <c r="D199" s="7" t="s">
        <v>36</v>
      </c>
      <c r="E199" s="7" t="s">
        <v>37</v>
      </c>
      <c r="F199" s="7" t="s">
        <v>1052</v>
      </c>
      <c r="G199" s="7">
        <v>2010</v>
      </c>
      <c r="H199" s="7"/>
      <c r="I199" s="14" t="str">
        <f>HYPERLINK("mailto:info@sentencingcouncil.gsi.gov.uk","info@sentencingcouncil.gsi.gov.uk")</f>
        <v>info@sentencingcouncil.gsi.gov.uk</v>
      </c>
      <c r="J199" s="14" t="str">
        <f>HYPERLINK("http://www.sentencingcouncil.org.uk/","http://www.sentencingcouncil.org.uk/")</f>
        <v>http://www.sentencingcouncil.org.uk/</v>
      </c>
      <c r="K199" s="7" t="s">
        <v>352</v>
      </c>
      <c r="L199" s="13" t="s">
        <v>1053</v>
      </c>
      <c r="M199" s="13" t="s">
        <v>71</v>
      </c>
      <c r="N199" s="15" t="s">
        <v>37</v>
      </c>
      <c r="O199" s="16"/>
      <c r="P199" s="15"/>
      <c r="Q199" s="17" t="s">
        <v>1054</v>
      </c>
      <c r="R199" s="7" t="s">
        <v>37</v>
      </c>
      <c r="S199" s="7" t="s">
        <v>43</v>
      </c>
      <c r="T199" s="7" t="s">
        <v>43</v>
      </c>
      <c r="U199" s="7" t="s">
        <v>54</v>
      </c>
      <c r="V199" s="7">
        <v>2019</v>
      </c>
      <c r="W199" s="7">
        <v>18</v>
      </c>
      <c r="X199" s="18">
        <v>1404</v>
      </c>
      <c r="Y199" s="18">
        <v>0</v>
      </c>
      <c r="Z199" s="18">
        <v>1404</v>
      </c>
      <c r="AA199" s="18">
        <v>1370</v>
      </c>
      <c r="AB199" s="18">
        <v>0</v>
      </c>
      <c r="AC199" s="18">
        <v>0</v>
      </c>
      <c r="AD199" s="7"/>
      <c r="AE199" s="7"/>
      <c r="AF199" s="7"/>
      <c r="AG199" s="7"/>
      <c r="AH199" s="7"/>
      <c r="AI199" s="7"/>
      <c r="AJ199" s="7"/>
      <c r="AK199" s="7"/>
      <c r="AL199" s="7"/>
      <c r="AM199" s="7"/>
      <c r="AN199" s="7"/>
      <c r="AO199" s="7"/>
      <c r="AP199" s="7"/>
      <c r="AQ199" s="7"/>
      <c r="AR199" s="7"/>
      <c r="AS199" s="7"/>
      <c r="AT199" s="7"/>
      <c r="AU199" s="7"/>
      <c r="AV199" s="7"/>
      <c r="AW199" s="7"/>
      <c r="AX199" s="7"/>
      <c r="AY199" s="7"/>
      <c r="AZ199" s="7"/>
    </row>
    <row r="200" spans="1:52" ht="63" customHeight="1">
      <c r="A200" s="20" t="s">
        <v>1055</v>
      </c>
      <c r="B200" s="7">
        <v>1</v>
      </c>
      <c r="C200" s="7" t="s">
        <v>501</v>
      </c>
      <c r="D200" s="7" t="s">
        <v>233</v>
      </c>
      <c r="E200" s="7" t="s">
        <v>37</v>
      </c>
      <c r="F200" s="7" t="s">
        <v>1056</v>
      </c>
      <c r="G200" s="7">
        <v>1987</v>
      </c>
      <c r="H200" s="7"/>
      <c r="I200" s="14" t="str">
        <f>HYPERLINK("mailto:public.enquiries@sfo.gsi.gov.uk","public.enquiries@sfo.gsi.gov.uk")</f>
        <v>public.enquiries@sfo.gsi.gov.uk</v>
      </c>
      <c r="J200" s="14" t="str">
        <f>HYPERLINK("http://www.sfo.gov.uk/","http://www.sfo.gov.uk/")</f>
        <v>http://www.sfo.gov.uk/</v>
      </c>
      <c r="K200" s="13" t="s">
        <v>1057</v>
      </c>
      <c r="L200" s="13" t="s">
        <v>46</v>
      </c>
      <c r="M200" s="13" t="s">
        <v>46</v>
      </c>
      <c r="N200" s="13" t="s">
        <v>46</v>
      </c>
      <c r="O200" s="16"/>
      <c r="P200" s="13" t="s">
        <v>46</v>
      </c>
      <c r="Q200" s="13" t="s">
        <v>46</v>
      </c>
      <c r="R200" s="7" t="s">
        <v>37</v>
      </c>
      <c r="S200" s="7" t="s">
        <v>37</v>
      </c>
      <c r="T200" s="7" t="s">
        <v>43</v>
      </c>
      <c r="U200" s="7" t="s">
        <v>46</v>
      </c>
      <c r="V200" s="7"/>
      <c r="W200" s="7">
        <v>416</v>
      </c>
      <c r="X200" s="18">
        <v>64400</v>
      </c>
      <c r="Y200" s="18">
        <v>900</v>
      </c>
      <c r="Z200" s="18">
        <v>65300</v>
      </c>
      <c r="AA200" s="18">
        <v>58024</v>
      </c>
      <c r="AB200" s="18">
        <v>1420</v>
      </c>
      <c r="AC200" s="18">
        <v>364</v>
      </c>
      <c r="AD200" s="7" t="s">
        <v>1058</v>
      </c>
      <c r="AE200" s="7"/>
      <c r="AF200" s="7"/>
      <c r="AG200" s="7"/>
      <c r="AH200" s="7"/>
      <c r="AI200" s="7"/>
      <c r="AJ200" s="7"/>
      <c r="AK200" s="7"/>
      <c r="AL200" s="7"/>
      <c r="AM200" s="7"/>
      <c r="AN200" s="7"/>
      <c r="AO200" s="7"/>
      <c r="AP200" s="7"/>
      <c r="AQ200" s="7"/>
      <c r="AR200" s="7"/>
      <c r="AS200" s="7"/>
      <c r="AT200" s="7"/>
      <c r="AU200" s="7"/>
      <c r="AV200" s="7"/>
      <c r="AW200" s="7"/>
      <c r="AX200" s="7"/>
      <c r="AY200" s="7"/>
      <c r="AZ200" s="7"/>
    </row>
    <row r="201" spans="1:52" ht="63" customHeight="1">
      <c r="A201" s="12" t="s">
        <v>1059</v>
      </c>
      <c r="B201" s="7">
        <v>1</v>
      </c>
      <c r="C201" s="7" t="s">
        <v>512</v>
      </c>
      <c r="D201" s="7" t="s">
        <v>1060</v>
      </c>
      <c r="E201" s="7" t="s">
        <v>37</v>
      </c>
      <c r="F201" s="13" t="s">
        <v>1061</v>
      </c>
      <c r="G201" s="7">
        <v>2018</v>
      </c>
      <c r="H201" s="13" t="s">
        <v>1062</v>
      </c>
      <c r="I201" s="14" t="s">
        <v>1063</v>
      </c>
      <c r="J201" s="14" t="s">
        <v>1064</v>
      </c>
      <c r="K201" s="7" t="s">
        <v>515</v>
      </c>
      <c r="L201" s="7" t="s">
        <v>1065</v>
      </c>
      <c r="M201" s="7" t="s">
        <v>42</v>
      </c>
      <c r="N201" s="15" t="s">
        <v>43</v>
      </c>
      <c r="O201" s="16">
        <v>80000</v>
      </c>
      <c r="P201" s="15" t="s">
        <v>52</v>
      </c>
      <c r="Q201" s="17" t="s">
        <v>100</v>
      </c>
      <c r="R201" s="7" t="s">
        <v>37</v>
      </c>
      <c r="S201" s="7" t="s">
        <v>37</v>
      </c>
      <c r="T201" s="7" t="s">
        <v>37</v>
      </c>
      <c r="U201" s="7" t="s">
        <v>54</v>
      </c>
      <c r="V201" s="7"/>
      <c r="W201" s="7">
        <v>253</v>
      </c>
      <c r="X201" s="18">
        <v>0</v>
      </c>
      <c r="Y201" s="18">
        <v>0</v>
      </c>
      <c r="Z201" s="18">
        <v>0</v>
      </c>
      <c r="AA201" s="18">
        <v>0</v>
      </c>
      <c r="AB201" s="18">
        <v>0</v>
      </c>
      <c r="AC201" s="18">
        <v>0</v>
      </c>
      <c r="AD201" s="7" t="s">
        <v>1066</v>
      </c>
      <c r="AE201" s="7"/>
      <c r="AF201" s="7"/>
      <c r="AG201" s="7"/>
      <c r="AH201" s="7"/>
      <c r="AI201" s="7"/>
      <c r="AJ201" s="7"/>
      <c r="AK201" s="7"/>
      <c r="AL201" s="7"/>
      <c r="AM201" s="7"/>
      <c r="AN201" s="7"/>
      <c r="AO201" s="7"/>
      <c r="AP201" s="7"/>
      <c r="AQ201" s="7"/>
      <c r="AR201" s="7"/>
      <c r="AS201" s="7"/>
      <c r="AT201" s="7"/>
      <c r="AU201" s="7"/>
      <c r="AV201" s="7"/>
      <c r="AW201" s="7"/>
      <c r="AX201" s="7"/>
      <c r="AY201" s="7"/>
      <c r="AZ201" s="7"/>
    </row>
    <row r="202" spans="1:52" ht="63" customHeight="1">
      <c r="A202" s="20" t="s">
        <v>1067</v>
      </c>
      <c r="B202" s="7">
        <v>1</v>
      </c>
      <c r="C202" s="7" t="s">
        <v>65</v>
      </c>
      <c r="D202" s="7" t="s">
        <v>95</v>
      </c>
      <c r="E202" s="7" t="s">
        <v>37</v>
      </c>
      <c r="F202" s="7" t="s">
        <v>1068</v>
      </c>
      <c r="G202" s="7">
        <v>2014</v>
      </c>
      <c r="H202" s="7"/>
      <c r="I202" s="14" t="str">
        <f>HYPERLINK("mailto:enquiries@ssro.gov.uk","enquiries@ssro.gov.uk")</f>
        <v>enquiries@ssro.gov.uk</v>
      </c>
      <c r="J202" s="14" t="str">
        <f>HYPERLINK("https://www.gov.uk/ssro","https://www.gov.uk/ssro")</f>
        <v>https://www.gov.uk/ssro</v>
      </c>
      <c r="K202" s="7" t="s">
        <v>1069</v>
      </c>
      <c r="L202" s="13" t="s">
        <v>1070</v>
      </c>
      <c r="M202" s="13" t="s">
        <v>42</v>
      </c>
      <c r="N202" s="15" t="s">
        <v>43</v>
      </c>
      <c r="O202" s="16">
        <v>75000</v>
      </c>
      <c r="P202" s="15" t="s">
        <v>52</v>
      </c>
      <c r="Q202" s="15"/>
      <c r="R202" s="7" t="s">
        <v>37</v>
      </c>
      <c r="S202" s="7" t="s">
        <v>43</v>
      </c>
      <c r="T202" s="7" t="s">
        <v>43</v>
      </c>
      <c r="U202" s="7" t="s">
        <v>54</v>
      </c>
      <c r="V202" s="7"/>
      <c r="W202" s="7">
        <v>36</v>
      </c>
      <c r="X202" s="18">
        <v>5849</v>
      </c>
      <c r="Y202" s="18">
        <v>0</v>
      </c>
      <c r="Z202" s="18">
        <v>5849</v>
      </c>
      <c r="AA202" s="18">
        <v>5849</v>
      </c>
      <c r="AB202" s="18">
        <v>0</v>
      </c>
      <c r="AC202" s="18">
        <v>0</v>
      </c>
      <c r="AD202" s="7"/>
      <c r="AE202" s="7" t="s">
        <v>56</v>
      </c>
      <c r="AF202" s="7"/>
      <c r="AG202" s="7"/>
      <c r="AH202" s="7"/>
      <c r="AI202" s="7"/>
      <c r="AJ202" s="7"/>
      <c r="AK202" s="7"/>
      <c r="AL202" s="7"/>
      <c r="AM202" s="7"/>
      <c r="AN202" s="7"/>
      <c r="AO202" s="7"/>
      <c r="AP202" s="7"/>
      <c r="AQ202" s="7"/>
      <c r="AR202" s="7"/>
      <c r="AS202" s="7"/>
      <c r="AT202" s="7"/>
      <c r="AU202" s="7"/>
      <c r="AV202" s="7"/>
      <c r="AW202" s="7"/>
      <c r="AX202" s="7"/>
      <c r="AY202" s="7"/>
      <c r="AZ202" s="7"/>
    </row>
    <row r="203" spans="1:52" ht="63" customHeight="1">
      <c r="A203" s="20" t="s">
        <v>1071</v>
      </c>
      <c r="B203" s="7">
        <v>1</v>
      </c>
      <c r="C203" s="7" t="s">
        <v>122</v>
      </c>
      <c r="D203" s="7" t="s">
        <v>95</v>
      </c>
      <c r="E203" s="7" t="s">
        <v>37</v>
      </c>
      <c r="F203" s="7" t="s">
        <v>1072</v>
      </c>
      <c r="G203" s="7">
        <v>1837</v>
      </c>
      <c r="H203" s="7"/>
      <c r="I203" s="14" t="str">
        <f>HYPERLINK("mailto:admin@soane.org.uk","admin@soane.org.uk")</f>
        <v>admin@soane.org.uk</v>
      </c>
      <c r="J203" s="14" t="str">
        <f>HYPERLINK("http://www.soane.org/","http://www.soane.org/")</f>
        <v>http://www.soane.org/</v>
      </c>
      <c r="K203" s="7" t="s">
        <v>1073</v>
      </c>
      <c r="L203" s="7" t="s">
        <v>1074</v>
      </c>
      <c r="M203" s="7" t="s">
        <v>71</v>
      </c>
      <c r="N203" s="15" t="s">
        <v>37</v>
      </c>
      <c r="O203" s="16"/>
      <c r="P203" s="15"/>
      <c r="Q203" s="13" t="s">
        <v>1075</v>
      </c>
      <c r="R203" s="7" t="s">
        <v>37</v>
      </c>
      <c r="S203" s="7" t="s">
        <v>37</v>
      </c>
      <c r="T203" s="7" t="s">
        <v>43</v>
      </c>
      <c r="U203" s="7" t="s">
        <v>54</v>
      </c>
      <c r="V203" s="7">
        <v>2017</v>
      </c>
      <c r="W203" s="7">
        <v>48.9</v>
      </c>
      <c r="X203" s="18">
        <v>1032</v>
      </c>
      <c r="Y203" s="18">
        <v>1385</v>
      </c>
      <c r="Z203" s="18">
        <f>(X203+Y203)</f>
        <v>2417</v>
      </c>
      <c r="AA203" s="18">
        <v>918</v>
      </c>
      <c r="AB203" s="18">
        <v>29</v>
      </c>
      <c r="AC203" s="18">
        <v>0</v>
      </c>
      <c r="AD203" s="7"/>
      <c r="AE203" s="7"/>
      <c r="AF203" s="7"/>
      <c r="AG203" s="7"/>
      <c r="AH203" s="7"/>
      <c r="AI203" s="7"/>
      <c r="AJ203" s="7"/>
      <c r="AK203" s="7"/>
      <c r="AL203" s="7"/>
      <c r="AM203" s="7"/>
      <c r="AN203" s="7"/>
      <c r="AO203" s="7"/>
      <c r="AP203" s="7"/>
      <c r="AQ203" s="7"/>
      <c r="AR203" s="7"/>
      <c r="AS203" s="7"/>
      <c r="AT203" s="7"/>
      <c r="AU203" s="7"/>
      <c r="AV203" s="7"/>
      <c r="AW203" s="7"/>
      <c r="AX203" s="7"/>
      <c r="AY203" s="7"/>
      <c r="AZ203" s="7"/>
    </row>
    <row r="204" spans="1:52" ht="63" customHeight="1">
      <c r="A204" s="20" t="s">
        <v>1076</v>
      </c>
      <c r="B204" s="7">
        <v>1</v>
      </c>
      <c r="C204" s="7" t="s">
        <v>94</v>
      </c>
      <c r="D204" s="7" t="s">
        <v>95</v>
      </c>
      <c r="E204" s="7" t="s">
        <v>63</v>
      </c>
      <c r="F204" s="7" t="s">
        <v>1077</v>
      </c>
      <c r="G204" s="7">
        <v>2017</v>
      </c>
      <c r="H204" s="7"/>
      <c r="I204" s="14" t="str">
        <f>HYPERLINK("mailto:enquiries@smallbusinesscommissioner.gov.uk","enquiries@smallbusinesscommissioner.gov.uk")</f>
        <v>enquiries@smallbusinesscommissioner.gov.uk</v>
      </c>
      <c r="J204" s="14" t="str">
        <f>HYPERLINK("https://www.smallbusinesscommissioner.gov.uk/","https://www.smallbusinesscommissioner.gov.uk/")</f>
        <v>https://www.smallbusinesscommissioner.gov.uk/</v>
      </c>
      <c r="K204" s="7" t="s">
        <v>1078</v>
      </c>
      <c r="L204" s="7" t="s">
        <v>1079</v>
      </c>
      <c r="M204" s="7" t="s">
        <v>42</v>
      </c>
      <c r="N204" s="15" t="s">
        <v>56</v>
      </c>
      <c r="O204" s="16">
        <v>120000</v>
      </c>
      <c r="P204" s="15" t="s">
        <v>52</v>
      </c>
      <c r="Q204" s="17" t="s">
        <v>1080</v>
      </c>
      <c r="R204" s="7" t="s">
        <v>37</v>
      </c>
      <c r="S204" s="7" t="s">
        <v>37</v>
      </c>
      <c r="T204" s="7" t="s">
        <v>43</v>
      </c>
      <c r="U204" s="7" t="s">
        <v>46</v>
      </c>
      <c r="V204" s="7"/>
      <c r="W204" s="7">
        <v>10</v>
      </c>
      <c r="X204" s="18">
        <v>1350</v>
      </c>
      <c r="Y204" s="18">
        <v>0</v>
      </c>
      <c r="Z204" s="18">
        <v>1350</v>
      </c>
      <c r="AA204" s="18">
        <v>1350</v>
      </c>
      <c r="AB204" s="18">
        <v>75</v>
      </c>
      <c r="AC204" s="18">
        <v>0</v>
      </c>
      <c r="AD204" s="7" t="s">
        <v>56</v>
      </c>
      <c r="AE204" s="7"/>
      <c r="AF204" s="7"/>
      <c r="AG204" s="7"/>
      <c r="AH204" s="7"/>
      <c r="AI204" s="7"/>
      <c r="AJ204" s="7"/>
      <c r="AK204" s="7"/>
      <c r="AL204" s="7"/>
      <c r="AM204" s="7"/>
      <c r="AN204" s="7"/>
      <c r="AO204" s="7"/>
      <c r="AP204" s="7"/>
      <c r="AQ204" s="7"/>
      <c r="AR204" s="7"/>
      <c r="AS204" s="7"/>
      <c r="AT204" s="7"/>
      <c r="AU204" s="7"/>
      <c r="AV204" s="7"/>
      <c r="AW204" s="7"/>
      <c r="AX204" s="7"/>
      <c r="AY204" s="7"/>
      <c r="AZ204" s="7"/>
    </row>
    <row r="205" spans="1:52" ht="63" customHeight="1">
      <c r="A205" s="20" t="s">
        <v>1081</v>
      </c>
      <c r="B205" s="7">
        <v>1</v>
      </c>
      <c r="C205" s="7" t="s">
        <v>334</v>
      </c>
      <c r="D205" s="7" t="s">
        <v>36</v>
      </c>
      <c r="E205" s="13" t="s">
        <v>63</v>
      </c>
      <c r="F205" s="7" t="s">
        <v>1082</v>
      </c>
      <c r="G205" s="7">
        <v>2012</v>
      </c>
      <c r="H205" s="7"/>
      <c r="I205" s="14" t="str">
        <f>HYPERLINK("mailto:contact@socialmobilitycommission.gov.uk","contact@socialmobilitycommission.gov.uk")</f>
        <v>contact@socialmobilitycommission.gov.uk</v>
      </c>
      <c r="J205" s="14" t="str">
        <f>HYPERLINK("https://www.gov.uk/government/organisations/social-mobility-commission","
https://www.gov.uk/government/organisations/social-mobility-commission")</f>
        <v xml:space="preserve">
https://www.gov.uk/government/organisations/social-mobility-commission</v>
      </c>
      <c r="K205" s="7" t="s">
        <v>1083</v>
      </c>
      <c r="L205" s="7" t="s">
        <v>1084</v>
      </c>
      <c r="M205" s="7" t="s">
        <v>42</v>
      </c>
      <c r="N205" s="15" t="s">
        <v>43</v>
      </c>
      <c r="O205" s="16">
        <v>350</v>
      </c>
      <c r="P205" s="15" t="s">
        <v>44</v>
      </c>
      <c r="Q205" s="13" t="s">
        <v>268</v>
      </c>
      <c r="R205" s="7" t="s">
        <v>37</v>
      </c>
      <c r="S205" s="7" t="s">
        <v>43</v>
      </c>
      <c r="T205" s="13" t="s">
        <v>56</v>
      </c>
      <c r="U205" s="7" t="s">
        <v>46</v>
      </c>
      <c r="V205" s="7"/>
      <c r="W205" s="7">
        <v>7</v>
      </c>
      <c r="X205" s="18">
        <v>2583</v>
      </c>
      <c r="Y205" s="18">
        <v>0</v>
      </c>
      <c r="Z205" s="18">
        <v>2583</v>
      </c>
      <c r="AA205" s="18">
        <v>0</v>
      </c>
      <c r="AB205" s="18">
        <v>2583</v>
      </c>
      <c r="AC205" s="18">
        <v>0</v>
      </c>
      <c r="AD205" s="7"/>
      <c r="AE205" s="7" t="s">
        <v>56</v>
      </c>
      <c r="AF205" s="7"/>
      <c r="AG205" s="7"/>
      <c r="AH205" s="7"/>
      <c r="AI205" s="7"/>
      <c r="AJ205" s="7"/>
      <c r="AK205" s="7"/>
      <c r="AL205" s="7"/>
      <c r="AM205" s="7"/>
      <c r="AN205" s="7"/>
      <c r="AO205" s="7"/>
      <c r="AP205" s="7"/>
      <c r="AQ205" s="7"/>
      <c r="AR205" s="7"/>
      <c r="AS205" s="7"/>
      <c r="AT205" s="7"/>
      <c r="AU205" s="7"/>
      <c r="AV205" s="7"/>
      <c r="AW205" s="7"/>
      <c r="AX205" s="7"/>
      <c r="AY205" s="7"/>
      <c r="AZ205" s="7"/>
    </row>
    <row r="206" spans="1:52" ht="63" customHeight="1">
      <c r="A206" s="20" t="s">
        <v>1085</v>
      </c>
      <c r="B206" s="7">
        <v>1</v>
      </c>
      <c r="C206" s="7" t="s">
        <v>512</v>
      </c>
      <c r="D206" s="7" t="s">
        <v>36</v>
      </c>
      <c r="E206" s="13" t="s">
        <v>63</v>
      </c>
      <c r="F206" s="7" t="s">
        <v>1086</v>
      </c>
      <c r="G206" s="7">
        <v>1980</v>
      </c>
      <c r="H206" s="7"/>
      <c r="I206" s="14" t="s">
        <v>1087</v>
      </c>
      <c r="J206" s="14" t="str">
        <f>HYPERLINK("http://gov.uk/SSAC","http://gov.uk/SSAC")</f>
        <v>http://gov.uk/SSAC</v>
      </c>
      <c r="K206" s="7" t="s">
        <v>646</v>
      </c>
      <c r="L206" s="7" t="s">
        <v>1088</v>
      </c>
      <c r="M206" s="7" t="s">
        <v>42</v>
      </c>
      <c r="N206" s="15" t="s">
        <v>37</v>
      </c>
      <c r="O206" s="16"/>
      <c r="P206" s="7" t="s">
        <v>46</v>
      </c>
      <c r="Q206" s="17" t="s">
        <v>1089</v>
      </c>
      <c r="R206" s="7" t="s">
        <v>37</v>
      </c>
      <c r="S206" s="7" t="s">
        <v>43</v>
      </c>
      <c r="T206" s="7" t="s">
        <v>43</v>
      </c>
      <c r="U206" s="7" t="s">
        <v>46</v>
      </c>
      <c r="V206" s="7">
        <v>2015</v>
      </c>
      <c r="W206" s="7">
        <v>3.6</v>
      </c>
      <c r="X206" s="18">
        <v>0</v>
      </c>
      <c r="Y206" s="18">
        <v>0</v>
      </c>
      <c r="Z206" s="18">
        <v>0</v>
      </c>
      <c r="AA206" s="18">
        <v>0</v>
      </c>
      <c r="AB206" s="18">
        <v>0</v>
      </c>
      <c r="AC206" s="18">
        <v>0</v>
      </c>
      <c r="AD206" s="7" t="s">
        <v>1090</v>
      </c>
      <c r="AE206" s="7" t="s">
        <v>56</v>
      </c>
      <c r="AF206" s="7"/>
      <c r="AG206" s="7"/>
      <c r="AH206" s="7"/>
      <c r="AI206" s="7"/>
      <c r="AJ206" s="7"/>
      <c r="AK206" s="7"/>
      <c r="AL206" s="7"/>
      <c r="AM206" s="7"/>
      <c r="AN206" s="7"/>
      <c r="AO206" s="7"/>
      <c r="AP206" s="7"/>
      <c r="AQ206" s="7"/>
      <c r="AR206" s="7"/>
      <c r="AS206" s="7"/>
      <c r="AT206" s="7"/>
      <c r="AU206" s="7"/>
      <c r="AV206" s="7"/>
      <c r="AW206" s="7"/>
      <c r="AX206" s="7"/>
      <c r="AY206" s="7"/>
      <c r="AZ206" s="7"/>
    </row>
    <row r="207" spans="1:52" ht="63" customHeight="1">
      <c r="A207" s="20" t="s">
        <v>1091</v>
      </c>
      <c r="B207" s="7">
        <v>1</v>
      </c>
      <c r="C207" s="7" t="s">
        <v>334</v>
      </c>
      <c r="D207" s="7" t="s">
        <v>95</v>
      </c>
      <c r="E207" s="7" t="s">
        <v>43</v>
      </c>
      <c r="F207" s="7" t="s">
        <v>1092</v>
      </c>
      <c r="G207" s="7">
        <v>2018</v>
      </c>
      <c r="H207" s="7"/>
      <c r="I207" s="14" t="str">
        <f>HYPERLINK("mailto:enquiries@socialworkengland.org.uk","enquiries@socialworkengland.org.uk")</f>
        <v>enquiries@socialworkengland.org.uk</v>
      </c>
      <c r="J207" s="14" t="str">
        <f>HYPERLINK("https://www.socialworkengland.org.uk/","www.socialworkengland.org.uk")</f>
        <v>www.socialworkengland.org.uk</v>
      </c>
      <c r="K207" s="7" t="s">
        <v>1093</v>
      </c>
      <c r="L207" s="13" t="s">
        <v>1094</v>
      </c>
      <c r="M207" s="13" t="s">
        <v>42</v>
      </c>
      <c r="N207" s="15" t="s">
        <v>43</v>
      </c>
      <c r="O207" s="16">
        <v>450</v>
      </c>
      <c r="P207" s="15" t="s">
        <v>44</v>
      </c>
      <c r="Q207" s="13" t="s">
        <v>1095</v>
      </c>
      <c r="R207" s="7" t="s">
        <v>43</v>
      </c>
      <c r="S207" s="7" t="s">
        <v>43</v>
      </c>
      <c r="T207" s="7" t="s">
        <v>43</v>
      </c>
      <c r="U207" s="7" t="s">
        <v>46</v>
      </c>
      <c r="V207" s="7"/>
      <c r="W207" s="7">
        <v>147</v>
      </c>
      <c r="X207" s="18">
        <v>5030</v>
      </c>
      <c r="Y207" s="18">
        <v>0</v>
      </c>
      <c r="Z207" s="18">
        <v>5030</v>
      </c>
      <c r="AA207" s="18">
        <v>2142</v>
      </c>
      <c r="AB207" s="18">
        <v>2218</v>
      </c>
      <c r="AC207" s="18">
        <v>0</v>
      </c>
      <c r="AD207" s="7"/>
      <c r="AE207" s="7" t="s">
        <v>56</v>
      </c>
      <c r="AF207" s="7"/>
      <c r="AG207" s="7"/>
      <c r="AH207" s="7"/>
      <c r="AI207" s="7"/>
      <c r="AJ207" s="7"/>
      <c r="AK207" s="7"/>
      <c r="AL207" s="7"/>
      <c r="AM207" s="7"/>
      <c r="AN207" s="7"/>
      <c r="AO207" s="7"/>
      <c r="AP207" s="7"/>
      <c r="AQ207" s="7"/>
      <c r="AR207" s="7"/>
      <c r="AS207" s="7"/>
      <c r="AT207" s="7"/>
      <c r="AU207" s="7"/>
      <c r="AV207" s="7"/>
      <c r="AW207" s="7"/>
      <c r="AX207" s="7"/>
      <c r="AY207" s="7"/>
      <c r="AZ207" s="7"/>
    </row>
    <row r="208" spans="1:52" ht="63" customHeight="1">
      <c r="A208" s="20" t="s">
        <v>1096</v>
      </c>
      <c r="B208" s="7">
        <v>1</v>
      </c>
      <c r="C208" s="7" t="s">
        <v>122</v>
      </c>
      <c r="D208" s="7" t="s">
        <v>95</v>
      </c>
      <c r="E208" s="7" t="s">
        <v>37</v>
      </c>
      <c r="F208" s="7" t="s">
        <v>1097</v>
      </c>
      <c r="G208" s="7">
        <v>1997</v>
      </c>
      <c r="H208" s="7"/>
      <c r="I208" s="14" t="str">
        <f>HYPERLINK("mailto:Info@sportengland.org","Info@sportengland.org")</f>
        <v>Info@sportengland.org</v>
      </c>
      <c r="J208" s="14" t="s">
        <v>1098</v>
      </c>
      <c r="K208" s="7" t="s">
        <v>1099</v>
      </c>
      <c r="L208" s="7" t="s">
        <v>1100</v>
      </c>
      <c r="M208" s="13" t="s">
        <v>42</v>
      </c>
      <c r="N208" s="15" t="s">
        <v>43</v>
      </c>
      <c r="O208" s="16">
        <v>40000</v>
      </c>
      <c r="P208" s="15" t="s">
        <v>52</v>
      </c>
      <c r="Q208" s="13" t="s">
        <v>1101</v>
      </c>
      <c r="R208" s="7" t="s">
        <v>37</v>
      </c>
      <c r="S208" s="7" t="s">
        <v>43</v>
      </c>
      <c r="T208" s="7" t="s">
        <v>43</v>
      </c>
      <c r="U208" s="7" t="s">
        <v>54</v>
      </c>
      <c r="V208" s="7">
        <v>2015</v>
      </c>
      <c r="W208" s="7">
        <v>285</v>
      </c>
      <c r="X208" s="18">
        <v>98765</v>
      </c>
      <c r="Y208" s="18">
        <v>201805</v>
      </c>
      <c r="Z208" s="18">
        <f>(X208+Y208)</f>
        <v>300570</v>
      </c>
      <c r="AA208" s="18">
        <v>65078</v>
      </c>
      <c r="AB208" s="18">
        <v>41161</v>
      </c>
      <c r="AC208" s="18">
        <v>197124</v>
      </c>
      <c r="AD208" s="7"/>
      <c r="AE208" s="7"/>
      <c r="AF208" s="7"/>
      <c r="AG208" s="7"/>
      <c r="AH208" s="7"/>
      <c r="AI208" s="7"/>
      <c r="AJ208" s="7"/>
      <c r="AK208" s="7"/>
      <c r="AL208" s="7"/>
      <c r="AM208" s="7"/>
      <c r="AN208" s="7"/>
      <c r="AO208" s="7"/>
      <c r="AP208" s="7"/>
      <c r="AQ208" s="7"/>
      <c r="AR208" s="7"/>
      <c r="AS208" s="7"/>
      <c r="AT208" s="7"/>
      <c r="AU208" s="7"/>
      <c r="AV208" s="7"/>
      <c r="AW208" s="7"/>
      <c r="AX208" s="7"/>
      <c r="AY208" s="7"/>
      <c r="AZ208" s="7"/>
    </row>
    <row r="209" spans="1:52" ht="63" customHeight="1">
      <c r="A209" s="20" t="s">
        <v>1102</v>
      </c>
      <c r="B209" s="7">
        <v>1</v>
      </c>
      <c r="C209" s="7" t="s">
        <v>122</v>
      </c>
      <c r="D209" s="7" t="s">
        <v>95</v>
      </c>
      <c r="E209" s="7" t="s">
        <v>43</v>
      </c>
      <c r="F209" s="7" t="s">
        <v>1103</v>
      </c>
      <c r="G209" s="7">
        <v>1989</v>
      </c>
      <c r="H209" s="7"/>
      <c r="I209" s="14" t="str">
        <f>HYPERLINK("mailto:info@sgsamail.org.uk","info@sgsamail.org.uk")</f>
        <v>info@sgsamail.org.uk</v>
      </c>
      <c r="J209" s="14" t="str">
        <f>HYPERLINK("www.sgsa.org.uk","www.sgsa.org.uk")</f>
        <v>www.sgsa.org.uk</v>
      </c>
      <c r="K209" s="7" t="s">
        <v>1099</v>
      </c>
      <c r="L209" s="7" t="s">
        <v>1104</v>
      </c>
      <c r="M209" s="7" t="s">
        <v>42</v>
      </c>
      <c r="N209" s="15" t="s">
        <v>43</v>
      </c>
      <c r="O209" s="16">
        <v>18130</v>
      </c>
      <c r="P209" s="15" t="s">
        <v>52</v>
      </c>
      <c r="Q209" s="7" t="s">
        <v>1105</v>
      </c>
      <c r="R209" s="7" t="s">
        <v>37</v>
      </c>
      <c r="S209" s="7" t="s">
        <v>43</v>
      </c>
      <c r="T209" s="7" t="s">
        <v>43</v>
      </c>
      <c r="U209" s="7" t="s">
        <v>54</v>
      </c>
      <c r="V209" s="7">
        <v>2011</v>
      </c>
      <c r="W209" s="7">
        <v>21.4</v>
      </c>
      <c r="X209" s="18">
        <v>1601</v>
      </c>
      <c r="Y209" s="18">
        <v>446</v>
      </c>
      <c r="Z209" s="18">
        <v>2047</v>
      </c>
      <c r="AA209" s="18">
        <v>1600</v>
      </c>
      <c r="AB209" s="18">
        <v>1</v>
      </c>
      <c r="AC209" s="18">
        <v>0</v>
      </c>
      <c r="AD209" s="7"/>
      <c r="AE209" s="7"/>
      <c r="AF209" s="7"/>
      <c r="AG209" s="7"/>
      <c r="AH209" s="7"/>
      <c r="AI209" s="7"/>
      <c r="AJ209" s="7"/>
      <c r="AK209" s="7"/>
      <c r="AL209" s="7"/>
      <c r="AM209" s="7"/>
      <c r="AN209" s="7"/>
      <c r="AO209" s="7"/>
      <c r="AP209" s="7"/>
      <c r="AQ209" s="7"/>
      <c r="AR209" s="7"/>
      <c r="AS209" s="7"/>
      <c r="AT209" s="7"/>
      <c r="AU209" s="7"/>
      <c r="AV209" s="7"/>
      <c r="AW209" s="7"/>
      <c r="AX209" s="7"/>
      <c r="AY209" s="7"/>
      <c r="AZ209" s="7"/>
    </row>
    <row r="210" spans="1:52" ht="63" customHeight="1">
      <c r="A210" s="20" t="s">
        <v>1106</v>
      </c>
      <c r="B210" s="7">
        <v>1</v>
      </c>
      <c r="C210" s="7" t="s">
        <v>334</v>
      </c>
      <c r="D210" s="7" t="s">
        <v>108</v>
      </c>
      <c r="E210" s="7" t="s">
        <v>37</v>
      </c>
      <c r="F210" s="7" t="s">
        <v>1107</v>
      </c>
      <c r="G210" s="7">
        <v>2011</v>
      </c>
      <c r="H210" s="7"/>
      <c r="I210" s="14" t="str">
        <f>HYPERLINK("mailto:assessments@education.gov.uk","assessments@education.gov.uk")</f>
        <v>assessments@education.gov.uk</v>
      </c>
      <c r="J210" s="14" t="str">
        <f>HYPERLINK("https://www.gov.uk/government/organisations/standards-and-testing-agency","https://www.gov.uk/government/organisations/standards-and-testing-agency")</f>
        <v>https://www.gov.uk/government/organisations/standards-and-testing-agency</v>
      </c>
      <c r="K210" s="7" t="s">
        <v>1108</v>
      </c>
      <c r="L210" s="13" t="s">
        <v>46</v>
      </c>
      <c r="M210" s="13" t="s">
        <v>46</v>
      </c>
      <c r="N210" s="17" t="s">
        <v>46</v>
      </c>
      <c r="O210" s="16"/>
      <c r="P210" s="15"/>
      <c r="Q210" s="7"/>
      <c r="R210" s="7" t="s">
        <v>37</v>
      </c>
      <c r="S210" s="7" t="s">
        <v>37</v>
      </c>
      <c r="T210" s="7" t="s">
        <v>43</v>
      </c>
      <c r="U210" s="7" t="s">
        <v>54</v>
      </c>
      <c r="V210" s="7">
        <v>2018</v>
      </c>
      <c r="W210" s="7">
        <v>142</v>
      </c>
      <c r="X210" s="18">
        <v>55230</v>
      </c>
      <c r="Y210" s="18">
        <v>0</v>
      </c>
      <c r="Z210" s="18">
        <v>55230</v>
      </c>
      <c r="AA210" s="18">
        <v>53330</v>
      </c>
      <c r="AB210" s="18">
        <v>19000</v>
      </c>
      <c r="AC210" s="18">
        <v>0</v>
      </c>
      <c r="AD210" s="7"/>
      <c r="AE210" s="7"/>
      <c r="AF210" s="7"/>
      <c r="AG210" s="7"/>
      <c r="AH210" s="7"/>
      <c r="AI210" s="7"/>
      <c r="AJ210" s="7"/>
      <c r="AK210" s="7"/>
      <c r="AL210" s="7"/>
      <c r="AM210" s="7"/>
      <c r="AN210" s="7"/>
      <c r="AO210" s="7"/>
      <c r="AP210" s="7"/>
      <c r="AQ210" s="7"/>
      <c r="AR210" s="7"/>
      <c r="AS210" s="7"/>
      <c r="AT210" s="7"/>
      <c r="AU210" s="7"/>
      <c r="AV210" s="7"/>
      <c r="AW210" s="7"/>
      <c r="AX210" s="7"/>
      <c r="AY210" s="7"/>
      <c r="AZ210" s="7"/>
    </row>
    <row r="211" spans="1:52" ht="63" customHeight="1">
      <c r="A211" s="20" t="s">
        <v>1109</v>
      </c>
      <c r="B211" s="7">
        <v>1</v>
      </c>
      <c r="C211" s="7" t="s">
        <v>334</v>
      </c>
      <c r="D211" s="7" t="s">
        <v>95</v>
      </c>
      <c r="E211" s="7" t="s">
        <v>37</v>
      </c>
      <c r="F211" s="7" t="s">
        <v>1110</v>
      </c>
      <c r="G211" s="7">
        <v>1989</v>
      </c>
      <c r="H211" s="7"/>
      <c r="I211" s="14" t="str">
        <f>HYPERLINK("www.gov.uk/contact-student-finance-england","www.gov.uk/contact-student-finance-england")</f>
        <v>www.gov.uk/contact-student-finance-england</v>
      </c>
      <c r="J211" s="14" t="str">
        <f>HYPERLINK("https://www.gov.uk/government/organisations/student-loans-company","www.gov.uk/government/organisations/student-loans-company#content")</f>
        <v>www.gov.uk/government/organisations/student-loans-company#content</v>
      </c>
      <c r="K211" s="7" t="s">
        <v>1111</v>
      </c>
      <c r="L211" s="7" t="s">
        <v>1112</v>
      </c>
      <c r="M211" s="7" t="s">
        <v>42</v>
      </c>
      <c r="N211" s="15" t="s">
        <v>43</v>
      </c>
      <c r="O211" s="16">
        <v>50000</v>
      </c>
      <c r="P211" s="15"/>
      <c r="Q211" s="13" t="s">
        <v>729</v>
      </c>
      <c r="R211" s="7" t="s">
        <v>37</v>
      </c>
      <c r="S211" s="7" t="s">
        <v>43</v>
      </c>
      <c r="T211" s="7" t="s">
        <v>43</v>
      </c>
      <c r="U211" s="7" t="s">
        <v>766</v>
      </c>
      <c r="V211" s="7">
        <v>2018</v>
      </c>
      <c r="W211" s="26">
        <v>2895</v>
      </c>
      <c r="X211" s="18">
        <v>260900</v>
      </c>
      <c r="Y211" s="18">
        <v>0</v>
      </c>
      <c r="Z211" s="18">
        <v>260900</v>
      </c>
      <c r="AA211" s="18">
        <v>223900</v>
      </c>
      <c r="AB211" s="18">
        <v>37000</v>
      </c>
      <c r="AC211" s="18">
        <v>-474</v>
      </c>
      <c r="AD211" s="7" t="s">
        <v>1113</v>
      </c>
      <c r="AE211" s="7" t="s">
        <v>56</v>
      </c>
      <c r="AF211" s="7"/>
      <c r="AG211" s="7"/>
      <c r="AH211" s="7"/>
      <c r="AI211" s="7"/>
      <c r="AJ211" s="7"/>
      <c r="AK211" s="7"/>
      <c r="AL211" s="7"/>
      <c r="AM211" s="7"/>
      <c r="AN211" s="7"/>
      <c r="AO211" s="7"/>
      <c r="AP211" s="7"/>
      <c r="AQ211" s="7"/>
      <c r="AR211" s="7"/>
      <c r="AS211" s="7"/>
      <c r="AT211" s="7"/>
      <c r="AU211" s="7"/>
      <c r="AV211" s="7"/>
      <c r="AW211" s="7"/>
      <c r="AX211" s="7"/>
      <c r="AY211" s="7"/>
      <c r="AZ211" s="7"/>
    </row>
    <row r="212" spans="1:52" ht="63" customHeight="1">
      <c r="A212" s="20" t="s">
        <v>1114</v>
      </c>
      <c r="B212" s="7">
        <v>1</v>
      </c>
      <c r="C212" s="7" t="s">
        <v>65</v>
      </c>
      <c r="D212" s="7" t="s">
        <v>108</v>
      </c>
      <c r="E212" s="7" t="s">
        <v>37</v>
      </c>
      <c r="F212" s="7" t="s">
        <v>1115</v>
      </c>
      <c r="G212" s="7">
        <v>2018</v>
      </c>
      <c r="H212" s="7"/>
      <c r="I212" s="7"/>
      <c r="J212" s="14" t="str">
        <f>HYPERLINK("https://des.mod.uk/","https://des.mod.uk/")</f>
        <v>https://des.mod.uk/</v>
      </c>
      <c r="K212" s="7" t="s">
        <v>1116</v>
      </c>
      <c r="L212" s="7" t="s">
        <v>1117</v>
      </c>
      <c r="M212" s="7" t="s">
        <v>42</v>
      </c>
      <c r="N212" s="15" t="s">
        <v>43</v>
      </c>
      <c r="O212" s="16">
        <v>150000</v>
      </c>
      <c r="P212" s="15" t="s">
        <v>52</v>
      </c>
      <c r="Q212" s="17" t="s">
        <v>100</v>
      </c>
      <c r="R212" s="7" t="s">
        <v>37</v>
      </c>
      <c r="S212" s="7" t="s">
        <v>37</v>
      </c>
      <c r="T212" s="7" t="s">
        <v>43</v>
      </c>
      <c r="U212" s="7" t="s">
        <v>46</v>
      </c>
      <c r="V212" s="7"/>
      <c r="W212" s="26">
        <v>1409</v>
      </c>
      <c r="X212" s="18">
        <v>169680</v>
      </c>
      <c r="Y212" s="18">
        <v>0</v>
      </c>
      <c r="Z212" s="18">
        <v>169680</v>
      </c>
      <c r="AA212" s="18">
        <v>174580</v>
      </c>
      <c r="AB212" s="18">
        <v>0</v>
      </c>
      <c r="AC212" s="18">
        <v>905</v>
      </c>
      <c r="AD212" s="7" t="s">
        <v>1118</v>
      </c>
      <c r="AE212" s="7"/>
      <c r="AF212" s="7"/>
      <c r="AG212" s="7"/>
      <c r="AH212" s="7"/>
      <c r="AI212" s="7"/>
      <c r="AJ212" s="7"/>
      <c r="AK212" s="7"/>
      <c r="AL212" s="7"/>
      <c r="AM212" s="7"/>
      <c r="AN212" s="7"/>
      <c r="AO212" s="7"/>
      <c r="AP212" s="7"/>
      <c r="AQ212" s="7"/>
      <c r="AR212" s="7"/>
      <c r="AS212" s="7"/>
      <c r="AT212" s="7"/>
      <c r="AU212" s="7"/>
      <c r="AV212" s="7"/>
      <c r="AW212" s="7"/>
      <c r="AX212" s="7"/>
      <c r="AY212" s="7"/>
      <c r="AZ212" s="7"/>
    </row>
    <row r="213" spans="1:52" ht="63" customHeight="1">
      <c r="A213" s="20" t="s">
        <v>1119</v>
      </c>
      <c r="B213" s="7">
        <v>1</v>
      </c>
      <c r="C213" s="7" t="s">
        <v>122</v>
      </c>
      <c r="D213" s="7" t="s">
        <v>95</v>
      </c>
      <c r="E213" s="7" t="s">
        <v>37</v>
      </c>
      <c r="F213" s="7" t="s">
        <v>1120</v>
      </c>
      <c r="G213" s="7">
        <v>1897</v>
      </c>
      <c r="H213" s="7"/>
      <c r="I213" s="14" t="str">
        <f>HYPERLINK("mailto:tab@homeoffice.gov.uk","info@tate.org.uk")</f>
        <v>info@tate.org.uk</v>
      </c>
      <c r="J213" s="14" t="s">
        <v>1121</v>
      </c>
      <c r="K213" s="13" t="s">
        <v>979</v>
      </c>
      <c r="L213" s="7" t="s">
        <v>1122</v>
      </c>
      <c r="M213" s="50" t="s">
        <v>780</v>
      </c>
      <c r="N213" s="15" t="s">
        <v>37</v>
      </c>
      <c r="O213" s="16"/>
      <c r="P213" s="15"/>
      <c r="Q213" s="13" t="s">
        <v>783</v>
      </c>
      <c r="R213" s="7" t="s">
        <v>37</v>
      </c>
      <c r="S213" s="13" t="s">
        <v>56</v>
      </c>
      <c r="T213" s="7" t="s">
        <v>43</v>
      </c>
      <c r="U213" s="7" t="s">
        <v>54</v>
      </c>
      <c r="V213" s="7">
        <v>2017</v>
      </c>
      <c r="W213" s="7">
        <v>843</v>
      </c>
      <c r="X213" s="18">
        <v>35126</v>
      </c>
      <c r="Y213" s="18">
        <v>85112</v>
      </c>
      <c r="Z213" s="18">
        <f>(X213+Y213)</f>
        <v>120238</v>
      </c>
      <c r="AA213" s="18">
        <v>64645</v>
      </c>
      <c r="AB213" s="18">
        <v>3159</v>
      </c>
      <c r="AC213" s="18">
        <v>0</v>
      </c>
      <c r="AD213" s="7"/>
      <c r="AE213" s="7"/>
      <c r="AF213" s="7"/>
      <c r="AG213" s="7"/>
      <c r="AH213" s="7"/>
      <c r="AI213" s="7"/>
      <c r="AJ213" s="7"/>
      <c r="AK213" s="7"/>
      <c r="AL213" s="7"/>
      <c r="AM213" s="7"/>
      <c r="AN213" s="7"/>
      <c r="AO213" s="7"/>
      <c r="AP213" s="7"/>
      <c r="AQ213" s="7"/>
      <c r="AR213" s="7"/>
      <c r="AS213" s="7"/>
      <c r="AT213" s="7"/>
      <c r="AU213" s="7"/>
      <c r="AV213" s="7"/>
      <c r="AW213" s="7"/>
      <c r="AX213" s="7"/>
      <c r="AY213" s="7"/>
      <c r="AZ213" s="7"/>
    </row>
    <row r="214" spans="1:52" ht="63" customHeight="1">
      <c r="A214" s="20" t="s">
        <v>1123</v>
      </c>
      <c r="B214" s="7">
        <v>1</v>
      </c>
      <c r="C214" s="7" t="s">
        <v>133</v>
      </c>
      <c r="D214" s="7" t="s">
        <v>36</v>
      </c>
      <c r="E214" s="7" t="s">
        <v>37</v>
      </c>
      <c r="F214" s="7" t="s">
        <v>1124</v>
      </c>
      <c r="G214" s="7">
        <v>2002</v>
      </c>
      <c r="H214" s="7"/>
      <c r="I214" s="14" t="str">
        <f>HYPERLINK("mailto:tab@homeoffice.gov.uk","tab@homeoffice.gov.uk")</f>
        <v>tab@homeoffice.gov.uk</v>
      </c>
      <c r="J214" s="14" t="str">
        <f>HYPERLINK("http://www.gov.uk/tab","http://www.gov.uk/tab")</f>
        <v>http://www.gov.uk/tab</v>
      </c>
      <c r="K214" s="7" t="s">
        <v>1125</v>
      </c>
      <c r="L214" s="7" t="s">
        <v>1126</v>
      </c>
      <c r="M214" s="45" t="s">
        <v>42</v>
      </c>
      <c r="N214" s="15" t="s">
        <v>43</v>
      </c>
      <c r="O214" s="16"/>
      <c r="P214" s="15" t="s">
        <v>44</v>
      </c>
      <c r="Q214" s="7" t="s">
        <v>1127</v>
      </c>
      <c r="R214" s="7" t="s">
        <v>37</v>
      </c>
      <c r="S214" s="7" t="s">
        <v>37</v>
      </c>
      <c r="T214" s="7" t="s">
        <v>37</v>
      </c>
      <c r="U214" s="7" t="s">
        <v>46</v>
      </c>
      <c r="V214" s="7">
        <v>2013</v>
      </c>
      <c r="W214" s="7">
        <v>0</v>
      </c>
      <c r="X214" s="18">
        <v>0</v>
      </c>
      <c r="Y214" s="18">
        <v>0</v>
      </c>
      <c r="Z214" s="18">
        <v>0</v>
      </c>
      <c r="AA214" s="18">
        <v>0</v>
      </c>
      <c r="AB214" s="18">
        <v>0</v>
      </c>
      <c r="AC214" s="18">
        <v>0</v>
      </c>
      <c r="AD214" s="7" t="s">
        <v>1128</v>
      </c>
      <c r="AE214" s="7" t="s">
        <v>56</v>
      </c>
      <c r="AF214" s="7"/>
      <c r="AG214" s="7"/>
      <c r="AH214" s="7"/>
      <c r="AI214" s="7"/>
      <c r="AJ214" s="7"/>
      <c r="AK214" s="7"/>
      <c r="AL214" s="7"/>
      <c r="AM214" s="7"/>
      <c r="AN214" s="7"/>
      <c r="AO214" s="7"/>
      <c r="AP214" s="7"/>
      <c r="AQ214" s="7"/>
      <c r="AR214" s="7"/>
      <c r="AS214" s="7"/>
      <c r="AT214" s="7"/>
      <c r="AU214" s="7"/>
      <c r="AV214" s="7"/>
      <c r="AW214" s="7"/>
      <c r="AX214" s="7"/>
      <c r="AY214" s="7"/>
      <c r="AZ214" s="7"/>
    </row>
    <row r="215" spans="1:52" ht="63" customHeight="1">
      <c r="A215" s="20" t="s">
        <v>1129</v>
      </c>
      <c r="B215" s="7">
        <v>1</v>
      </c>
      <c r="C215" s="7" t="s">
        <v>122</v>
      </c>
      <c r="D215" s="7" t="s">
        <v>36</v>
      </c>
      <c r="E215" s="7" t="s">
        <v>37</v>
      </c>
      <c r="F215" s="7" t="s">
        <v>1130</v>
      </c>
      <c r="G215" s="7">
        <v>1958</v>
      </c>
      <c r="H215" s="7"/>
      <c r="I215" s="14" t="str">
        <f>HYPERLINK("https://nationalarchives.gov.uk/contact-us/your-views/","Please contact via website")</f>
        <v>Please contact via website</v>
      </c>
      <c r="J215" s="14" t="str">
        <f>HYPERLINK("https://www.nationalarchives.gov.uk/about/our-role/advisory-council/","https://www.nationalarchives.gov.uk/about/our-role/advisory-council/")</f>
        <v>https://www.nationalarchives.gov.uk/about/our-role/advisory-council/</v>
      </c>
      <c r="K215" s="13" t="s">
        <v>753</v>
      </c>
      <c r="L215" s="7" t="s">
        <v>1131</v>
      </c>
      <c r="M215" s="13" t="s">
        <v>1132</v>
      </c>
      <c r="N215" s="15" t="s">
        <v>37</v>
      </c>
      <c r="O215" s="16"/>
      <c r="P215" s="15"/>
      <c r="Q215" s="13" t="s">
        <v>1133</v>
      </c>
      <c r="R215" s="7" t="s">
        <v>37</v>
      </c>
      <c r="S215" s="7" t="s">
        <v>43</v>
      </c>
      <c r="T215" s="7" t="s">
        <v>43</v>
      </c>
      <c r="U215" s="7" t="s">
        <v>54</v>
      </c>
      <c r="V215" s="7">
        <v>2014</v>
      </c>
      <c r="W215" s="7"/>
      <c r="X215" s="18">
        <v>0</v>
      </c>
      <c r="Y215" s="18">
        <v>0</v>
      </c>
      <c r="Z215" s="18">
        <f>(X215+Y215)</f>
        <v>0</v>
      </c>
      <c r="AA215" s="18">
        <v>0</v>
      </c>
      <c r="AB215" s="18">
        <v>0</v>
      </c>
      <c r="AC215" s="18">
        <v>0</v>
      </c>
      <c r="AD215" s="7"/>
      <c r="AE215" s="7"/>
      <c r="AF215" s="7"/>
      <c r="AG215" s="7"/>
      <c r="AH215" s="7"/>
      <c r="AI215" s="7"/>
      <c r="AJ215" s="7"/>
      <c r="AK215" s="7"/>
      <c r="AL215" s="7"/>
      <c r="AM215" s="7"/>
      <c r="AN215" s="7"/>
      <c r="AO215" s="7"/>
      <c r="AP215" s="7"/>
      <c r="AQ215" s="7"/>
      <c r="AR215" s="7"/>
      <c r="AS215" s="7"/>
      <c r="AT215" s="7"/>
      <c r="AU215" s="7"/>
      <c r="AV215" s="7"/>
      <c r="AW215" s="7"/>
      <c r="AX215" s="7"/>
      <c r="AY215" s="7"/>
      <c r="AZ215" s="7"/>
    </row>
    <row r="216" spans="1:52" ht="63" customHeight="1">
      <c r="A216" s="20" t="s">
        <v>1134</v>
      </c>
      <c r="B216" s="7">
        <v>1</v>
      </c>
      <c r="C216" s="7" t="s">
        <v>212</v>
      </c>
      <c r="D216" s="7" t="s">
        <v>95</v>
      </c>
      <c r="E216" s="7" t="s">
        <v>37</v>
      </c>
      <c r="F216" s="7" t="s">
        <v>1135</v>
      </c>
      <c r="G216" s="7">
        <v>1996</v>
      </c>
      <c r="H216" s="7"/>
      <c r="I216" s="14" t="str">
        <f>HYPERLINK("mailto:info@housing-ombudsman.org.uk","info@housing-ombudsman.org.uk
")</f>
        <v xml:space="preserve">info@housing-ombudsman.org.uk
</v>
      </c>
      <c r="J216" s="14" t="s">
        <v>1136</v>
      </c>
      <c r="K216" s="7" t="s">
        <v>1137</v>
      </c>
      <c r="L216" s="13" t="s">
        <v>46</v>
      </c>
      <c r="M216" s="13" t="s">
        <v>46</v>
      </c>
      <c r="N216" s="17" t="s">
        <v>46</v>
      </c>
      <c r="O216" s="16"/>
      <c r="P216" s="15"/>
      <c r="Q216" s="15"/>
      <c r="R216" s="7" t="s">
        <v>37</v>
      </c>
      <c r="S216" s="7" t="s">
        <v>37</v>
      </c>
      <c r="T216" s="7" t="s">
        <v>43</v>
      </c>
      <c r="U216" s="7" t="s">
        <v>46</v>
      </c>
      <c r="V216" s="7"/>
      <c r="W216" s="7">
        <v>62.6</v>
      </c>
      <c r="X216" s="18">
        <v>75</v>
      </c>
      <c r="Y216" s="18">
        <v>5889</v>
      </c>
      <c r="Z216" s="18">
        <v>5964</v>
      </c>
      <c r="AA216" s="18">
        <v>5825</v>
      </c>
      <c r="AB216" s="18">
        <v>75</v>
      </c>
      <c r="AC216" s="18">
        <v>752</v>
      </c>
      <c r="AD216" s="7"/>
      <c r="AE216" s="7" t="s">
        <v>56</v>
      </c>
      <c r="AF216" s="7"/>
      <c r="AG216" s="7"/>
      <c r="AH216" s="7"/>
      <c r="AI216" s="7"/>
      <c r="AJ216" s="7"/>
      <c r="AK216" s="7"/>
      <c r="AL216" s="7"/>
      <c r="AM216" s="7"/>
      <c r="AN216" s="7"/>
      <c r="AO216" s="7"/>
      <c r="AP216" s="7"/>
      <c r="AQ216" s="7"/>
      <c r="AR216" s="7"/>
      <c r="AS216" s="7"/>
      <c r="AT216" s="7"/>
      <c r="AU216" s="7"/>
      <c r="AV216" s="7"/>
      <c r="AW216" s="7"/>
      <c r="AX216" s="7"/>
      <c r="AY216" s="7"/>
      <c r="AZ216" s="7"/>
    </row>
    <row r="217" spans="1:52" ht="63" customHeight="1">
      <c r="A217" s="12" t="s">
        <v>1138</v>
      </c>
      <c r="B217" s="7">
        <v>1</v>
      </c>
      <c r="C217" s="7" t="s">
        <v>334</v>
      </c>
      <c r="D217" s="7" t="s">
        <v>108</v>
      </c>
      <c r="E217" s="7" t="s">
        <v>37</v>
      </c>
      <c r="F217" s="7" t="s">
        <v>1139</v>
      </c>
      <c r="G217" s="7">
        <v>2018</v>
      </c>
      <c r="H217" s="7"/>
      <c r="I217" s="7" t="s">
        <v>1140</v>
      </c>
      <c r="J217" s="14" t="str">
        <f>HYPERLINK("https://www.gov.uk/government/organisations/teaching-regulation-agency","https://www.gov.uk/government/organisations/teaching-regulation-agency")</f>
        <v>https://www.gov.uk/government/organisations/teaching-regulation-agency</v>
      </c>
      <c r="K217" s="7" t="s">
        <v>1141</v>
      </c>
      <c r="L217" s="13" t="s">
        <v>46</v>
      </c>
      <c r="M217" s="13" t="s">
        <v>46</v>
      </c>
      <c r="N217" s="15"/>
      <c r="O217" s="16"/>
      <c r="P217" s="15"/>
      <c r="Q217" s="7"/>
      <c r="R217" s="7" t="s">
        <v>37</v>
      </c>
      <c r="S217" s="7" t="s">
        <v>37</v>
      </c>
      <c r="T217" s="7" t="s">
        <v>43</v>
      </c>
      <c r="U217" s="7" t="s">
        <v>334</v>
      </c>
      <c r="V217" s="7">
        <v>2019</v>
      </c>
      <c r="W217" s="7">
        <v>73</v>
      </c>
      <c r="X217" s="18">
        <v>8014</v>
      </c>
      <c r="Y217" s="18">
        <v>0</v>
      </c>
      <c r="Z217" s="18">
        <v>8014</v>
      </c>
      <c r="AA217" s="18">
        <v>8014</v>
      </c>
      <c r="AB217" s="18">
        <v>0</v>
      </c>
      <c r="AC217" s="18">
        <v>0</v>
      </c>
      <c r="AD217" s="7"/>
      <c r="AE217" s="7"/>
      <c r="AF217" s="7"/>
      <c r="AG217" s="7"/>
      <c r="AH217" s="7"/>
      <c r="AI217" s="7"/>
      <c r="AJ217" s="7"/>
      <c r="AK217" s="7"/>
      <c r="AL217" s="7"/>
      <c r="AM217" s="7"/>
      <c r="AN217" s="7"/>
      <c r="AO217" s="7"/>
      <c r="AP217" s="7"/>
      <c r="AQ217" s="7"/>
      <c r="AR217" s="7"/>
      <c r="AS217" s="7"/>
      <c r="AT217" s="7"/>
      <c r="AU217" s="7"/>
      <c r="AV217" s="7"/>
      <c r="AW217" s="7"/>
      <c r="AX217" s="7"/>
      <c r="AY217" s="7"/>
      <c r="AZ217" s="7"/>
    </row>
    <row r="218" spans="1:52" ht="63" customHeight="1">
      <c r="A218" s="20" t="s">
        <v>1142</v>
      </c>
      <c r="B218" s="7">
        <v>1</v>
      </c>
      <c r="C218" s="7" t="s">
        <v>122</v>
      </c>
      <c r="D218" s="7" t="s">
        <v>36</v>
      </c>
      <c r="E218" s="7" t="s">
        <v>43</v>
      </c>
      <c r="F218" s="7" t="s">
        <v>1143</v>
      </c>
      <c r="G218" s="7">
        <v>1976</v>
      </c>
      <c r="H218" s="7"/>
      <c r="I218" s="14" t="str">
        <f>HYPERLINK("mailto:info@theatrestrust.org.uk","info@theatrestrust.org.uk")</f>
        <v>info@theatrestrust.org.uk</v>
      </c>
      <c r="J218" s="14" t="str">
        <f>HYPERLINK("http://www.theatrestrust.org.uk/","http://www.theatrestrust.org.uk/")</f>
        <v>http://www.theatrestrust.org.uk/</v>
      </c>
      <c r="K218" s="7" t="s">
        <v>1144</v>
      </c>
      <c r="L218" s="7" t="s">
        <v>1145</v>
      </c>
      <c r="M218" s="13" t="s">
        <v>42</v>
      </c>
      <c r="N218" s="15" t="s">
        <v>37</v>
      </c>
      <c r="O218" s="16"/>
      <c r="P218" s="15"/>
      <c r="Q218" s="7" t="s">
        <v>1146</v>
      </c>
      <c r="R218" s="7" t="s">
        <v>63</v>
      </c>
      <c r="S218" s="7" t="s">
        <v>63</v>
      </c>
      <c r="T218" s="7" t="s">
        <v>56</v>
      </c>
      <c r="U218" s="7" t="s">
        <v>1147</v>
      </c>
      <c r="V218" s="7"/>
      <c r="W218" s="7">
        <v>9</v>
      </c>
      <c r="X218" s="18">
        <v>0</v>
      </c>
      <c r="Y218" s="18">
        <v>0</v>
      </c>
      <c r="Z218" s="18">
        <f>(X218+Y218)</f>
        <v>0</v>
      </c>
      <c r="AA218" s="18">
        <v>0</v>
      </c>
      <c r="AB218" s="18">
        <v>0</v>
      </c>
      <c r="AC218" s="18">
        <v>0</v>
      </c>
      <c r="AD218" s="7" t="s">
        <v>948</v>
      </c>
      <c r="AE218" s="7"/>
      <c r="AF218" s="7"/>
      <c r="AG218" s="7"/>
      <c r="AH218" s="7"/>
      <c r="AI218" s="7"/>
      <c r="AJ218" s="7"/>
      <c r="AK218" s="7"/>
      <c r="AL218" s="7"/>
      <c r="AM218" s="7"/>
      <c r="AN218" s="7"/>
      <c r="AO218" s="7"/>
      <c r="AP218" s="7"/>
      <c r="AQ218" s="7"/>
      <c r="AR218" s="7"/>
      <c r="AS218" s="7"/>
      <c r="AT218" s="7"/>
      <c r="AU218" s="7"/>
      <c r="AV218" s="7"/>
      <c r="AW218" s="7"/>
      <c r="AX218" s="7"/>
      <c r="AY218" s="7"/>
      <c r="AZ218" s="7"/>
    </row>
    <row r="219" spans="1:52" ht="63" customHeight="1">
      <c r="A219" s="12" t="s">
        <v>1148</v>
      </c>
      <c r="B219" s="7">
        <v>1</v>
      </c>
      <c r="C219" s="7" t="s">
        <v>206</v>
      </c>
      <c r="D219" s="7" t="s">
        <v>678</v>
      </c>
      <c r="E219" s="7" t="s">
        <v>43</v>
      </c>
      <c r="F219" s="7" t="s">
        <v>1149</v>
      </c>
      <c r="G219" s="7">
        <v>1931</v>
      </c>
      <c r="H219" s="7"/>
      <c r="I219" s="14" t="str">
        <f>HYPERLINK("mailto:enquiries@otc.gov.uk","enquiries@otc.gov.uk")</f>
        <v>enquiries@otc.gov.uk</v>
      </c>
      <c r="J219" s="14" t="str">
        <f>HYPERLINK("https://www.gov.uk/government/organisations/traffic-commissioners","www.gov.uk/traffic-commissioners")</f>
        <v>www.gov.uk/traffic-commissioners</v>
      </c>
      <c r="K219" s="7" t="s">
        <v>408</v>
      </c>
      <c r="L219" s="13" t="s">
        <v>1150</v>
      </c>
      <c r="M219" s="13" t="s">
        <v>42</v>
      </c>
      <c r="N219" s="15" t="s">
        <v>43</v>
      </c>
      <c r="O219" s="16">
        <v>127562</v>
      </c>
      <c r="P219" s="15" t="s">
        <v>52</v>
      </c>
      <c r="Q219" s="15" t="s">
        <v>1080</v>
      </c>
      <c r="R219" s="7" t="s">
        <v>37</v>
      </c>
      <c r="S219" s="7" t="s">
        <v>37</v>
      </c>
      <c r="T219" s="7" t="s">
        <v>43</v>
      </c>
      <c r="U219" s="7" t="s">
        <v>46</v>
      </c>
      <c r="V219" s="7">
        <v>2018</v>
      </c>
      <c r="W219" s="7">
        <v>0</v>
      </c>
      <c r="X219" s="18">
        <v>0</v>
      </c>
      <c r="Y219" s="18">
        <v>0</v>
      </c>
      <c r="Z219" s="18">
        <v>0</v>
      </c>
      <c r="AA219" s="18">
        <v>0</v>
      </c>
      <c r="AB219" s="18">
        <v>0</v>
      </c>
      <c r="AC219" s="18">
        <v>0</v>
      </c>
      <c r="AD219" s="7"/>
      <c r="AE219" s="7"/>
      <c r="AF219" s="7"/>
      <c r="AG219" s="7"/>
      <c r="AH219" s="7"/>
      <c r="AI219" s="7"/>
      <c r="AJ219" s="7"/>
      <c r="AK219" s="7"/>
      <c r="AL219" s="7"/>
      <c r="AM219" s="7"/>
      <c r="AN219" s="7"/>
      <c r="AO219" s="7"/>
      <c r="AP219" s="7"/>
      <c r="AQ219" s="7"/>
      <c r="AR219" s="7"/>
      <c r="AS219" s="7"/>
      <c r="AT219" s="7"/>
      <c r="AU219" s="7"/>
      <c r="AV219" s="7"/>
      <c r="AW219" s="7"/>
      <c r="AX219" s="7"/>
      <c r="AY219" s="7"/>
      <c r="AZ219" s="7"/>
    </row>
    <row r="220" spans="1:52" ht="63" customHeight="1">
      <c r="A220" s="20" t="s">
        <v>1151</v>
      </c>
      <c r="B220" s="7">
        <v>1</v>
      </c>
      <c r="C220" s="7" t="s">
        <v>206</v>
      </c>
      <c r="D220" s="7" t="s">
        <v>95</v>
      </c>
      <c r="E220" s="7" t="s">
        <v>37</v>
      </c>
      <c r="F220" s="7" t="s">
        <v>1152</v>
      </c>
      <c r="G220" s="7">
        <v>2005</v>
      </c>
      <c r="H220" s="7"/>
      <c r="I220" s="14" t="str">
        <f>HYPERLINK("mailto:jon.carter@transportfocus.org.uk","jon.carter@transportfocus.org.uk")</f>
        <v>jon.carter@transportfocus.org.uk</v>
      </c>
      <c r="J220" s="14" t="str">
        <f>HYPERLINK("https://www.transportfocus.org.uk/","www.transportfocus.org.uk")</f>
        <v>www.transportfocus.org.uk</v>
      </c>
      <c r="K220" s="7" t="s">
        <v>208</v>
      </c>
      <c r="L220" s="13" t="s">
        <v>1153</v>
      </c>
      <c r="M220" s="13" t="s">
        <v>42</v>
      </c>
      <c r="N220" s="15" t="s">
        <v>43</v>
      </c>
      <c r="O220" s="16">
        <v>35000</v>
      </c>
      <c r="P220" s="15" t="s">
        <v>52</v>
      </c>
      <c r="Q220" s="17" t="s">
        <v>193</v>
      </c>
      <c r="R220" s="7" t="s">
        <v>43</v>
      </c>
      <c r="S220" s="7" t="s">
        <v>43</v>
      </c>
      <c r="T220" s="7" t="s">
        <v>43</v>
      </c>
      <c r="U220" s="7" t="s">
        <v>54</v>
      </c>
      <c r="V220" s="7">
        <v>2019</v>
      </c>
      <c r="W220" s="7">
        <v>52</v>
      </c>
      <c r="X220" s="18">
        <v>6145</v>
      </c>
      <c r="Y220" s="18">
        <v>0</v>
      </c>
      <c r="Z220" s="18">
        <v>6145</v>
      </c>
      <c r="AA220" s="18">
        <v>5245</v>
      </c>
      <c r="AB220" s="18">
        <v>0</v>
      </c>
      <c r="AC220" s="18">
        <v>0</v>
      </c>
      <c r="AD220" s="7"/>
      <c r="AE220" s="7"/>
      <c r="AF220" s="7"/>
      <c r="AG220" s="7"/>
      <c r="AH220" s="7"/>
      <c r="AI220" s="7"/>
      <c r="AJ220" s="7"/>
      <c r="AK220" s="7"/>
      <c r="AL220" s="7"/>
      <c r="AM220" s="7"/>
      <c r="AN220" s="7"/>
      <c r="AO220" s="7"/>
      <c r="AP220" s="7"/>
      <c r="AQ220" s="7"/>
      <c r="AR220" s="7"/>
      <c r="AS220" s="7"/>
      <c r="AT220" s="7"/>
      <c r="AU220" s="7"/>
      <c r="AV220" s="7"/>
      <c r="AW220" s="7"/>
      <c r="AX220" s="7"/>
      <c r="AY220" s="7"/>
      <c r="AZ220" s="7"/>
    </row>
    <row r="221" spans="1:52" ht="63" customHeight="1">
      <c r="A221" s="20" t="s">
        <v>1154</v>
      </c>
      <c r="B221" s="7">
        <v>1</v>
      </c>
      <c r="C221" s="7" t="s">
        <v>122</v>
      </c>
      <c r="D221" s="7" t="s">
        <v>36</v>
      </c>
      <c r="E221" s="7" t="s">
        <v>37</v>
      </c>
      <c r="F221" s="7" t="s">
        <v>1155</v>
      </c>
      <c r="G221" s="7">
        <v>1997</v>
      </c>
      <c r="H221" s="7"/>
      <c r="I221" s="14" t="str">
        <f>HYPERLINK("mailto:treasure@britishmuseum.org","treasure@britishmuseum.org")</f>
        <v>treasure@britishmuseum.org</v>
      </c>
      <c r="J221" s="14" t="s">
        <v>1156</v>
      </c>
      <c r="K221" s="7" t="s">
        <v>979</v>
      </c>
      <c r="L221" s="7" t="s">
        <v>1157</v>
      </c>
      <c r="M221" s="7" t="s">
        <v>42</v>
      </c>
      <c r="N221" s="15" t="s">
        <v>37</v>
      </c>
      <c r="O221" s="16"/>
      <c r="P221" s="15"/>
      <c r="Q221" s="13" t="s">
        <v>783</v>
      </c>
      <c r="R221" s="7" t="s">
        <v>37</v>
      </c>
      <c r="S221" s="7" t="s">
        <v>43</v>
      </c>
      <c r="T221" s="7" t="s">
        <v>43</v>
      </c>
      <c r="U221" s="7" t="s">
        <v>54</v>
      </c>
      <c r="V221" s="7">
        <v>2012</v>
      </c>
      <c r="W221" s="7"/>
      <c r="X221" s="18">
        <v>0</v>
      </c>
      <c r="Y221" s="18">
        <v>0</v>
      </c>
      <c r="Z221" s="18">
        <f>(X221+Y221)</f>
        <v>0</v>
      </c>
      <c r="AA221" s="18">
        <v>0</v>
      </c>
      <c r="AB221" s="18">
        <v>0</v>
      </c>
      <c r="AC221" s="18">
        <v>0</v>
      </c>
      <c r="AD221" s="7"/>
      <c r="AE221" s="7"/>
      <c r="AF221" s="7"/>
      <c r="AG221" s="7"/>
      <c r="AH221" s="7"/>
      <c r="AI221" s="7"/>
      <c r="AJ221" s="7"/>
      <c r="AK221" s="7"/>
      <c r="AL221" s="7"/>
      <c r="AM221" s="7"/>
      <c r="AN221" s="7"/>
      <c r="AO221" s="7"/>
      <c r="AP221" s="7"/>
      <c r="AQ221" s="7"/>
      <c r="AR221" s="7"/>
      <c r="AS221" s="7"/>
      <c r="AT221" s="7"/>
      <c r="AU221" s="7"/>
      <c r="AV221" s="7"/>
      <c r="AW221" s="7"/>
      <c r="AX221" s="7"/>
      <c r="AY221" s="7"/>
      <c r="AZ221" s="7"/>
    </row>
    <row r="222" spans="1:52" ht="63" customHeight="1">
      <c r="A222" s="20" t="s">
        <v>1158</v>
      </c>
      <c r="B222" s="7">
        <v>1</v>
      </c>
      <c r="C222" s="7" t="s">
        <v>89</v>
      </c>
      <c r="D222" s="7" t="s">
        <v>95</v>
      </c>
      <c r="E222" s="7" t="s">
        <v>37</v>
      </c>
      <c r="F222" s="13" t="s">
        <v>1159</v>
      </c>
      <c r="G222" s="7">
        <v>2008</v>
      </c>
      <c r="H222" s="7"/>
      <c r="I222" s="14" t="str">
        <f>HYPERLINK("tpcsecretariat@justice.gsi.gov.uk   ","tpcsecretariat@justice.gsi.gov.uk   ")</f>
        <v xml:space="preserve">tpcsecretariat@justice.gsi.gov.uk   </v>
      </c>
      <c r="J222" s="14" t="str">
        <f>HYPERLINK("https://www.gov.uk/government/organisations/tribunal-procedure-committee","https://www.gov.uk/government/organisations/tribunal-procedure-committee")</f>
        <v>https://www.gov.uk/government/organisations/tribunal-procedure-committee</v>
      </c>
      <c r="K222" s="7" t="s">
        <v>1160</v>
      </c>
      <c r="L222" s="7" t="s">
        <v>1161</v>
      </c>
      <c r="M222" s="13" t="s">
        <v>71</v>
      </c>
      <c r="N222" s="15" t="s">
        <v>37</v>
      </c>
      <c r="O222" s="16"/>
      <c r="P222" s="15"/>
      <c r="Q222" s="17" t="s">
        <v>1162</v>
      </c>
      <c r="R222" s="7" t="s">
        <v>37</v>
      </c>
      <c r="S222" s="7" t="s">
        <v>43</v>
      </c>
      <c r="T222" s="7" t="s">
        <v>37</v>
      </c>
      <c r="U222" s="7" t="s">
        <v>46</v>
      </c>
      <c r="V222" s="7"/>
      <c r="W222" s="7">
        <v>2</v>
      </c>
      <c r="X222" s="18">
        <v>0</v>
      </c>
      <c r="Y222" s="18">
        <v>0</v>
      </c>
      <c r="Z222" s="18">
        <v>0</v>
      </c>
      <c r="AA222" s="18">
        <v>0</v>
      </c>
      <c r="AB222" s="18">
        <v>0</v>
      </c>
      <c r="AC222" s="18">
        <v>0</v>
      </c>
      <c r="AD222" s="7"/>
      <c r="AE222" s="7"/>
      <c r="AF222" s="7"/>
      <c r="AG222" s="7"/>
      <c r="AH222" s="7"/>
      <c r="AI222" s="7"/>
      <c r="AJ222" s="7"/>
      <c r="AK222" s="7"/>
      <c r="AL222" s="7"/>
      <c r="AM222" s="7"/>
      <c r="AN222" s="7"/>
      <c r="AO222" s="7"/>
      <c r="AP222" s="7"/>
      <c r="AQ222" s="7"/>
      <c r="AR222" s="7"/>
      <c r="AS222" s="7"/>
      <c r="AT222" s="7"/>
      <c r="AU222" s="7"/>
      <c r="AV222" s="7"/>
      <c r="AW222" s="7"/>
      <c r="AX222" s="7"/>
      <c r="AY222" s="7"/>
      <c r="AZ222" s="7"/>
    </row>
    <row r="223" spans="1:52" ht="63" customHeight="1">
      <c r="A223" s="12" t="s">
        <v>1163</v>
      </c>
      <c r="B223" s="7">
        <v>1</v>
      </c>
      <c r="C223" s="7" t="s">
        <v>206</v>
      </c>
      <c r="D223" s="7" t="s">
        <v>95</v>
      </c>
      <c r="E223" s="7" t="s">
        <v>43</v>
      </c>
      <c r="F223" s="7" t="s">
        <v>1164</v>
      </c>
      <c r="G223" s="7">
        <v>1514</v>
      </c>
      <c r="H223" s="7"/>
      <c r="I223" s="14" t="str">
        <f>HYPERLINK("mailto:enquiries@trinityhouse.co.uk","enquiries@trinityhouse.co.uk")</f>
        <v>enquiries@trinityhouse.co.uk</v>
      </c>
      <c r="J223" s="14" t="str">
        <f>HYPERLINK("https://www.trinityhouse.co.uk/","www.trinityhouse.co.uk")</f>
        <v>www.trinityhouse.co.uk</v>
      </c>
      <c r="K223" s="7" t="s">
        <v>624</v>
      </c>
      <c r="L223" s="13" t="s">
        <v>1165</v>
      </c>
      <c r="M223" s="7" t="s">
        <v>71</v>
      </c>
      <c r="N223" s="15" t="s">
        <v>43</v>
      </c>
      <c r="O223" s="16"/>
      <c r="P223" s="15"/>
      <c r="Q223" s="15"/>
      <c r="R223" s="7" t="s">
        <v>37</v>
      </c>
      <c r="S223" s="7" t="s">
        <v>43</v>
      </c>
      <c r="T223" s="7" t="s">
        <v>43</v>
      </c>
      <c r="U223" s="7" t="s">
        <v>54</v>
      </c>
      <c r="V223" s="7">
        <v>2014</v>
      </c>
      <c r="W223" s="7">
        <v>299</v>
      </c>
      <c r="X223" s="18">
        <v>0</v>
      </c>
      <c r="Y223" s="18">
        <v>36496</v>
      </c>
      <c r="Z223" s="18">
        <f>IF(SUM(Y223)&lt;&gt;0,SUM(Y223),"")</f>
        <v>36496</v>
      </c>
      <c r="AA223" s="18">
        <v>35590</v>
      </c>
      <c r="AB223" s="18">
        <v>0</v>
      </c>
      <c r="AC223" s="18">
        <v>0</v>
      </c>
      <c r="AD223" s="7"/>
      <c r="AE223" s="7"/>
      <c r="AF223" s="7"/>
      <c r="AG223" s="7"/>
      <c r="AH223" s="7"/>
      <c r="AI223" s="7"/>
      <c r="AJ223" s="7"/>
      <c r="AK223" s="7"/>
      <c r="AL223" s="7"/>
      <c r="AM223" s="7"/>
      <c r="AN223" s="7"/>
      <c r="AO223" s="7"/>
      <c r="AP223" s="7"/>
      <c r="AQ223" s="7"/>
      <c r="AR223" s="7"/>
      <c r="AS223" s="7"/>
      <c r="AT223" s="7"/>
      <c r="AU223" s="7"/>
      <c r="AV223" s="7"/>
      <c r="AW223" s="7"/>
      <c r="AX223" s="7"/>
      <c r="AY223" s="7"/>
      <c r="AZ223" s="7"/>
    </row>
    <row r="224" spans="1:52" ht="63" customHeight="1">
      <c r="A224" s="20" t="s">
        <v>1166</v>
      </c>
      <c r="B224" s="7">
        <v>1</v>
      </c>
      <c r="C224" s="7" t="s">
        <v>94</v>
      </c>
      <c r="D224" s="7" t="s">
        <v>95</v>
      </c>
      <c r="E224" s="7" t="s">
        <v>63</v>
      </c>
      <c r="F224" s="7" t="s">
        <v>1167</v>
      </c>
      <c r="G224" s="7">
        <v>1954</v>
      </c>
      <c r="H224" s="7"/>
      <c r="I224" s="14" t="str">
        <f>HYPERLINK("mailto:foienquiries@uk-atomic-energy.org.uk","foienquiries@uk-atomic-energy.org.uk")</f>
        <v>foienquiries@uk-atomic-energy.org.uk</v>
      </c>
      <c r="J224" s="14" t="str">
        <f>HYPERLINK("https://www.gov.uk/government/organisations/uk-atomic-energy-authority","www.gov.uk/ukaea")</f>
        <v>www.gov.uk/ukaea</v>
      </c>
      <c r="K224" s="7" t="s">
        <v>347</v>
      </c>
      <c r="L224" s="7" t="s">
        <v>1168</v>
      </c>
      <c r="M224" s="7" t="s">
        <v>42</v>
      </c>
      <c r="N224" s="15" t="s">
        <v>56</v>
      </c>
      <c r="O224" s="16">
        <v>25000</v>
      </c>
      <c r="P224" s="15" t="s">
        <v>52</v>
      </c>
      <c r="Q224" s="15" t="s">
        <v>112</v>
      </c>
      <c r="R224" s="7" t="s">
        <v>63</v>
      </c>
      <c r="S224" s="7" t="s">
        <v>56</v>
      </c>
      <c r="T224" s="7" t="s">
        <v>56</v>
      </c>
      <c r="U224" s="7" t="s">
        <v>46</v>
      </c>
      <c r="V224" s="7">
        <v>2015</v>
      </c>
      <c r="W224" s="7">
        <v>993</v>
      </c>
      <c r="X224" s="18">
        <v>161000</v>
      </c>
      <c r="Y224" s="18">
        <v>100000</v>
      </c>
      <c r="Z224" s="18">
        <v>261000</v>
      </c>
      <c r="AA224" s="18">
        <v>4000</v>
      </c>
      <c r="AB224" s="18">
        <v>101500</v>
      </c>
      <c r="AC224" s="18">
        <v>0</v>
      </c>
      <c r="AD224" s="7"/>
      <c r="AE224" s="7"/>
      <c r="AF224" s="7"/>
      <c r="AG224" s="7"/>
      <c r="AH224" s="7"/>
      <c r="AI224" s="7"/>
      <c r="AJ224" s="7"/>
      <c r="AK224" s="7"/>
      <c r="AL224" s="7"/>
      <c r="AM224" s="7"/>
      <c r="AN224" s="7"/>
      <c r="AO224" s="7"/>
      <c r="AP224" s="7"/>
      <c r="AQ224" s="7"/>
      <c r="AR224" s="7"/>
      <c r="AS224" s="7"/>
      <c r="AT224" s="7"/>
      <c r="AU224" s="7"/>
      <c r="AV224" s="7"/>
      <c r="AW224" s="7"/>
      <c r="AX224" s="7"/>
      <c r="AY224" s="7"/>
      <c r="AZ224" s="7"/>
    </row>
    <row r="225" spans="1:52" ht="63" customHeight="1">
      <c r="A225" s="20" t="s">
        <v>1169</v>
      </c>
      <c r="B225" s="7">
        <v>1</v>
      </c>
      <c r="C225" s="7" t="s">
        <v>275</v>
      </c>
      <c r="D225" s="7" t="s">
        <v>108</v>
      </c>
      <c r="E225" s="7" t="s">
        <v>63</v>
      </c>
      <c r="F225" s="7" t="s">
        <v>1170</v>
      </c>
      <c r="G225" s="7">
        <v>1998</v>
      </c>
      <c r="H225" s="7"/>
      <c r="I225" s="14" t="s">
        <v>1171</v>
      </c>
      <c r="J225" s="14" t="s">
        <v>1172</v>
      </c>
      <c r="K225" s="7" t="s">
        <v>1173</v>
      </c>
      <c r="L225" s="13" t="s">
        <v>46</v>
      </c>
      <c r="M225" s="13" t="s">
        <v>46</v>
      </c>
      <c r="N225" s="13" t="s">
        <v>46</v>
      </c>
      <c r="O225" s="16"/>
      <c r="P225" s="7"/>
      <c r="Q225" s="51" t="s">
        <v>279</v>
      </c>
      <c r="R225" s="7" t="s">
        <v>63</v>
      </c>
      <c r="S225" s="7" t="s">
        <v>63</v>
      </c>
      <c r="T225" s="7" t="s">
        <v>56</v>
      </c>
      <c r="U225" s="7" t="s">
        <v>54</v>
      </c>
      <c r="V225" s="7"/>
      <c r="W225" s="7">
        <v>135</v>
      </c>
      <c r="X225" s="18">
        <v>18961</v>
      </c>
      <c r="Y225" s="18">
        <v>4024</v>
      </c>
      <c r="Z225" s="18">
        <f>(X225+Y225)</f>
        <v>22985</v>
      </c>
      <c r="AA225" s="33">
        <v>21587</v>
      </c>
      <c r="AB225" s="33">
        <v>4566</v>
      </c>
      <c r="AC225" s="33">
        <v>0</v>
      </c>
      <c r="AD225" s="7"/>
      <c r="AE225" s="7"/>
      <c r="AF225" s="7"/>
      <c r="AG225" s="7"/>
      <c r="AH225" s="7"/>
      <c r="AI225" s="7"/>
      <c r="AJ225" s="7"/>
      <c r="AK225" s="7"/>
      <c r="AL225" s="7"/>
      <c r="AM225" s="7"/>
      <c r="AN225" s="7"/>
      <c r="AO225" s="7"/>
      <c r="AP225" s="7"/>
      <c r="AQ225" s="7"/>
      <c r="AR225" s="7"/>
      <c r="AS225" s="7"/>
      <c r="AT225" s="7"/>
      <c r="AU225" s="7"/>
      <c r="AV225" s="7"/>
      <c r="AW225" s="7"/>
      <c r="AX225" s="7"/>
      <c r="AY225" s="7"/>
      <c r="AZ225" s="7"/>
    </row>
    <row r="226" spans="1:52" ht="63" customHeight="1">
      <c r="A226" s="20" t="s">
        <v>1174</v>
      </c>
      <c r="B226" s="7">
        <v>1</v>
      </c>
      <c r="C226" s="7" t="s">
        <v>65</v>
      </c>
      <c r="D226" s="7" t="s">
        <v>108</v>
      </c>
      <c r="E226" s="7" t="s">
        <v>37</v>
      </c>
      <c r="F226" s="7" t="s">
        <v>1175</v>
      </c>
      <c r="G226" s="7">
        <v>1996</v>
      </c>
      <c r="H226" s="7"/>
      <c r="I226" s="14" t="str">
        <f>HYPERLINK("mailto:UKHO-Secretariat@UKHO.gov.uk","UKHO-Secretariat@UKHO.gov.uk")</f>
        <v>UKHO-Secretariat@UKHO.gov.uk</v>
      </c>
      <c r="J226" s="14" t="str">
        <f>HYPERLINK("https://www.gov.uk/government/organisations/uk-hydrographic-office","www.admiralty.co.uk
www.gov.uk/government/organisations/uk-hydrographic-office")</f>
        <v>www.admiralty.co.uk
www.gov.uk/government/organisations/uk-hydrographic-office</v>
      </c>
      <c r="K226" s="7" t="s">
        <v>377</v>
      </c>
      <c r="L226" s="7" t="s">
        <v>1176</v>
      </c>
      <c r="M226" s="7" t="s">
        <v>42</v>
      </c>
      <c r="N226" s="15" t="s">
        <v>43</v>
      </c>
      <c r="O226" s="16">
        <v>28000</v>
      </c>
      <c r="P226" s="15" t="s">
        <v>52</v>
      </c>
      <c r="Q226" s="17" t="s">
        <v>174</v>
      </c>
      <c r="R226" s="7" t="s">
        <v>37</v>
      </c>
      <c r="S226" s="7" t="s">
        <v>37</v>
      </c>
      <c r="T226" s="7" t="s">
        <v>43</v>
      </c>
      <c r="U226" s="7" t="s">
        <v>54</v>
      </c>
      <c r="V226" s="7">
        <v>2019</v>
      </c>
      <c r="W226" s="7">
        <v>825</v>
      </c>
      <c r="X226" s="18">
        <v>0</v>
      </c>
      <c r="Y226" s="18">
        <v>157657</v>
      </c>
      <c r="Z226" s="18">
        <f>IF(SUM(Y226)&lt;&gt;0,SUM(Y226),"")</f>
        <v>157657</v>
      </c>
      <c r="AA226" s="18">
        <v>102577</v>
      </c>
      <c r="AB226" s="18">
        <v>19027</v>
      </c>
      <c r="AC226" s="18">
        <v>580</v>
      </c>
      <c r="AD226" s="7"/>
      <c r="AE226" s="7"/>
      <c r="AF226" s="7"/>
      <c r="AG226" s="7"/>
      <c r="AH226" s="7"/>
      <c r="AI226" s="7"/>
      <c r="AJ226" s="7"/>
      <c r="AK226" s="7"/>
      <c r="AL226" s="7"/>
      <c r="AM226" s="7"/>
      <c r="AN226" s="7"/>
      <c r="AO226" s="7"/>
      <c r="AP226" s="7"/>
      <c r="AQ226" s="7"/>
      <c r="AR226" s="7"/>
      <c r="AS226" s="7"/>
      <c r="AT226" s="7"/>
      <c r="AU226" s="7"/>
      <c r="AV226" s="7"/>
      <c r="AW226" s="7"/>
      <c r="AX226" s="7"/>
      <c r="AY226" s="7"/>
      <c r="AZ226" s="7"/>
    </row>
    <row r="227" spans="1:52" ht="63" customHeight="1">
      <c r="A227" s="20" t="s">
        <v>1177</v>
      </c>
      <c r="B227" s="7">
        <v>1</v>
      </c>
      <c r="C227" s="7" t="s">
        <v>94</v>
      </c>
      <c r="D227" s="7" t="s">
        <v>95</v>
      </c>
      <c r="E227" s="7" t="s">
        <v>63</v>
      </c>
      <c r="F227" s="7" t="s">
        <v>1178</v>
      </c>
      <c r="G227" s="7">
        <v>2018</v>
      </c>
      <c r="H227" s="7"/>
      <c r="I227" s="14" t="str">
        <f>HYPERLINK("mailto:communications@ukri.org","communications@ukri.org")</f>
        <v>communications@ukri.org</v>
      </c>
      <c r="J227" s="14" t="str">
        <f>HYPERLINK("https://www.ukri.org/","https://www.ukri.org/")</f>
        <v>https://www.ukri.org/</v>
      </c>
      <c r="K227" s="7" t="s">
        <v>347</v>
      </c>
      <c r="L227" s="7" t="s">
        <v>1179</v>
      </c>
      <c r="M227" s="13" t="s">
        <v>42</v>
      </c>
      <c r="N227" s="15" t="s">
        <v>56</v>
      </c>
      <c r="O227" s="16">
        <v>28000</v>
      </c>
      <c r="P227" s="15" t="s">
        <v>52</v>
      </c>
      <c r="Q227" s="17" t="s">
        <v>1180</v>
      </c>
      <c r="R227" s="7" t="s">
        <v>63</v>
      </c>
      <c r="S227" s="7" t="s">
        <v>56</v>
      </c>
      <c r="T227" s="7" t="s">
        <v>56</v>
      </c>
      <c r="U227" s="7" t="s">
        <v>54</v>
      </c>
      <c r="V227" s="7"/>
      <c r="W227" s="26">
        <v>7503</v>
      </c>
      <c r="X227" s="18">
        <v>7424805</v>
      </c>
      <c r="Y227" s="18">
        <v>331112</v>
      </c>
      <c r="Z227" s="18">
        <f t="shared" ref="Z227:Z228" si="9">(X227+Y227)</f>
        <v>7755917</v>
      </c>
      <c r="AA227" s="18">
        <v>233200</v>
      </c>
      <c r="AB227" s="18">
        <v>7460414</v>
      </c>
      <c r="AC227" s="18">
        <v>19565</v>
      </c>
      <c r="AD227" s="7"/>
      <c r="AE227" s="7" t="s">
        <v>56</v>
      </c>
      <c r="AF227" s="7"/>
      <c r="AG227" s="7"/>
      <c r="AH227" s="7"/>
      <c r="AI227" s="7"/>
      <c r="AJ227" s="7"/>
      <c r="AK227" s="7"/>
      <c r="AL227" s="7"/>
      <c r="AM227" s="7"/>
      <c r="AN227" s="7"/>
      <c r="AO227" s="7"/>
      <c r="AP227" s="7"/>
      <c r="AQ227" s="7"/>
      <c r="AR227" s="7"/>
      <c r="AS227" s="7"/>
      <c r="AT227" s="7"/>
      <c r="AU227" s="7"/>
      <c r="AV227" s="7"/>
      <c r="AW227" s="7"/>
      <c r="AX227" s="7"/>
      <c r="AY227" s="7"/>
      <c r="AZ227" s="7"/>
    </row>
    <row r="228" spans="1:52" ht="63" customHeight="1">
      <c r="A228" s="20" t="s">
        <v>1181</v>
      </c>
      <c r="B228" s="7">
        <v>1</v>
      </c>
      <c r="C228" s="7" t="s">
        <v>94</v>
      </c>
      <c r="D228" s="7" t="s">
        <v>108</v>
      </c>
      <c r="E228" s="7" t="s">
        <v>56</v>
      </c>
      <c r="F228" s="7" t="s">
        <v>1182</v>
      </c>
      <c r="G228" s="7">
        <v>2011</v>
      </c>
      <c r="H228" s="7"/>
      <c r="I228" s="14" t="str">
        <f>HYPERLINK("mailto:info@ukspaceagency.gov.uk","info@ukspaceagency.gov.uk")</f>
        <v>info@ukspaceagency.gov.uk</v>
      </c>
      <c r="J228" s="14" t="str">
        <f>HYPERLINK("https://www.gov.uk/government/organisations/uk-space-agency","https://www.gov.uk/government/organisations/uk-space-agency")</f>
        <v>https://www.gov.uk/government/organisations/uk-space-agency</v>
      </c>
      <c r="K228" s="7" t="s">
        <v>347</v>
      </c>
      <c r="L228" s="7" t="s">
        <v>1183</v>
      </c>
      <c r="M228" s="7" t="s">
        <v>42</v>
      </c>
      <c r="N228" s="15" t="s">
        <v>56</v>
      </c>
      <c r="O228" s="16">
        <v>10000</v>
      </c>
      <c r="P228" s="15" t="s">
        <v>52</v>
      </c>
      <c r="Q228" s="15" t="s">
        <v>1184</v>
      </c>
      <c r="R228" s="7" t="s">
        <v>63</v>
      </c>
      <c r="S228" s="7" t="s">
        <v>56</v>
      </c>
      <c r="T228" s="7" t="s">
        <v>56</v>
      </c>
      <c r="U228" s="7" t="s">
        <v>46</v>
      </c>
      <c r="V228" s="7"/>
      <c r="W228" s="7">
        <v>187</v>
      </c>
      <c r="X228" s="18">
        <v>416442</v>
      </c>
      <c r="Y228" s="18">
        <v>4517</v>
      </c>
      <c r="Z228" s="18">
        <f t="shared" si="9"/>
        <v>420959</v>
      </c>
      <c r="AA228" s="18">
        <v>0</v>
      </c>
      <c r="AB228" s="18">
        <v>402000</v>
      </c>
      <c r="AC228" s="18">
        <v>0</v>
      </c>
      <c r="AD228" s="7"/>
      <c r="AE228" s="7"/>
      <c r="AF228" s="7"/>
      <c r="AG228" s="7"/>
      <c r="AH228" s="7"/>
      <c r="AI228" s="7"/>
      <c r="AJ228" s="7"/>
      <c r="AK228" s="7"/>
      <c r="AL228" s="7"/>
      <c r="AM228" s="7"/>
      <c r="AN228" s="7"/>
      <c r="AO228" s="7"/>
      <c r="AP228" s="7"/>
      <c r="AQ228" s="7"/>
      <c r="AR228" s="7"/>
      <c r="AS228" s="7"/>
      <c r="AT228" s="7"/>
      <c r="AU228" s="7"/>
      <c r="AV228" s="7"/>
      <c r="AW228" s="7"/>
      <c r="AX228" s="7"/>
      <c r="AY228" s="7"/>
      <c r="AZ228" s="7"/>
    </row>
    <row r="229" spans="1:52" ht="63" customHeight="1">
      <c r="A229" s="20" t="s">
        <v>1185</v>
      </c>
      <c r="B229" s="7">
        <v>1</v>
      </c>
      <c r="C229" s="7" t="s">
        <v>122</v>
      </c>
      <c r="D229" s="7" t="s">
        <v>95</v>
      </c>
      <c r="E229" s="7" t="s">
        <v>37</v>
      </c>
      <c r="F229" s="7" t="s">
        <v>1186</v>
      </c>
      <c r="G229" s="7">
        <v>1996</v>
      </c>
      <c r="H229" s="7"/>
      <c r="I229" s="14" t="str">
        <f>HYPERLINK("mailto:info@uksport.gov.uk","info@uksport.gov.uk")</f>
        <v>info@uksport.gov.uk</v>
      </c>
      <c r="J229" s="14" t="s">
        <v>1187</v>
      </c>
      <c r="K229" s="7" t="s">
        <v>1188</v>
      </c>
      <c r="L229" s="7" t="s">
        <v>1189</v>
      </c>
      <c r="M229" s="13" t="s">
        <v>42</v>
      </c>
      <c r="N229" s="15" t="s">
        <v>43</v>
      </c>
      <c r="O229" s="16">
        <v>60000</v>
      </c>
      <c r="P229" s="15" t="s">
        <v>52</v>
      </c>
      <c r="Q229" s="13" t="s">
        <v>344</v>
      </c>
      <c r="R229" s="7" t="s">
        <v>37</v>
      </c>
      <c r="S229" s="7" t="s">
        <v>43</v>
      </c>
      <c r="T229" s="7" t="s">
        <v>43</v>
      </c>
      <c r="U229" s="7" t="s">
        <v>54</v>
      </c>
      <c r="V229" s="7">
        <v>2015</v>
      </c>
      <c r="W229" s="7">
        <v>130.25</v>
      </c>
      <c r="X229" s="18">
        <v>70091</v>
      </c>
      <c r="Y229" s="18">
        <v>76422</v>
      </c>
      <c r="Z229" s="18">
        <v>146513</v>
      </c>
      <c r="AA229" s="18">
        <v>65612</v>
      </c>
      <c r="AB229" s="18">
        <v>5471</v>
      </c>
      <c r="AC229" s="18">
        <v>74771</v>
      </c>
      <c r="AD229" s="7"/>
      <c r="AE229" s="46"/>
      <c r="AF229" s="46"/>
      <c r="AG229" s="7"/>
      <c r="AH229" s="7"/>
      <c r="AI229" s="7"/>
      <c r="AJ229" s="7"/>
      <c r="AK229" s="7"/>
      <c r="AL229" s="7"/>
      <c r="AM229" s="7"/>
      <c r="AN229" s="7"/>
      <c r="AO229" s="7"/>
      <c r="AP229" s="7"/>
      <c r="AQ229" s="7"/>
      <c r="AR229" s="7"/>
      <c r="AS229" s="7"/>
      <c r="AT229" s="7"/>
      <c r="AU229" s="7"/>
      <c r="AV229" s="7"/>
      <c r="AW229" s="7"/>
      <c r="AX229" s="7"/>
      <c r="AY229" s="7"/>
      <c r="AZ229" s="7"/>
    </row>
    <row r="230" spans="1:52" ht="63" customHeight="1">
      <c r="A230" s="20" t="s">
        <v>1190</v>
      </c>
      <c r="B230" s="7">
        <v>1</v>
      </c>
      <c r="C230" s="7" t="s">
        <v>48</v>
      </c>
      <c r="D230" s="7" t="s">
        <v>233</v>
      </c>
      <c r="E230" s="7" t="s">
        <v>43</v>
      </c>
      <c r="F230" s="7" t="s">
        <v>1191</v>
      </c>
      <c r="G230" s="7">
        <v>2007</v>
      </c>
      <c r="H230" s="7" t="s">
        <v>1192</v>
      </c>
      <c r="I230" s="14" t="str">
        <f>HYPERLINK("mailto:national.statistician@statistics.gov.uk","national.statistician@statistics.gov.uk")</f>
        <v>national.statistician@statistics.gov.uk</v>
      </c>
      <c r="J230" s="14" t="str">
        <f>HYPERLINK("https://www.statisticsauthority.gov.uk/","https://www.statisticsauthority.gov.uk/")</f>
        <v>https://www.statisticsauthority.gov.uk/</v>
      </c>
      <c r="K230" s="7" t="s">
        <v>1193</v>
      </c>
      <c r="L230" s="7" t="s">
        <v>1194</v>
      </c>
      <c r="M230" s="7" t="s">
        <v>42</v>
      </c>
      <c r="N230" s="15" t="s">
        <v>43</v>
      </c>
      <c r="O230" s="16">
        <v>57000</v>
      </c>
      <c r="P230" s="15" t="s">
        <v>52</v>
      </c>
      <c r="Q230" s="17" t="s">
        <v>1195</v>
      </c>
      <c r="R230" s="7" t="s">
        <v>37</v>
      </c>
      <c r="S230" s="7" t="s">
        <v>56</v>
      </c>
      <c r="T230" s="7" t="s">
        <v>43</v>
      </c>
      <c r="U230" s="7" t="s">
        <v>54</v>
      </c>
      <c r="V230" s="7">
        <v>2018</v>
      </c>
      <c r="W230" s="39">
        <v>3953</v>
      </c>
      <c r="X230" s="18">
        <v>278750</v>
      </c>
      <c r="Y230" s="18">
        <v>24262</v>
      </c>
      <c r="Z230" s="18">
        <v>303012</v>
      </c>
      <c r="AA230" s="18">
        <v>258299</v>
      </c>
      <c r="AB230" s="18">
        <v>17556</v>
      </c>
      <c r="AC230" s="18">
        <v>-765</v>
      </c>
      <c r="AD230" s="7"/>
      <c r="AE230" s="46"/>
      <c r="AF230" s="46"/>
      <c r="AG230" s="7"/>
      <c r="AH230" s="7"/>
      <c r="AI230" s="7"/>
      <c r="AJ230" s="7"/>
      <c r="AK230" s="7"/>
      <c r="AL230" s="7"/>
      <c r="AM230" s="7"/>
      <c r="AN230" s="7"/>
      <c r="AO230" s="7"/>
      <c r="AP230" s="7"/>
      <c r="AQ230" s="7"/>
      <c r="AR230" s="7"/>
      <c r="AS230" s="7"/>
      <c r="AT230" s="7"/>
      <c r="AU230" s="7"/>
      <c r="AV230" s="7"/>
      <c r="AW230" s="7"/>
      <c r="AX230" s="7"/>
      <c r="AY230" s="7"/>
      <c r="AZ230" s="7"/>
    </row>
    <row r="231" spans="1:52" ht="63" customHeight="1">
      <c r="A231" s="20" t="s">
        <v>1196</v>
      </c>
      <c r="B231" s="7">
        <v>1</v>
      </c>
      <c r="C231" s="7" t="s">
        <v>89</v>
      </c>
      <c r="D231" s="7" t="s">
        <v>233</v>
      </c>
      <c r="E231" s="7" t="s">
        <v>37</v>
      </c>
      <c r="F231" s="7" t="s">
        <v>1197</v>
      </c>
      <c r="G231" s="7">
        <v>2009</v>
      </c>
      <c r="H231" s="7"/>
      <c r="I231" s="14" t="str">
        <f>HYPERLINK("enquiries@supremecourt.uk ","enquiries@supremecourt.uk ")</f>
        <v xml:space="preserve">enquiries@supremecourt.uk </v>
      </c>
      <c r="J231" s="14" t="str">
        <f>HYPERLINK("https://www.supremecourt.uk/","www.supremecourt.uk")</f>
        <v>www.supremecourt.uk</v>
      </c>
      <c r="K231" s="7" t="s">
        <v>1198</v>
      </c>
      <c r="L231" s="7" t="s">
        <v>1198</v>
      </c>
      <c r="M231" s="7" t="s">
        <v>71</v>
      </c>
      <c r="N231" s="15"/>
      <c r="O231" s="16"/>
      <c r="P231" s="15"/>
      <c r="Q231" s="15"/>
      <c r="R231" s="7" t="s">
        <v>43</v>
      </c>
      <c r="S231" s="7" t="s">
        <v>43</v>
      </c>
      <c r="T231" s="7" t="s">
        <v>43</v>
      </c>
      <c r="U231" s="7"/>
      <c r="V231" s="7"/>
      <c r="W231" s="7">
        <v>52</v>
      </c>
      <c r="X231" s="18">
        <v>6781</v>
      </c>
      <c r="Y231" s="18">
        <v>1221</v>
      </c>
      <c r="Z231" s="18">
        <v>8002</v>
      </c>
      <c r="AA231" s="18">
        <v>5135</v>
      </c>
      <c r="AB231" s="18">
        <v>472</v>
      </c>
      <c r="AC231" s="18">
        <v>0</v>
      </c>
      <c r="AD231" s="7"/>
      <c r="AE231" s="46"/>
      <c r="AF231" s="46"/>
      <c r="AG231" s="7"/>
      <c r="AH231" s="7"/>
      <c r="AI231" s="7"/>
      <c r="AJ231" s="7"/>
      <c r="AK231" s="7"/>
      <c r="AL231" s="7"/>
      <c r="AM231" s="7"/>
      <c r="AN231" s="7"/>
      <c r="AO231" s="7"/>
      <c r="AP231" s="7"/>
      <c r="AQ231" s="7"/>
      <c r="AR231" s="7"/>
      <c r="AS231" s="7"/>
      <c r="AT231" s="7"/>
      <c r="AU231" s="7"/>
      <c r="AV231" s="7"/>
      <c r="AW231" s="7"/>
      <c r="AX231" s="7"/>
      <c r="AY231" s="7"/>
      <c r="AZ231" s="7"/>
    </row>
    <row r="232" spans="1:52" ht="63" customHeight="1">
      <c r="A232" s="20" t="s">
        <v>1199</v>
      </c>
      <c r="B232" s="7">
        <v>1</v>
      </c>
      <c r="C232" s="7" t="s">
        <v>122</v>
      </c>
      <c r="D232" s="7" t="s">
        <v>95</v>
      </c>
      <c r="E232" s="7" t="s">
        <v>37</v>
      </c>
      <c r="F232" s="7" t="s">
        <v>1200</v>
      </c>
      <c r="G232" s="7">
        <v>1998</v>
      </c>
      <c r="H232" s="7"/>
      <c r="I232" s="14" t="str">
        <f>HYPERLINK("mailto:ukad@ukad.org.uk","ukad@ukad.org.uk")</f>
        <v>ukad@ukad.org.uk</v>
      </c>
      <c r="J232" s="14" t="s">
        <v>1201</v>
      </c>
      <c r="K232" s="7" t="s">
        <v>1188</v>
      </c>
      <c r="L232" s="7" t="s">
        <v>1202</v>
      </c>
      <c r="M232" s="13" t="s">
        <v>42</v>
      </c>
      <c r="N232" s="15" t="s">
        <v>43</v>
      </c>
      <c r="O232" s="16">
        <v>33000</v>
      </c>
      <c r="P232" s="15" t="s">
        <v>52</v>
      </c>
      <c r="Q232" s="13" t="s">
        <v>1203</v>
      </c>
      <c r="R232" s="7" t="s">
        <v>37</v>
      </c>
      <c r="S232" s="7" t="s">
        <v>43</v>
      </c>
      <c r="T232" s="7" t="s">
        <v>43</v>
      </c>
      <c r="U232" s="7" t="s">
        <v>54</v>
      </c>
      <c r="V232" s="7">
        <v>2018</v>
      </c>
      <c r="W232" s="7">
        <v>75.7</v>
      </c>
      <c r="X232" s="18">
        <v>7998</v>
      </c>
      <c r="Y232" s="18">
        <v>3634</v>
      </c>
      <c r="Z232" s="18">
        <v>11632</v>
      </c>
      <c r="AA232" s="18">
        <v>7884</v>
      </c>
      <c r="AB232" s="18">
        <v>114</v>
      </c>
      <c r="AC232" s="18">
        <v>0</v>
      </c>
      <c r="AD232" s="7"/>
      <c r="AE232" s="46"/>
      <c r="AF232" s="46"/>
      <c r="AG232" s="7"/>
      <c r="AH232" s="7"/>
      <c r="AI232" s="7"/>
      <c r="AJ232" s="7"/>
      <c r="AK232" s="7"/>
      <c r="AL232" s="7"/>
      <c r="AM232" s="7"/>
      <c r="AN232" s="7"/>
      <c r="AO232" s="7"/>
      <c r="AP232" s="7"/>
      <c r="AQ232" s="7"/>
      <c r="AR232" s="7"/>
      <c r="AS232" s="7"/>
      <c r="AT232" s="7"/>
      <c r="AU232" s="7"/>
      <c r="AV232" s="7"/>
      <c r="AW232" s="7"/>
      <c r="AX232" s="7"/>
      <c r="AY232" s="7"/>
      <c r="AZ232" s="7"/>
    </row>
    <row r="233" spans="1:52" ht="63" customHeight="1">
      <c r="A233" s="41" t="s">
        <v>1204</v>
      </c>
      <c r="B233" s="42">
        <v>1</v>
      </c>
      <c r="C233" s="20" t="s">
        <v>553</v>
      </c>
      <c r="D233" s="52" t="s">
        <v>108</v>
      </c>
      <c r="E233" s="53"/>
      <c r="F233" s="13"/>
      <c r="G233" s="7"/>
      <c r="H233" s="7"/>
      <c r="I233" s="7"/>
      <c r="J233" s="7"/>
      <c r="K233" s="7"/>
      <c r="L233" s="54"/>
      <c r="M233" s="7"/>
      <c r="N233" s="15"/>
      <c r="O233" s="16"/>
      <c r="P233" s="15"/>
      <c r="Q233" s="17"/>
      <c r="R233" s="54"/>
      <c r="S233" s="54"/>
      <c r="T233" s="54"/>
      <c r="U233" s="7"/>
      <c r="V233" s="7"/>
      <c r="W233" s="7"/>
      <c r="X233" s="18"/>
      <c r="Y233" s="18"/>
      <c r="Z233" s="18"/>
      <c r="AA233" s="18"/>
      <c r="AB233" s="18"/>
      <c r="AC233" s="18"/>
      <c r="AD233" s="7"/>
      <c r="AE233" s="7"/>
      <c r="AG233" s="7"/>
      <c r="AH233" s="7"/>
      <c r="AI233" s="7"/>
      <c r="AJ233" s="7"/>
      <c r="AK233" s="7"/>
      <c r="AL233" s="7"/>
      <c r="AM233" s="7"/>
      <c r="AN233" s="7"/>
      <c r="AO233" s="7"/>
      <c r="AP233" s="7"/>
      <c r="AQ233" s="7"/>
      <c r="AR233" s="7"/>
      <c r="AS233" s="7"/>
      <c r="AT233" s="7"/>
      <c r="AU233" s="7"/>
      <c r="AV233" s="7"/>
      <c r="AW233" s="7"/>
      <c r="AX233" s="7"/>
      <c r="AY233" s="7"/>
      <c r="AZ233" s="7"/>
    </row>
    <row r="234" spans="1:52" ht="63" customHeight="1">
      <c r="A234" s="20" t="s">
        <v>1205</v>
      </c>
      <c r="B234" s="7">
        <v>1</v>
      </c>
      <c r="C234" s="7" t="s">
        <v>212</v>
      </c>
      <c r="D234" s="6" t="s">
        <v>678</v>
      </c>
      <c r="E234" s="27" t="s">
        <v>63</v>
      </c>
      <c r="F234" s="13" t="s">
        <v>1206</v>
      </c>
      <c r="G234" s="7">
        <v>2009</v>
      </c>
      <c r="H234" s="7"/>
      <c r="I234" s="14" t="str">
        <f>HYPERLINK("mailto:ceo.office@valuationtribunal.gov.uk","ceo.office@valuationtribunal.gov.uk
")</f>
        <v xml:space="preserve">ceo.office@valuationtribunal.gov.uk
</v>
      </c>
      <c r="J234" s="14" t="str">
        <f>HYPERLINK("https://www.valuationtribunal.gov.uk","https://www.valuationtribunal.gov.uk/
")</f>
        <v xml:space="preserve">https://www.valuationtribunal.gov.uk/
</v>
      </c>
      <c r="K234" s="7" t="s">
        <v>1207</v>
      </c>
      <c r="L234" s="6" t="s">
        <v>1208</v>
      </c>
      <c r="M234" s="7" t="s">
        <v>42</v>
      </c>
      <c r="N234" s="15" t="s">
        <v>43</v>
      </c>
      <c r="O234" s="16" t="s">
        <v>1209</v>
      </c>
      <c r="P234" s="15" t="s">
        <v>52</v>
      </c>
      <c r="Q234" s="17" t="s">
        <v>100</v>
      </c>
      <c r="R234" s="6" t="s">
        <v>37</v>
      </c>
      <c r="S234" s="6" t="s">
        <v>37</v>
      </c>
      <c r="T234" s="6" t="s">
        <v>37</v>
      </c>
      <c r="U234" s="7" t="s">
        <v>46</v>
      </c>
      <c r="V234" s="7"/>
      <c r="W234" s="7"/>
      <c r="X234" s="18">
        <v>0</v>
      </c>
      <c r="Y234" s="18">
        <v>0</v>
      </c>
      <c r="Z234" s="18">
        <v>0</v>
      </c>
      <c r="AA234" s="18">
        <v>0</v>
      </c>
      <c r="AB234" s="18">
        <v>0</v>
      </c>
      <c r="AC234" s="18">
        <v>0</v>
      </c>
      <c r="AD234" s="7" t="s">
        <v>1210</v>
      </c>
      <c r="AE234" s="7"/>
      <c r="AG234" s="7"/>
      <c r="AH234" s="7"/>
      <c r="AI234" s="7"/>
      <c r="AJ234" s="7"/>
      <c r="AK234" s="7"/>
      <c r="AL234" s="7"/>
      <c r="AM234" s="7"/>
      <c r="AN234" s="7"/>
      <c r="AO234" s="7"/>
      <c r="AP234" s="7"/>
      <c r="AQ234" s="7"/>
      <c r="AR234" s="7"/>
      <c r="AS234" s="7"/>
      <c r="AT234" s="7"/>
      <c r="AU234" s="7"/>
      <c r="AV234" s="7"/>
      <c r="AW234" s="7"/>
      <c r="AX234" s="7"/>
      <c r="AY234" s="7"/>
      <c r="AZ234" s="7"/>
    </row>
    <row r="235" spans="1:52" ht="63" customHeight="1">
      <c r="A235" s="20" t="s">
        <v>1211</v>
      </c>
      <c r="B235" s="7">
        <v>1</v>
      </c>
      <c r="C235" s="7" t="s">
        <v>212</v>
      </c>
      <c r="D235" s="27" t="s">
        <v>95</v>
      </c>
      <c r="E235" s="27" t="s">
        <v>63</v>
      </c>
      <c r="F235" s="7" t="s">
        <v>1212</v>
      </c>
      <c r="G235" s="7">
        <v>2004</v>
      </c>
      <c r="H235" s="7"/>
      <c r="I235" s="14" t="str">
        <f>HYPERLINK("mailto:ceo.office@valuationtribunal.gov.uk","ceo.office@valuationtribunal.gov.uk")</f>
        <v>ceo.office@valuationtribunal.gov.uk</v>
      </c>
      <c r="J235" s="14" t="str">
        <f>HYPERLINK("https://www.valuationtribunal.gov.uk/","https://www.valuationtribunal.gov.uk/")</f>
        <v>https://www.valuationtribunal.gov.uk/</v>
      </c>
      <c r="K235" s="7" t="s">
        <v>1213</v>
      </c>
      <c r="L235" s="7" t="s">
        <v>1214</v>
      </c>
      <c r="M235" s="7" t="s">
        <v>71</v>
      </c>
      <c r="N235" s="15" t="s">
        <v>43</v>
      </c>
      <c r="O235" s="16">
        <v>8839</v>
      </c>
      <c r="P235" s="15" t="s">
        <v>52</v>
      </c>
      <c r="Q235" s="17" t="s">
        <v>1184</v>
      </c>
      <c r="R235" s="6" t="s">
        <v>37</v>
      </c>
      <c r="S235" s="27" t="s">
        <v>56</v>
      </c>
      <c r="T235" s="6" t="s">
        <v>43</v>
      </c>
      <c r="U235" s="7" t="s">
        <v>695</v>
      </c>
      <c r="V235" s="7"/>
      <c r="W235" s="7">
        <v>23</v>
      </c>
      <c r="X235" s="18">
        <v>7400</v>
      </c>
      <c r="Y235" s="18">
        <v>0</v>
      </c>
      <c r="Z235" s="18">
        <v>7400</v>
      </c>
      <c r="AA235" s="18">
        <v>6349</v>
      </c>
      <c r="AB235" s="18">
        <v>430</v>
      </c>
      <c r="AC235" s="18">
        <v>745</v>
      </c>
      <c r="AD235" s="7" t="s">
        <v>1215</v>
      </c>
      <c r="AE235" s="7" t="s">
        <v>56</v>
      </c>
      <c r="AG235" s="7"/>
      <c r="AH235" s="7"/>
      <c r="AI235" s="7"/>
      <c r="AJ235" s="7"/>
      <c r="AK235" s="7"/>
      <c r="AL235" s="7"/>
      <c r="AM235" s="7"/>
      <c r="AN235" s="7"/>
      <c r="AO235" s="7"/>
      <c r="AP235" s="7"/>
      <c r="AQ235" s="7"/>
      <c r="AR235" s="7"/>
      <c r="AS235" s="7"/>
      <c r="AT235" s="7"/>
      <c r="AU235" s="7"/>
      <c r="AV235" s="7"/>
      <c r="AW235" s="7"/>
      <c r="AX235" s="7"/>
      <c r="AY235" s="7"/>
      <c r="AZ235" s="7"/>
    </row>
    <row r="236" spans="1:52" ht="63" customHeight="1">
      <c r="A236" s="20" t="s">
        <v>1216</v>
      </c>
      <c r="B236" s="7">
        <v>1</v>
      </c>
      <c r="C236" s="7" t="s">
        <v>206</v>
      </c>
      <c r="D236" s="6" t="s">
        <v>108</v>
      </c>
      <c r="E236" s="27" t="s">
        <v>56</v>
      </c>
      <c r="F236" s="7" t="s">
        <v>1217</v>
      </c>
      <c r="G236" s="7">
        <v>1990</v>
      </c>
      <c r="H236" s="7"/>
      <c r="I236" s="14" t="str">
        <f>HYPERLINK("mailto:enquiries@vca.gov.uk","enquiries@vca.gov.uk")</f>
        <v>enquiries@vca.gov.uk</v>
      </c>
      <c r="J236" s="14" t="str">
        <f>HYPERLINK("https://www.vehicle-certification-agency.gov.uk/","www.dft.gov.uk/vca")</f>
        <v>www.dft.gov.uk/vca</v>
      </c>
      <c r="K236" s="7" t="s">
        <v>408</v>
      </c>
      <c r="L236" s="7" t="s">
        <v>1218</v>
      </c>
      <c r="M236" s="7" t="s">
        <v>42</v>
      </c>
      <c r="N236" s="15" t="s">
        <v>43</v>
      </c>
      <c r="O236" s="16">
        <v>12500</v>
      </c>
      <c r="P236" s="15" t="s">
        <v>52</v>
      </c>
      <c r="Q236" s="15" t="s">
        <v>560</v>
      </c>
      <c r="R236" s="7" t="s">
        <v>37</v>
      </c>
      <c r="S236" s="7" t="s">
        <v>37</v>
      </c>
      <c r="T236" s="7" t="s">
        <v>43</v>
      </c>
      <c r="U236" s="7" t="s">
        <v>54</v>
      </c>
      <c r="V236" s="7">
        <v>2014</v>
      </c>
      <c r="W236" s="7">
        <v>200</v>
      </c>
      <c r="X236" s="18">
        <v>0</v>
      </c>
      <c r="Y236" s="18">
        <v>21233</v>
      </c>
      <c r="Z236" s="18">
        <f>IF(SUM(Y236)&lt;&gt;0,SUM(Y236),"")</f>
        <v>21233</v>
      </c>
      <c r="AA236" s="18">
        <v>20781</v>
      </c>
      <c r="AB236" s="18">
        <v>838</v>
      </c>
      <c r="AC236" s="18">
        <v>0</v>
      </c>
      <c r="AD236" s="7"/>
      <c r="AE236" s="7"/>
      <c r="AF236" s="7"/>
      <c r="AG236" s="7"/>
      <c r="AH236" s="7"/>
      <c r="AI236" s="7"/>
      <c r="AJ236" s="7"/>
      <c r="AK236" s="7"/>
      <c r="AL236" s="7"/>
      <c r="AM236" s="7"/>
      <c r="AN236" s="7"/>
      <c r="AO236" s="7"/>
      <c r="AP236" s="7"/>
      <c r="AQ236" s="7"/>
      <c r="AR236" s="7"/>
      <c r="AS236" s="7"/>
      <c r="AT236" s="7"/>
      <c r="AU236" s="7"/>
      <c r="AV236" s="7"/>
      <c r="AW236" s="7"/>
      <c r="AX236" s="7"/>
      <c r="AY236" s="7"/>
      <c r="AZ236" s="7"/>
    </row>
    <row r="237" spans="1:52" ht="63" customHeight="1">
      <c r="A237" s="20" t="s">
        <v>1219</v>
      </c>
      <c r="B237" s="7">
        <v>1</v>
      </c>
      <c r="C237" s="7" t="s">
        <v>65</v>
      </c>
      <c r="D237" s="6" t="s">
        <v>36</v>
      </c>
      <c r="E237" s="6" t="s">
        <v>37</v>
      </c>
      <c r="F237" s="7" t="s">
        <v>1220</v>
      </c>
      <c r="G237" s="7">
        <v>1921</v>
      </c>
      <c r="H237" s="7"/>
      <c r="I237" s="14" t="str">
        <f>HYPERLINK("kerry.wright741@mod.gov.uk ","kerry.wright741@mod.gov.uk ")</f>
        <v xml:space="preserve">kerry.wright741@mod.gov.uk </v>
      </c>
      <c r="J237" s="14" t="str">
        <f>HYPERLINK("https://www.gov.uk/government/organisations/veterans-advisory-and-pensions-committees-x13","https://www.gov.uk/government/organisations/veterans-advisory-and-pensions-committees-x13")</f>
        <v>https://www.gov.uk/government/organisations/veterans-advisory-and-pensions-committees-x13</v>
      </c>
      <c r="K237" s="7" t="s">
        <v>1221</v>
      </c>
      <c r="L237" s="27" t="s">
        <v>92</v>
      </c>
      <c r="M237" s="13" t="s">
        <v>42</v>
      </c>
      <c r="N237" s="15" t="s">
        <v>37</v>
      </c>
      <c r="O237" s="16"/>
      <c r="P237" s="15"/>
      <c r="Q237" s="17" t="s">
        <v>1222</v>
      </c>
      <c r="R237" s="7" t="s">
        <v>37</v>
      </c>
      <c r="S237" s="7" t="s">
        <v>43</v>
      </c>
      <c r="T237" s="7" t="s">
        <v>37</v>
      </c>
      <c r="U237" s="7" t="s">
        <v>46</v>
      </c>
      <c r="V237" s="7">
        <v>2017</v>
      </c>
      <c r="W237" s="7"/>
      <c r="X237" s="18">
        <v>30</v>
      </c>
      <c r="Y237" s="18">
        <v>0</v>
      </c>
      <c r="Z237" s="18">
        <v>30</v>
      </c>
      <c r="AA237" s="18">
        <v>30</v>
      </c>
      <c r="AB237" s="18">
        <v>0</v>
      </c>
      <c r="AC237" s="18">
        <v>0</v>
      </c>
      <c r="AD237" s="7"/>
      <c r="AE237" s="7" t="s">
        <v>56</v>
      </c>
      <c r="AF237" s="7"/>
      <c r="AG237" s="7"/>
      <c r="AH237" s="7"/>
      <c r="AI237" s="7"/>
      <c r="AJ237" s="7"/>
      <c r="AK237" s="7"/>
      <c r="AL237" s="7"/>
      <c r="AM237" s="7"/>
      <c r="AN237" s="7"/>
      <c r="AO237" s="7"/>
      <c r="AP237" s="7"/>
      <c r="AQ237" s="7"/>
      <c r="AR237" s="7"/>
      <c r="AS237" s="7"/>
      <c r="AT237" s="7"/>
      <c r="AU237" s="7"/>
      <c r="AV237" s="7"/>
      <c r="AW237" s="7"/>
      <c r="AX237" s="7"/>
      <c r="AY237" s="7"/>
      <c r="AZ237" s="7"/>
    </row>
    <row r="238" spans="1:52" ht="63" customHeight="1">
      <c r="A238" s="20" t="s">
        <v>1223</v>
      </c>
      <c r="B238" s="7">
        <v>1</v>
      </c>
      <c r="C238" s="7" t="s">
        <v>79</v>
      </c>
      <c r="D238" s="6" t="s">
        <v>108</v>
      </c>
      <c r="E238" s="6" t="s">
        <v>43</v>
      </c>
      <c r="F238" s="7" t="s">
        <v>1224</v>
      </c>
      <c r="G238" s="7">
        <v>1990</v>
      </c>
      <c r="H238" s="7"/>
      <c r="I238" s="14" t="str">
        <f>HYPERLINK("postmaster@vmd.gov.uk ","postmaster@vmd.gov.uk ")</f>
        <v xml:space="preserve">postmaster@vmd.gov.uk </v>
      </c>
      <c r="J238" s="14" t="str">
        <f>HYPERLINK("https://www.gov.uk/government/organisations/veterinary-medicines-directorate","=HYPERLINK(""https://www.gov.uk/government/organisations/veterinary-products-committee"",""https://www.gov.uk/government/
organisations/veterinary-medicines-directorate"")")</f>
        <v>=HYPERLINK("https://www.gov.uk/government/organisations/veterinary-products-committee","https://www.gov.uk/government/
organisations/veterinary-medicines-directorate")</v>
      </c>
      <c r="K238" s="7" t="s">
        <v>1008</v>
      </c>
      <c r="L238" s="7" t="s">
        <v>1225</v>
      </c>
      <c r="M238" s="7" t="s">
        <v>42</v>
      </c>
      <c r="N238" s="15" t="s">
        <v>43</v>
      </c>
      <c r="O238" s="16">
        <v>520</v>
      </c>
      <c r="P238" s="15" t="s">
        <v>44</v>
      </c>
      <c r="Q238" s="17" t="s">
        <v>1226</v>
      </c>
      <c r="R238" s="7" t="s">
        <v>37</v>
      </c>
      <c r="S238" s="7" t="s">
        <v>43</v>
      </c>
      <c r="T238" s="7" t="s">
        <v>43</v>
      </c>
      <c r="U238" s="7" t="s">
        <v>54</v>
      </c>
      <c r="V238" s="25"/>
      <c r="W238" s="39">
        <v>160</v>
      </c>
      <c r="X238" s="18">
        <v>3000</v>
      </c>
      <c r="Y238" s="18">
        <v>11935</v>
      </c>
      <c r="Z238" s="18">
        <v>14935</v>
      </c>
      <c r="AA238" s="18">
        <v>14267</v>
      </c>
      <c r="AB238" s="18">
        <v>1037</v>
      </c>
      <c r="AC238" s="18">
        <v>0</v>
      </c>
      <c r="AD238" s="7"/>
      <c r="AE238" s="7"/>
      <c r="AF238" s="7"/>
      <c r="AG238" s="7"/>
      <c r="AH238" s="7"/>
      <c r="AI238" s="7"/>
      <c r="AJ238" s="7"/>
      <c r="AK238" s="7"/>
      <c r="AL238" s="7"/>
      <c r="AM238" s="7"/>
      <c r="AN238" s="7"/>
      <c r="AO238" s="7"/>
      <c r="AP238" s="7"/>
      <c r="AQ238" s="7"/>
      <c r="AR238" s="7"/>
      <c r="AS238" s="7"/>
      <c r="AT238" s="7"/>
      <c r="AU238" s="7"/>
      <c r="AV238" s="7"/>
      <c r="AW238" s="7"/>
      <c r="AX238" s="7"/>
      <c r="AY238" s="7"/>
      <c r="AZ238" s="7"/>
    </row>
    <row r="239" spans="1:52" ht="63" customHeight="1">
      <c r="A239" s="20" t="s">
        <v>1227</v>
      </c>
      <c r="B239" s="7">
        <v>1</v>
      </c>
      <c r="C239" s="7" t="s">
        <v>79</v>
      </c>
      <c r="D239" s="6" t="s">
        <v>36</v>
      </c>
      <c r="E239" s="6" t="s">
        <v>37</v>
      </c>
      <c r="F239" s="7" t="s">
        <v>1228</v>
      </c>
      <c r="G239" s="7">
        <v>1970</v>
      </c>
      <c r="H239" s="7"/>
      <c r="I239" s="14" t="str">
        <f>HYPERLINK("mailto:vpc@vmd.gov.uk","vpc@vmd.gov.uk")</f>
        <v>vpc@vmd.gov.uk</v>
      </c>
      <c r="J239" s="14" t="str">
        <f>HYPERLINK("https://www.gov.uk/government/organisations/veterinary-products-committee","https://www.gov.uk/government/
organisations/veterinary-products-committee")</f>
        <v>https://www.gov.uk/government/
organisations/veterinary-products-committee</v>
      </c>
      <c r="K239" s="7" t="s">
        <v>1229</v>
      </c>
      <c r="L239" s="7" t="s">
        <v>1230</v>
      </c>
      <c r="M239" s="7" t="s">
        <v>42</v>
      </c>
      <c r="N239" s="15" t="s">
        <v>43</v>
      </c>
      <c r="O239" s="16">
        <v>279</v>
      </c>
      <c r="P239" s="15" t="s">
        <v>44</v>
      </c>
      <c r="Q239" s="17" t="s">
        <v>247</v>
      </c>
      <c r="R239" s="7" t="s">
        <v>37</v>
      </c>
      <c r="S239" s="7" t="s">
        <v>43</v>
      </c>
      <c r="T239" s="7" t="s">
        <v>43</v>
      </c>
      <c r="U239" s="7" t="s">
        <v>54</v>
      </c>
      <c r="V239" s="7">
        <v>2013</v>
      </c>
      <c r="W239" s="7"/>
      <c r="X239" s="18">
        <v>0</v>
      </c>
      <c r="Y239" s="18">
        <v>0</v>
      </c>
      <c r="Z239" s="18">
        <v>0</v>
      </c>
      <c r="AA239" s="18">
        <v>24</v>
      </c>
      <c r="AB239" s="18">
        <v>0</v>
      </c>
      <c r="AC239" s="18">
        <v>0</v>
      </c>
      <c r="AD239" s="7"/>
      <c r="AE239" s="7"/>
      <c r="AF239" s="7"/>
      <c r="AG239" s="7"/>
      <c r="AH239" s="7"/>
      <c r="AI239" s="7"/>
      <c r="AJ239" s="7"/>
      <c r="AK239" s="7"/>
      <c r="AL239" s="7"/>
      <c r="AM239" s="7"/>
      <c r="AN239" s="7"/>
      <c r="AO239" s="7"/>
      <c r="AP239" s="7"/>
      <c r="AQ239" s="7"/>
      <c r="AR239" s="7"/>
      <c r="AS239" s="7"/>
      <c r="AT239" s="7"/>
      <c r="AU239" s="7"/>
      <c r="AV239" s="7"/>
      <c r="AW239" s="7"/>
      <c r="AX239" s="7"/>
      <c r="AY239" s="7"/>
      <c r="AZ239" s="7"/>
    </row>
    <row r="240" spans="1:52" ht="63" customHeight="1">
      <c r="A240" s="20" t="s">
        <v>1231</v>
      </c>
      <c r="B240" s="7">
        <v>1</v>
      </c>
      <c r="C240" s="7" t="s">
        <v>122</v>
      </c>
      <c r="D240" s="7" t="s">
        <v>95</v>
      </c>
      <c r="E240" s="7" t="s">
        <v>37</v>
      </c>
      <c r="F240" s="7" t="s">
        <v>1232</v>
      </c>
      <c r="G240" s="7">
        <v>1857</v>
      </c>
      <c r="H240" s="7"/>
      <c r="I240" s="14" t="str">
        <f>HYPERLINK("mailto:hello@vam.ac.uk","hello@vam.ac.uk")</f>
        <v>hello@vam.ac.uk</v>
      </c>
      <c r="J240" s="14" t="s">
        <v>1233</v>
      </c>
      <c r="K240" s="7" t="s">
        <v>1234</v>
      </c>
      <c r="L240" s="7" t="s">
        <v>1235</v>
      </c>
      <c r="M240" s="7" t="s">
        <v>42</v>
      </c>
      <c r="N240" s="15" t="s">
        <v>37</v>
      </c>
      <c r="O240" s="16"/>
      <c r="P240" s="15"/>
      <c r="Q240" s="7" t="s">
        <v>1236</v>
      </c>
      <c r="R240" s="7" t="s">
        <v>63</v>
      </c>
      <c r="S240" s="13" t="s">
        <v>56</v>
      </c>
      <c r="T240" s="7" t="s">
        <v>56</v>
      </c>
      <c r="U240" s="7" t="s">
        <v>54</v>
      </c>
      <c r="V240" s="7">
        <v>2017</v>
      </c>
      <c r="W240" s="7">
        <v>920.5</v>
      </c>
      <c r="X240" s="18">
        <v>40676</v>
      </c>
      <c r="Y240" s="18">
        <v>63036</v>
      </c>
      <c r="Z240" s="18">
        <f t="shared" ref="Z240:Z245" si="10">(X240+Y240)</f>
        <v>103712</v>
      </c>
      <c r="AA240" s="18">
        <v>39488</v>
      </c>
      <c r="AB240" s="18">
        <v>1955</v>
      </c>
      <c r="AC240" s="18">
        <v>5431</v>
      </c>
      <c r="AD240" s="7"/>
      <c r="AE240" s="7"/>
      <c r="AF240" s="7"/>
      <c r="AG240" s="7"/>
      <c r="AH240" s="7"/>
      <c r="AI240" s="7"/>
      <c r="AJ240" s="7"/>
      <c r="AK240" s="7"/>
      <c r="AL240" s="7"/>
      <c r="AM240" s="7"/>
      <c r="AN240" s="7"/>
      <c r="AO240" s="7"/>
      <c r="AP240" s="7"/>
      <c r="AQ240" s="7"/>
      <c r="AR240" s="7"/>
      <c r="AS240" s="7"/>
      <c r="AT240" s="7"/>
      <c r="AU240" s="7"/>
      <c r="AV240" s="7"/>
      <c r="AW240" s="7"/>
      <c r="AX240" s="7"/>
      <c r="AY240" s="7"/>
      <c r="AZ240" s="7"/>
    </row>
    <row r="241" spans="1:52" ht="63" customHeight="1">
      <c r="A241" s="20" t="s">
        <v>1237</v>
      </c>
      <c r="B241" s="7">
        <v>1</v>
      </c>
      <c r="C241" s="7" t="s">
        <v>122</v>
      </c>
      <c r="D241" s="7" t="s">
        <v>95</v>
      </c>
      <c r="E241" s="7" t="s">
        <v>37</v>
      </c>
      <c r="F241" s="13" t="s">
        <v>1238</v>
      </c>
      <c r="G241" s="7">
        <v>1969</v>
      </c>
      <c r="H241" s="7"/>
      <c r="I241" s="14" t="s">
        <v>1239</v>
      </c>
      <c r="J241" s="14" t="str">
        <f>HYPERLINK("https://www.visitbritain.com/gb/en","https://www.visitbritain.com/gb/en")</f>
        <v>https://www.visitbritain.com/gb/en</v>
      </c>
      <c r="K241" s="13" t="s">
        <v>1240</v>
      </c>
      <c r="L241" s="7" t="s">
        <v>1241</v>
      </c>
      <c r="M241" s="13" t="s">
        <v>42</v>
      </c>
      <c r="N241" s="15" t="s">
        <v>43</v>
      </c>
      <c r="O241" s="16">
        <v>40000</v>
      </c>
      <c r="P241" s="15" t="s">
        <v>52</v>
      </c>
      <c r="Q241" s="13" t="s">
        <v>193</v>
      </c>
      <c r="R241" s="7" t="s">
        <v>63</v>
      </c>
      <c r="S241" s="7" t="s">
        <v>56</v>
      </c>
      <c r="T241" s="7" t="s">
        <v>56</v>
      </c>
      <c r="U241" s="7" t="s">
        <v>54</v>
      </c>
      <c r="V241" s="7">
        <v>2015</v>
      </c>
      <c r="W241" s="7">
        <v>257</v>
      </c>
      <c r="X241" s="18">
        <v>0</v>
      </c>
      <c r="Y241" s="18">
        <v>0</v>
      </c>
      <c r="Z241" s="18">
        <f t="shared" si="10"/>
        <v>0</v>
      </c>
      <c r="AA241" s="18">
        <v>90641</v>
      </c>
      <c r="AB241" s="18">
        <v>693</v>
      </c>
      <c r="AC241" s="18">
        <v>2761</v>
      </c>
      <c r="AD241" s="7"/>
      <c r="AE241" s="7"/>
      <c r="AF241" s="7"/>
      <c r="AG241" s="7"/>
      <c r="AH241" s="7"/>
      <c r="AI241" s="7"/>
      <c r="AJ241" s="7"/>
      <c r="AK241" s="7"/>
      <c r="AL241" s="7"/>
      <c r="AM241" s="7"/>
      <c r="AN241" s="7"/>
      <c r="AO241" s="7"/>
      <c r="AP241" s="7"/>
      <c r="AQ241" s="7"/>
      <c r="AR241" s="7"/>
      <c r="AS241" s="7"/>
      <c r="AT241" s="7"/>
      <c r="AU241" s="7"/>
      <c r="AV241" s="7"/>
      <c r="AW241" s="7"/>
      <c r="AX241" s="7"/>
      <c r="AY241" s="7"/>
      <c r="AZ241" s="7"/>
    </row>
    <row r="242" spans="1:52" ht="63" customHeight="1">
      <c r="A242" s="20" t="s">
        <v>1242</v>
      </c>
      <c r="B242" s="7">
        <v>1</v>
      </c>
      <c r="C242" s="7" t="s">
        <v>122</v>
      </c>
      <c r="D242" s="7" t="s">
        <v>36</v>
      </c>
      <c r="E242" s="7" t="s">
        <v>37</v>
      </c>
      <c r="F242" s="7" t="s">
        <v>1243</v>
      </c>
      <c r="G242" s="7">
        <v>1969</v>
      </c>
      <c r="H242" s="7"/>
      <c r="I242" s="14" t="str">
        <f>HYPERLINK("https://www.visitengland.com/contact-us","Please contact via website")</f>
        <v>Please contact via website</v>
      </c>
      <c r="J242" s="14" t="str">
        <f>HYPERLINK("https://www.visitengland.com/","https://www.visitengland.com/")</f>
        <v>https://www.visitengland.com/</v>
      </c>
      <c r="K242" s="13" t="s">
        <v>1240</v>
      </c>
      <c r="L242" s="7" t="s">
        <v>1244</v>
      </c>
      <c r="M242" s="13" t="s">
        <v>42</v>
      </c>
      <c r="N242" s="15" t="s">
        <v>43</v>
      </c>
      <c r="O242" s="16">
        <v>345</v>
      </c>
      <c r="P242" s="15" t="s">
        <v>44</v>
      </c>
      <c r="Q242" s="13" t="s">
        <v>1245</v>
      </c>
      <c r="R242" s="7" t="s">
        <v>63</v>
      </c>
      <c r="S242" s="7" t="s">
        <v>56</v>
      </c>
      <c r="T242" s="7" t="s">
        <v>56</v>
      </c>
      <c r="U242" s="7" t="s">
        <v>54</v>
      </c>
      <c r="V242" s="7">
        <v>2015</v>
      </c>
      <c r="W242" s="7">
        <v>271</v>
      </c>
      <c r="X242" s="18">
        <v>0</v>
      </c>
      <c r="Y242" s="18">
        <v>0</v>
      </c>
      <c r="Z242" s="18">
        <f t="shared" si="10"/>
        <v>0</v>
      </c>
      <c r="AA242" s="18">
        <v>0</v>
      </c>
      <c r="AB242" s="18">
        <v>0</v>
      </c>
      <c r="AC242" s="18">
        <v>0</v>
      </c>
      <c r="AD242" s="7"/>
      <c r="AE242" s="7"/>
      <c r="AF242" s="7"/>
      <c r="AG242" s="7"/>
      <c r="AH242" s="7"/>
      <c r="AI242" s="7"/>
      <c r="AJ242" s="7"/>
      <c r="AK242" s="7"/>
      <c r="AL242" s="7"/>
      <c r="AM242" s="7"/>
      <c r="AN242" s="7"/>
      <c r="AO242" s="7"/>
      <c r="AP242" s="7"/>
      <c r="AQ242" s="7"/>
      <c r="AR242" s="7"/>
      <c r="AS242" s="7"/>
      <c r="AT242" s="7"/>
      <c r="AU242" s="7"/>
      <c r="AV242" s="7"/>
      <c r="AW242" s="7"/>
      <c r="AX242" s="7"/>
      <c r="AY242" s="7"/>
      <c r="AZ242" s="7"/>
    </row>
    <row r="243" spans="1:52" ht="63" customHeight="1">
      <c r="A243" s="20" t="s">
        <v>1246</v>
      </c>
      <c r="B243" s="7">
        <v>1</v>
      </c>
      <c r="C243" s="7" t="s">
        <v>122</v>
      </c>
      <c r="D243" s="7" t="s">
        <v>95</v>
      </c>
      <c r="E243" s="7" t="s">
        <v>37</v>
      </c>
      <c r="F243" s="13" t="s">
        <v>1247</v>
      </c>
      <c r="G243" s="7">
        <v>1900</v>
      </c>
      <c r="H243" s="55" t="s">
        <v>780</v>
      </c>
      <c r="I243" s="14" t="str">
        <f>HYPERLINK("mailto:admin@wallacecollection.org","admin@wallacecollection.org")</f>
        <v>admin@wallacecollection.org</v>
      </c>
      <c r="J243" s="14" t="s">
        <v>1248</v>
      </c>
      <c r="K243" s="7" t="s">
        <v>1234</v>
      </c>
      <c r="L243" s="7" t="s">
        <v>1249</v>
      </c>
      <c r="M243" s="56" t="s">
        <v>71</v>
      </c>
      <c r="N243" s="15" t="s">
        <v>37</v>
      </c>
      <c r="O243" s="16"/>
      <c r="P243" s="15"/>
      <c r="Q243" s="13" t="s">
        <v>1250</v>
      </c>
      <c r="R243" s="7" t="s">
        <v>63</v>
      </c>
      <c r="S243" s="7" t="s">
        <v>56</v>
      </c>
      <c r="T243" s="7" t="s">
        <v>56</v>
      </c>
      <c r="U243" s="7" t="s">
        <v>54</v>
      </c>
      <c r="V243" s="7">
        <v>2017</v>
      </c>
      <c r="W243" s="7">
        <v>109</v>
      </c>
      <c r="X243" s="18">
        <v>2731</v>
      </c>
      <c r="Y243" s="18">
        <v>4320</v>
      </c>
      <c r="Z243" s="18">
        <f t="shared" si="10"/>
        <v>7051</v>
      </c>
      <c r="AA243" s="18">
        <v>3146</v>
      </c>
      <c r="AB243" s="18">
        <v>1072</v>
      </c>
      <c r="AC243" s="18">
        <v>790</v>
      </c>
      <c r="AD243" s="7"/>
      <c r="AE243" s="7"/>
      <c r="AF243" s="7"/>
      <c r="AG243" s="7"/>
      <c r="AH243" s="7"/>
      <c r="AI243" s="7"/>
      <c r="AJ243" s="7"/>
      <c r="AK243" s="7"/>
      <c r="AL243" s="7"/>
      <c r="AM243" s="7"/>
      <c r="AN243" s="7"/>
      <c r="AO243" s="7"/>
      <c r="AP243" s="7"/>
      <c r="AQ243" s="7"/>
      <c r="AR243" s="7"/>
      <c r="AS243" s="7"/>
      <c r="AT243" s="7"/>
      <c r="AU243" s="7"/>
      <c r="AV243" s="7"/>
      <c r="AW243" s="7"/>
      <c r="AX243" s="7"/>
      <c r="AY243" s="7"/>
      <c r="AZ243" s="7"/>
    </row>
    <row r="244" spans="1:52" ht="63" customHeight="1">
      <c r="A244" s="20" t="s">
        <v>1251</v>
      </c>
      <c r="B244" s="7">
        <v>1</v>
      </c>
      <c r="C244" s="7" t="s">
        <v>170</v>
      </c>
      <c r="D244" s="7" t="s">
        <v>95</v>
      </c>
      <c r="E244" s="7" t="s">
        <v>37</v>
      </c>
      <c r="F244" s="13" t="s">
        <v>1252</v>
      </c>
      <c r="G244" s="7">
        <v>1992</v>
      </c>
      <c r="H244" s="7"/>
      <c r="I244" s="14" t="str">
        <f>HYPERLINK("Anthony.smith@wfd.org ","Anthony.smith@wfd.org ")</f>
        <v xml:space="preserve">Anthony.smith@wfd.org </v>
      </c>
      <c r="J244" s="14" t="str">
        <f>HYPERLINK("https://www.wfd.org/","www.wfd.org")</f>
        <v>www.wfd.org</v>
      </c>
      <c r="K244" s="7" t="s">
        <v>1253</v>
      </c>
      <c r="L244" s="27" t="s">
        <v>1254</v>
      </c>
      <c r="M244" s="56" t="s">
        <v>71</v>
      </c>
      <c r="N244" s="15" t="s">
        <v>37</v>
      </c>
      <c r="O244" s="16"/>
      <c r="P244" s="15"/>
      <c r="Q244" s="17" t="s">
        <v>1255</v>
      </c>
      <c r="R244" s="7" t="s">
        <v>37</v>
      </c>
      <c r="S244" s="7" t="s">
        <v>37</v>
      </c>
      <c r="T244" s="7" t="s">
        <v>43</v>
      </c>
      <c r="U244" s="7" t="s">
        <v>46</v>
      </c>
      <c r="V244" s="7">
        <v>2019</v>
      </c>
      <c r="W244" s="7">
        <v>48.5</v>
      </c>
      <c r="X244" s="18">
        <v>14000</v>
      </c>
      <c r="Y244" s="18">
        <v>17500</v>
      </c>
      <c r="Z244" s="18">
        <f t="shared" si="10"/>
        <v>31500</v>
      </c>
      <c r="AA244" s="18">
        <v>15000</v>
      </c>
      <c r="AB244" s="18">
        <v>0</v>
      </c>
      <c r="AC244" s="18">
        <v>0</v>
      </c>
      <c r="AD244" s="7"/>
      <c r="AE244" s="7"/>
      <c r="AF244" s="7"/>
      <c r="AG244" s="7"/>
      <c r="AH244" s="7"/>
      <c r="AI244" s="7"/>
      <c r="AJ244" s="7"/>
      <c r="AK244" s="7"/>
      <c r="AL244" s="7"/>
      <c r="AM244" s="7"/>
      <c r="AN244" s="7"/>
      <c r="AO244" s="7"/>
      <c r="AP244" s="7"/>
      <c r="AQ244" s="7"/>
      <c r="AR244" s="7"/>
      <c r="AS244" s="7"/>
      <c r="AT244" s="7"/>
      <c r="AU244" s="7"/>
      <c r="AV244" s="7"/>
      <c r="AW244" s="7"/>
      <c r="AX244" s="7"/>
      <c r="AY244" s="7"/>
      <c r="AZ244" s="7"/>
    </row>
    <row r="245" spans="1:52" ht="63" customHeight="1">
      <c r="A245" s="20" t="s">
        <v>1256</v>
      </c>
      <c r="B245" s="7">
        <v>1</v>
      </c>
      <c r="C245" s="7" t="s">
        <v>170</v>
      </c>
      <c r="D245" s="7" t="s">
        <v>108</v>
      </c>
      <c r="E245" s="7" t="s">
        <v>37</v>
      </c>
      <c r="F245" s="7" t="s">
        <v>1257</v>
      </c>
      <c r="G245" s="27">
        <v>1946</v>
      </c>
      <c r="H245" s="7"/>
      <c r="I245" s="14" t="str">
        <f>HYPERLINK("mailto:commsteam@wiltonpark.org.uk","commsteam@wiltonpark.org.uk")</f>
        <v>commsteam@wiltonpark.org.uk</v>
      </c>
      <c r="J245" s="14" t="str">
        <f>HYPERLINK("https://www.wiltonpark.org.uk/","www.wiltonpark.org.uk")</f>
        <v>www.wiltonpark.org.uk</v>
      </c>
      <c r="K245" s="7" t="s">
        <v>1258</v>
      </c>
      <c r="L245" s="7" t="s">
        <v>1259</v>
      </c>
      <c r="M245" s="7" t="s">
        <v>42</v>
      </c>
      <c r="N245" s="15" t="s">
        <v>43</v>
      </c>
      <c r="O245" s="16">
        <v>25000</v>
      </c>
      <c r="P245" s="15" t="s">
        <v>52</v>
      </c>
      <c r="Q245" s="17" t="s">
        <v>1260</v>
      </c>
      <c r="R245" s="7" t="s">
        <v>37</v>
      </c>
      <c r="S245" s="7" t="s">
        <v>37</v>
      </c>
      <c r="T245" s="7" t="s">
        <v>43</v>
      </c>
      <c r="U245" s="7" t="s">
        <v>46</v>
      </c>
      <c r="V245" s="7">
        <v>2018</v>
      </c>
      <c r="W245" s="7">
        <v>78.2</v>
      </c>
      <c r="X245" s="18">
        <v>2936</v>
      </c>
      <c r="Y245" s="18">
        <v>3678</v>
      </c>
      <c r="Z245" s="18">
        <f t="shared" si="10"/>
        <v>6614</v>
      </c>
      <c r="AA245" s="18">
        <v>6969</v>
      </c>
      <c r="AB245" s="18">
        <v>0</v>
      </c>
      <c r="AC245" s="18">
        <v>0</v>
      </c>
      <c r="AD245" s="7"/>
      <c r="AE245" s="7"/>
      <c r="AF245" s="7"/>
      <c r="AG245" s="7"/>
      <c r="AH245" s="7"/>
      <c r="AI245" s="7"/>
      <c r="AJ245" s="7"/>
      <c r="AK245" s="7"/>
      <c r="AL245" s="7"/>
      <c r="AM245" s="7"/>
      <c r="AN245" s="7"/>
      <c r="AO245" s="7"/>
      <c r="AP245" s="7"/>
      <c r="AQ245" s="7"/>
      <c r="AR245" s="7"/>
      <c r="AS245" s="7"/>
      <c r="AT245" s="7"/>
      <c r="AU245" s="7"/>
      <c r="AV245" s="7"/>
      <c r="AW245" s="7"/>
      <c r="AX245" s="7"/>
      <c r="AY245" s="7"/>
      <c r="AZ245" s="7"/>
    </row>
    <row r="246" spans="1:52" ht="63" customHeight="1">
      <c r="A246" s="20" t="s">
        <v>1261</v>
      </c>
      <c r="B246" s="7">
        <v>1</v>
      </c>
      <c r="C246" s="7" t="s">
        <v>89</v>
      </c>
      <c r="D246" s="7" t="s">
        <v>95</v>
      </c>
      <c r="E246" s="7" t="s">
        <v>37</v>
      </c>
      <c r="F246" s="7" t="s">
        <v>1262</v>
      </c>
      <c r="G246" s="7">
        <v>1998</v>
      </c>
      <c r="H246" s="7"/>
      <c r="I246" s="14" t="str">
        <f>HYPERLINK("mailto:enquiries@yjb.gov.uk","enquiries@yjb.gov.uk")</f>
        <v>enquiries@yjb.gov.uk</v>
      </c>
      <c r="J246" s="14" t="str">
        <f>HYPERLINK("https://www.gov.uk/government/organisations/youth-justice-board-for-england-and-wales","www.yjb.gov.uk")</f>
        <v>www.yjb.gov.uk</v>
      </c>
      <c r="K246" s="7" t="s">
        <v>359</v>
      </c>
      <c r="L246" s="13" t="s">
        <v>1263</v>
      </c>
      <c r="M246" s="13" t="s">
        <v>42</v>
      </c>
      <c r="N246" s="15" t="s">
        <v>43</v>
      </c>
      <c r="O246" s="16">
        <v>60000</v>
      </c>
      <c r="P246" s="15" t="s">
        <v>52</v>
      </c>
      <c r="Q246" s="17" t="s">
        <v>100</v>
      </c>
      <c r="R246" s="7" t="s">
        <v>37</v>
      </c>
      <c r="S246" s="7" t="s">
        <v>37</v>
      </c>
      <c r="T246" s="7" t="s">
        <v>43</v>
      </c>
      <c r="U246" s="7" t="s">
        <v>54</v>
      </c>
      <c r="V246" s="7"/>
      <c r="W246" s="7">
        <v>87.55</v>
      </c>
      <c r="X246" s="18">
        <v>82967</v>
      </c>
      <c r="Y246" s="18">
        <v>200</v>
      </c>
      <c r="Z246" s="18">
        <v>83167</v>
      </c>
      <c r="AA246" s="18">
        <v>86100</v>
      </c>
      <c r="AB246" s="18">
        <v>400</v>
      </c>
      <c r="AC246" s="18">
        <v>0</v>
      </c>
      <c r="AD246" s="7" t="s">
        <v>1264</v>
      </c>
      <c r="AE246" s="7"/>
      <c r="AF246" s="7"/>
      <c r="AG246" s="7"/>
      <c r="AH246" s="7"/>
      <c r="AI246" s="7"/>
      <c r="AJ246" s="7"/>
      <c r="AK246" s="7"/>
      <c r="AL246" s="7"/>
      <c r="AM246" s="7"/>
      <c r="AN246" s="7"/>
      <c r="AO246" s="7"/>
      <c r="AP246" s="7"/>
      <c r="AQ246" s="7"/>
      <c r="AR246" s="7"/>
      <c r="AS246" s="7"/>
      <c r="AT246" s="7"/>
      <c r="AU246" s="7"/>
      <c r="AV246" s="7"/>
      <c r="AW246" s="7"/>
      <c r="AX246" s="7"/>
      <c r="AY246" s="7"/>
      <c r="AZ246" s="7"/>
    </row>
    <row r="247" spans="1:52" ht="63" customHeight="1">
      <c r="A247" s="20"/>
      <c r="B247" s="7"/>
      <c r="C247" s="7"/>
      <c r="D247" s="7"/>
      <c r="E247" s="7"/>
      <c r="F247" s="7"/>
      <c r="G247" s="25"/>
      <c r="H247" s="7"/>
      <c r="I247" s="7"/>
      <c r="J247" s="7"/>
      <c r="K247" s="7"/>
      <c r="L247" s="7"/>
      <c r="M247" s="46"/>
      <c r="N247" s="7"/>
      <c r="O247" s="16"/>
      <c r="P247" s="7"/>
      <c r="Q247" s="7"/>
      <c r="R247" s="7"/>
      <c r="S247" s="7"/>
      <c r="T247" s="7"/>
      <c r="U247" s="7"/>
      <c r="V247" s="57"/>
      <c r="W247" s="58"/>
      <c r="X247" s="59"/>
      <c r="Y247" s="59"/>
      <c r="Z247" s="59"/>
      <c r="AA247" s="60"/>
      <c r="AB247" s="60"/>
      <c r="AC247" s="60"/>
      <c r="AD247" s="46"/>
      <c r="AE247" s="7"/>
      <c r="AF247" s="7"/>
      <c r="AG247" s="7"/>
      <c r="AH247" s="7"/>
      <c r="AI247" s="7"/>
      <c r="AJ247" s="7"/>
      <c r="AK247" s="7"/>
      <c r="AL247" s="7"/>
      <c r="AM247" s="7"/>
      <c r="AN247" s="7"/>
      <c r="AO247" s="7"/>
      <c r="AP247" s="7"/>
      <c r="AQ247" s="7"/>
      <c r="AR247" s="7"/>
      <c r="AS247" s="7"/>
      <c r="AT247" s="7"/>
      <c r="AU247" s="7"/>
      <c r="AV247" s="7"/>
      <c r="AW247" s="7"/>
      <c r="AX247" s="7"/>
      <c r="AY247" s="7"/>
      <c r="AZ247" s="7"/>
    </row>
    <row r="248" spans="1:52" ht="63" customHeight="1">
      <c r="A248" s="20"/>
      <c r="B248" s="13"/>
      <c r="C248" s="13"/>
      <c r="D248" s="13"/>
      <c r="E248" s="7"/>
      <c r="F248" s="7"/>
      <c r="G248" s="25"/>
      <c r="H248" s="7"/>
      <c r="I248" s="7"/>
      <c r="J248" s="7"/>
      <c r="K248" s="7"/>
      <c r="L248" s="7"/>
      <c r="M248" s="46"/>
      <c r="N248" s="7"/>
      <c r="O248" s="16"/>
      <c r="P248" s="7"/>
      <c r="Q248" s="7"/>
      <c r="R248" s="7"/>
      <c r="S248" s="7"/>
      <c r="T248" s="7"/>
      <c r="U248" s="7"/>
      <c r="V248" s="6"/>
      <c r="W248" s="6"/>
      <c r="X248" s="61"/>
      <c r="Y248" s="61"/>
      <c r="Z248" s="62"/>
      <c r="AA248" s="61"/>
      <c r="AB248" s="62"/>
      <c r="AC248" s="62"/>
      <c r="AD248" s="7"/>
      <c r="AE248" s="7"/>
      <c r="AF248" s="7"/>
      <c r="AG248" s="7"/>
      <c r="AH248" s="7"/>
      <c r="AI248" s="7"/>
      <c r="AJ248" s="7"/>
      <c r="AK248" s="7"/>
      <c r="AL248" s="7"/>
      <c r="AM248" s="7"/>
      <c r="AN248" s="7"/>
      <c r="AO248" s="7"/>
      <c r="AP248" s="7"/>
      <c r="AQ248" s="7"/>
      <c r="AR248" s="7"/>
      <c r="AS248" s="7"/>
      <c r="AT248" s="7"/>
      <c r="AU248" s="7"/>
      <c r="AV248" s="7"/>
      <c r="AW248" s="7"/>
      <c r="AX248" s="7"/>
      <c r="AY248" s="7"/>
      <c r="AZ248" s="7"/>
    </row>
    <row r="249" spans="1:52" ht="63" customHeight="1">
      <c r="A249" s="20"/>
      <c r="B249" s="7"/>
      <c r="C249" s="13"/>
      <c r="D249" s="13"/>
      <c r="E249" s="7"/>
      <c r="F249" s="7"/>
      <c r="G249" s="25"/>
      <c r="H249" s="7"/>
      <c r="I249" s="7"/>
      <c r="J249" s="7"/>
      <c r="K249" s="7"/>
      <c r="L249" s="7"/>
      <c r="M249" s="46"/>
      <c r="N249" s="7"/>
      <c r="O249" s="16"/>
      <c r="P249" s="7"/>
      <c r="Q249" s="7"/>
      <c r="R249" s="7"/>
      <c r="S249" s="7"/>
      <c r="T249" s="7"/>
      <c r="U249" s="7"/>
      <c r="V249" s="6"/>
      <c r="W249" s="6"/>
      <c r="X249" s="27"/>
      <c r="Y249" s="62"/>
      <c r="Z249" s="61"/>
      <c r="AA249" s="62"/>
      <c r="AB249" s="62"/>
      <c r="AC249" s="62"/>
      <c r="AD249" s="46"/>
      <c r="AE249" s="7"/>
      <c r="AF249" s="7"/>
      <c r="AG249" s="7"/>
      <c r="AH249" s="7"/>
      <c r="AI249" s="7"/>
      <c r="AJ249" s="7"/>
      <c r="AK249" s="7"/>
      <c r="AL249" s="7"/>
      <c r="AM249" s="7"/>
      <c r="AN249" s="7"/>
      <c r="AO249" s="7"/>
      <c r="AP249" s="7"/>
      <c r="AQ249" s="7"/>
      <c r="AR249" s="7"/>
      <c r="AS249" s="7"/>
      <c r="AT249" s="7"/>
      <c r="AU249" s="7"/>
      <c r="AV249" s="7"/>
      <c r="AW249" s="7"/>
      <c r="AX249" s="7"/>
      <c r="AY249" s="7"/>
      <c r="AZ249" s="7"/>
    </row>
    <row r="250" spans="1:52" ht="63" customHeight="1">
      <c r="A250" s="20"/>
      <c r="B250" s="7"/>
      <c r="C250" s="13"/>
      <c r="D250" s="13"/>
      <c r="E250" s="7"/>
      <c r="F250" s="7"/>
      <c r="G250" s="25"/>
      <c r="H250" s="7"/>
      <c r="I250" s="7"/>
      <c r="J250" s="7"/>
      <c r="K250" s="7"/>
      <c r="L250" s="7"/>
      <c r="M250" s="7"/>
      <c r="N250" s="7"/>
      <c r="O250" s="16"/>
      <c r="P250" s="7"/>
      <c r="Q250" s="7"/>
      <c r="R250" s="7"/>
      <c r="S250" s="7"/>
      <c r="T250" s="7"/>
      <c r="U250" s="7"/>
      <c r="V250" s="7"/>
      <c r="W250" s="7"/>
      <c r="X250" s="7"/>
      <c r="Y250" s="7"/>
      <c r="Z250" s="36" t="str">
        <f t="shared" ref="Z250:Z258" si="11">IF(SUM(Y250)&lt;&gt;0,SUM(Y250),"")</f>
        <v/>
      </c>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row>
    <row r="251" spans="1:52" ht="63" customHeight="1">
      <c r="A251" s="20"/>
      <c r="B251" s="7"/>
      <c r="C251" s="13"/>
      <c r="D251" s="13"/>
      <c r="E251" s="7"/>
      <c r="F251" s="7"/>
      <c r="G251" s="25"/>
      <c r="H251" s="7"/>
      <c r="I251" s="7"/>
      <c r="J251" s="7"/>
      <c r="K251" s="7"/>
      <c r="L251" s="7"/>
      <c r="M251" s="7"/>
      <c r="N251" s="7"/>
      <c r="O251" s="16"/>
      <c r="P251" s="7"/>
      <c r="Q251" s="7"/>
      <c r="R251" s="7"/>
      <c r="S251" s="7"/>
      <c r="T251" s="7"/>
      <c r="U251" s="7"/>
      <c r="V251" s="7"/>
      <c r="W251" s="7"/>
      <c r="X251" s="7"/>
      <c r="Y251" s="7"/>
      <c r="Z251" s="36" t="str">
        <f t="shared" si="11"/>
        <v/>
      </c>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row>
    <row r="252" spans="1:52" ht="63" customHeight="1">
      <c r="A252" s="20"/>
      <c r="B252" s="7"/>
      <c r="C252" s="7"/>
      <c r="D252" s="7"/>
      <c r="E252" s="7"/>
      <c r="F252" s="7"/>
      <c r="G252" s="25"/>
      <c r="H252" s="7"/>
      <c r="I252" s="7"/>
      <c r="J252" s="7"/>
      <c r="K252" s="7"/>
      <c r="L252" s="7"/>
      <c r="M252" s="7"/>
      <c r="N252" s="7"/>
      <c r="O252" s="16"/>
      <c r="P252" s="7"/>
      <c r="Q252" s="7"/>
      <c r="R252" s="7"/>
      <c r="S252" s="7"/>
      <c r="T252" s="7"/>
      <c r="U252" s="7"/>
      <c r="V252" s="7"/>
      <c r="W252" s="7"/>
      <c r="X252" s="7"/>
      <c r="Y252" s="7"/>
      <c r="Z252" s="36" t="str">
        <f t="shared" si="11"/>
        <v/>
      </c>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row>
    <row r="253" spans="1:52" ht="63" customHeight="1">
      <c r="A253" s="20"/>
      <c r="B253" s="7"/>
      <c r="C253" s="7"/>
      <c r="D253" s="7"/>
      <c r="E253" s="7"/>
      <c r="F253" s="7"/>
      <c r="G253" s="25"/>
      <c r="H253" s="7"/>
      <c r="I253" s="7"/>
      <c r="J253" s="7"/>
      <c r="K253" s="7"/>
      <c r="L253" s="7"/>
      <c r="M253" s="7"/>
      <c r="N253" s="7"/>
      <c r="O253" s="16"/>
      <c r="P253" s="7"/>
      <c r="Q253" s="7"/>
      <c r="R253" s="7"/>
      <c r="S253" s="7"/>
      <c r="T253" s="7"/>
      <c r="U253" s="7"/>
      <c r="V253" s="7"/>
      <c r="W253" s="7"/>
      <c r="X253" s="7"/>
      <c r="Y253" s="7"/>
      <c r="Z253" s="36" t="str">
        <f t="shared" si="11"/>
        <v/>
      </c>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row>
    <row r="254" spans="1:52" ht="63" customHeight="1">
      <c r="A254" s="20"/>
      <c r="B254" s="7"/>
      <c r="C254" s="7"/>
      <c r="D254" s="7"/>
      <c r="E254" s="7"/>
      <c r="F254" s="7"/>
      <c r="G254" s="25"/>
      <c r="H254" s="7"/>
      <c r="I254" s="7"/>
      <c r="J254" s="7"/>
      <c r="K254" s="7"/>
      <c r="L254" s="7"/>
      <c r="M254" s="7"/>
      <c r="N254" s="7"/>
      <c r="O254" s="16"/>
      <c r="P254" s="7"/>
      <c r="Q254" s="7"/>
      <c r="R254" s="7"/>
      <c r="S254" s="7"/>
      <c r="T254" s="7"/>
      <c r="U254" s="7"/>
      <c r="V254" s="7"/>
      <c r="W254" s="7"/>
      <c r="X254" s="7"/>
      <c r="Y254" s="7"/>
      <c r="Z254" s="36" t="str">
        <f t="shared" si="11"/>
        <v/>
      </c>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row>
    <row r="255" spans="1:52" ht="63" customHeight="1">
      <c r="A255" s="20"/>
      <c r="B255" s="7"/>
      <c r="C255" s="7"/>
      <c r="D255" s="7"/>
      <c r="E255" s="7"/>
      <c r="F255" s="7"/>
      <c r="G255" s="25"/>
      <c r="H255" s="7"/>
      <c r="I255" s="7"/>
      <c r="J255" s="7"/>
      <c r="K255" s="7"/>
      <c r="L255" s="7"/>
      <c r="M255" s="7"/>
      <c r="N255" s="7"/>
      <c r="O255" s="16"/>
      <c r="P255" s="7"/>
      <c r="Q255" s="7"/>
      <c r="R255" s="7"/>
      <c r="S255" s="7"/>
      <c r="T255" s="7"/>
      <c r="U255" s="7"/>
      <c r="V255" s="7"/>
      <c r="W255" s="7"/>
      <c r="X255" s="7"/>
      <c r="Y255" s="7"/>
      <c r="Z255" s="36" t="str">
        <f t="shared" si="11"/>
        <v/>
      </c>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row>
    <row r="256" spans="1:52" ht="63" customHeight="1">
      <c r="A256" s="20"/>
      <c r="B256" s="7"/>
      <c r="C256" s="7"/>
      <c r="D256" s="7"/>
      <c r="E256" s="7"/>
      <c r="F256" s="7"/>
      <c r="G256" s="25"/>
      <c r="H256" s="7"/>
      <c r="I256" s="7"/>
      <c r="J256" s="7"/>
      <c r="K256" s="7"/>
      <c r="L256" s="7"/>
      <c r="M256" s="7"/>
      <c r="N256" s="7"/>
      <c r="O256" s="16"/>
      <c r="P256" s="7"/>
      <c r="Q256" s="7"/>
      <c r="R256" s="7"/>
      <c r="S256" s="7"/>
      <c r="T256" s="7"/>
      <c r="U256" s="7"/>
      <c r="V256" s="7"/>
      <c r="W256" s="7"/>
      <c r="X256" s="7"/>
      <c r="Y256" s="7"/>
      <c r="Z256" s="36" t="str">
        <f t="shared" si="11"/>
        <v/>
      </c>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row>
    <row r="257" spans="1:52" ht="63" customHeight="1">
      <c r="A257" s="20"/>
      <c r="B257" s="7"/>
      <c r="C257" s="7"/>
      <c r="D257" s="7"/>
      <c r="E257" s="7"/>
      <c r="F257" s="7"/>
      <c r="G257" s="25"/>
      <c r="H257" s="7"/>
      <c r="I257" s="7"/>
      <c r="J257" s="7"/>
      <c r="K257" s="7"/>
      <c r="L257" s="7"/>
      <c r="M257" s="7"/>
      <c r="N257" s="7"/>
      <c r="O257" s="16"/>
      <c r="P257" s="7"/>
      <c r="Q257" s="7"/>
      <c r="R257" s="7"/>
      <c r="S257" s="7"/>
      <c r="T257" s="7"/>
      <c r="U257" s="7"/>
      <c r="V257" s="7"/>
      <c r="W257" s="7"/>
      <c r="X257" s="7"/>
      <c r="Y257" s="7"/>
      <c r="Z257" s="36" t="str">
        <f t="shared" si="11"/>
        <v/>
      </c>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row>
    <row r="258" spans="1:52" ht="63" customHeight="1">
      <c r="A258" s="20"/>
      <c r="B258" s="7"/>
      <c r="C258" s="7"/>
      <c r="D258" s="7"/>
      <c r="E258" s="7"/>
      <c r="F258" s="7"/>
      <c r="G258" s="25"/>
      <c r="H258" s="7"/>
      <c r="I258" s="7"/>
      <c r="J258" s="7"/>
      <c r="K258" s="7"/>
      <c r="L258" s="7"/>
      <c r="M258" s="7"/>
      <c r="N258" s="7"/>
      <c r="O258" s="16"/>
      <c r="P258" s="7"/>
      <c r="Q258" s="7"/>
      <c r="R258" s="7"/>
      <c r="S258" s="7"/>
      <c r="T258" s="7"/>
      <c r="U258" s="7"/>
      <c r="V258" s="7"/>
      <c r="W258" s="7"/>
      <c r="X258" s="7"/>
      <c r="Y258" s="7"/>
      <c r="Z258" s="36" t="str">
        <f t="shared" si="11"/>
        <v/>
      </c>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row>
    <row r="259" spans="1:52" ht="63" customHeight="1">
      <c r="A259" s="20"/>
      <c r="B259" s="7"/>
      <c r="C259" s="7"/>
      <c r="D259" s="7"/>
      <c r="E259" s="7"/>
      <c r="F259" s="7"/>
      <c r="G259" s="25"/>
      <c r="H259" s="7"/>
      <c r="I259" s="7"/>
      <c r="J259" s="7"/>
      <c r="K259" s="7"/>
      <c r="L259" s="7"/>
      <c r="M259" s="7"/>
      <c r="N259" s="7"/>
      <c r="O259" s="16"/>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row>
    <row r="260" spans="1:52" ht="63" customHeight="1">
      <c r="A260" s="20"/>
      <c r="B260" s="7"/>
      <c r="C260" s="7"/>
      <c r="D260" s="7"/>
      <c r="E260" s="7"/>
      <c r="F260" s="7"/>
      <c r="G260" s="25"/>
      <c r="H260" s="7"/>
      <c r="I260" s="7"/>
      <c r="J260" s="7"/>
      <c r="K260" s="7"/>
      <c r="L260" s="7"/>
      <c r="M260" s="7"/>
      <c r="N260" s="7"/>
      <c r="O260" s="16"/>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row>
    <row r="261" spans="1:52" ht="63" customHeight="1">
      <c r="A261" s="20"/>
      <c r="B261" s="7"/>
      <c r="C261" s="7"/>
      <c r="D261" s="7"/>
      <c r="E261" s="7"/>
      <c r="F261" s="7"/>
      <c r="G261" s="25"/>
      <c r="H261" s="7"/>
      <c r="I261" s="7"/>
      <c r="J261" s="7"/>
      <c r="K261" s="7"/>
      <c r="L261" s="7"/>
      <c r="M261" s="7"/>
      <c r="N261" s="7"/>
      <c r="O261" s="16"/>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row>
    <row r="262" spans="1:52" ht="63" customHeight="1">
      <c r="A262" s="20"/>
      <c r="B262" s="7"/>
      <c r="C262" s="7"/>
      <c r="D262" s="7"/>
      <c r="E262" s="7"/>
      <c r="F262" s="7"/>
      <c r="G262" s="25"/>
      <c r="H262" s="7"/>
      <c r="I262" s="7"/>
      <c r="J262" s="7"/>
      <c r="K262" s="7"/>
      <c r="L262" s="7"/>
      <c r="M262" s="7"/>
      <c r="N262" s="7"/>
      <c r="O262" s="16"/>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row>
    <row r="263" spans="1:52" ht="63" customHeight="1">
      <c r="A263" s="20"/>
      <c r="B263" s="7"/>
      <c r="C263" s="7"/>
      <c r="D263" s="7"/>
      <c r="E263" s="7"/>
      <c r="F263" s="7"/>
      <c r="G263" s="25"/>
      <c r="H263" s="7"/>
      <c r="I263" s="7"/>
      <c r="J263" s="7"/>
      <c r="K263" s="7"/>
      <c r="L263" s="7"/>
      <c r="M263" s="7"/>
      <c r="N263" s="7"/>
      <c r="O263" s="16"/>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row>
    <row r="264" spans="1:52" ht="63" customHeight="1">
      <c r="A264" s="20"/>
      <c r="B264" s="7"/>
      <c r="C264" s="7"/>
      <c r="D264" s="7"/>
      <c r="E264" s="7"/>
      <c r="F264" s="7"/>
      <c r="G264" s="25"/>
      <c r="H264" s="7"/>
      <c r="I264" s="7"/>
      <c r="J264" s="7"/>
      <c r="K264" s="7"/>
      <c r="L264" s="7"/>
      <c r="M264" s="7"/>
      <c r="N264" s="7"/>
      <c r="O264" s="16"/>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row>
    <row r="265" spans="1:52" ht="63" customHeight="1">
      <c r="A265" s="20"/>
      <c r="B265" s="7"/>
      <c r="C265" s="7"/>
      <c r="D265" s="7"/>
      <c r="E265" s="7"/>
      <c r="F265" s="7"/>
      <c r="G265" s="25"/>
      <c r="H265" s="7"/>
      <c r="I265" s="7"/>
      <c r="J265" s="7"/>
      <c r="K265" s="7"/>
      <c r="L265" s="7"/>
      <c r="M265" s="7"/>
      <c r="N265" s="7"/>
      <c r="O265" s="16"/>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row>
    <row r="266" spans="1:52" ht="63" customHeight="1">
      <c r="A266" s="20"/>
      <c r="B266" s="7"/>
      <c r="C266" s="7"/>
      <c r="D266" s="7"/>
      <c r="E266" s="7"/>
      <c r="F266" s="7"/>
      <c r="G266" s="25"/>
      <c r="H266" s="7"/>
      <c r="I266" s="7"/>
      <c r="J266" s="7"/>
      <c r="K266" s="7"/>
      <c r="L266" s="7"/>
      <c r="M266" s="7"/>
      <c r="N266" s="7"/>
      <c r="O266" s="16"/>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row>
    <row r="267" spans="1:52" ht="63" customHeight="1">
      <c r="A267" s="20"/>
      <c r="B267" s="7"/>
      <c r="C267" s="7"/>
      <c r="D267" s="7"/>
      <c r="E267" s="7"/>
      <c r="F267" s="7"/>
      <c r="G267" s="25"/>
      <c r="H267" s="7"/>
      <c r="I267" s="7"/>
      <c r="J267" s="7"/>
      <c r="K267" s="7"/>
      <c r="L267" s="7"/>
      <c r="M267" s="7"/>
      <c r="N267" s="7"/>
      <c r="O267" s="16"/>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row>
    <row r="268" spans="1:52" ht="63" customHeight="1">
      <c r="A268" s="20"/>
      <c r="B268" s="7"/>
      <c r="C268" s="7"/>
      <c r="D268" s="7"/>
      <c r="E268" s="7"/>
      <c r="F268" s="7"/>
      <c r="G268" s="25"/>
      <c r="H268" s="7"/>
      <c r="I268" s="7"/>
      <c r="J268" s="7"/>
      <c r="K268" s="7"/>
      <c r="L268" s="7"/>
      <c r="M268" s="7"/>
      <c r="N268" s="7"/>
      <c r="O268" s="16"/>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row>
    <row r="269" spans="1:52" ht="63" customHeight="1">
      <c r="A269" s="20"/>
      <c r="B269" s="7"/>
      <c r="C269" s="7"/>
      <c r="D269" s="7"/>
      <c r="E269" s="7"/>
      <c r="F269" s="7"/>
      <c r="G269" s="25"/>
      <c r="H269" s="7"/>
      <c r="I269" s="7"/>
      <c r="J269" s="7"/>
      <c r="K269" s="7"/>
      <c r="L269" s="7"/>
      <c r="M269" s="7"/>
      <c r="N269" s="7"/>
      <c r="O269" s="16"/>
      <c r="P269" s="7"/>
      <c r="Q269" s="7"/>
      <c r="R269" s="7"/>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c r="AS269" s="7"/>
      <c r="AT269" s="7"/>
      <c r="AU269" s="7"/>
      <c r="AV269" s="7"/>
      <c r="AW269" s="7"/>
      <c r="AX269" s="7"/>
      <c r="AY269" s="7"/>
      <c r="AZ269" s="7"/>
    </row>
    <row r="270" spans="1:52" ht="63" customHeight="1">
      <c r="A270" s="20"/>
      <c r="B270" s="7"/>
      <c r="C270" s="7"/>
      <c r="D270" s="7"/>
      <c r="E270" s="7"/>
      <c r="F270" s="7"/>
      <c r="G270" s="25"/>
      <c r="H270" s="7"/>
      <c r="I270" s="7"/>
      <c r="J270" s="7"/>
      <c r="K270" s="7"/>
      <c r="L270" s="7"/>
      <c r="M270" s="7"/>
      <c r="N270" s="7"/>
      <c r="O270" s="16"/>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row>
    <row r="271" spans="1:52" ht="63" customHeight="1">
      <c r="A271" s="20"/>
      <c r="B271" s="7"/>
      <c r="C271" s="7"/>
      <c r="D271" s="7"/>
      <c r="E271" s="7"/>
      <c r="F271" s="7"/>
      <c r="G271" s="25"/>
      <c r="H271" s="7"/>
      <c r="I271" s="7"/>
      <c r="J271" s="7"/>
      <c r="K271" s="7"/>
      <c r="L271" s="7"/>
      <c r="M271" s="7"/>
      <c r="N271" s="7"/>
      <c r="O271" s="16"/>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row>
    <row r="272" spans="1:52" ht="63" customHeight="1">
      <c r="A272" s="20"/>
      <c r="B272" s="7"/>
      <c r="C272" s="7"/>
      <c r="D272" s="7"/>
      <c r="E272" s="7"/>
      <c r="F272" s="7"/>
      <c r="G272" s="25"/>
      <c r="H272" s="7"/>
      <c r="I272" s="7"/>
      <c r="J272" s="7"/>
      <c r="K272" s="7"/>
      <c r="L272" s="7"/>
      <c r="M272" s="7"/>
      <c r="N272" s="7"/>
      <c r="O272" s="16"/>
      <c r="P272" s="7"/>
      <c r="Q272" s="7"/>
      <c r="R272" s="7"/>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c r="AS272" s="7"/>
      <c r="AT272" s="7"/>
      <c r="AU272" s="7"/>
      <c r="AV272" s="7"/>
      <c r="AW272" s="7"/>
      <c r="AX272" s="7"/>
      <c r="AY272" s="7"/>
      <c r="AZ272" s="7"/>
    </row>
    <row r="273" spans="1:52" ht="63" customHeight="1">
      <c r="A273" s="20"/>
      <c r="B273" s="7"/>
      <c r="C273" s="7"/>
      <c r="D273" s="7"/>
      <c r="E273" s="7"/>
      <c r="F273" s="7"/>
      <c r="G273" s="25"/>
      <c r="H273" s="7"/>
      <c r="I273" s="7"/>
      <c r="J273" s="7"/>
      <c r="K273" s="7"/>
      <c r="L273" s="7"/>
      <c r="M273" s="7"/>
      <c r="N273" s="7"/>
      <c r="O273" s="16"/>
      <c r="P273" s="7"/>
      <c r="Q273" s="7"/>
      <c r="R273" s="7"/>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c r="AS273" s="7"/>
      <c r="AT273" s="7"/>
      <c r="AU273" s="7"/>
      <c r="AV273" s="7"/>
      <c r="AW273" s="7"/>
      <c r="AX273" s="7"/>
      <c r="AY273" s="7"/>
      <c r="AZ273" s="7"/>
    </row>
    <row r="274" spans="1:52" ht="63" customHeight="1">
      <c r="A274" s="20"/>
      <c r="B274" s="7"/>
      <c r="C274" s="7"/>
      <c r="D274" s="7"/>
      <c r="E274" s="7"/>
      <c r="F274" s="7"/>
      <c r="G274" s="25"/>
      <c r="H274" s="7"/>
      <c r="I274" s="7"/>
      <c r="J274" s="7"/>
      <c r="K274" s="7"/>
      <c r="L274" s="7"/>
      <c r="M274" s="7"/>
      <c r="N274" s="7"/>
      <c r="O274" s="16"/>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7"/>
      <c r="AZ274" s="7"/>
    </row>
    <row r="275" spans="1:52" ht="63" customHeight="1">
      <c r="A275" s="20"/>
      <c r="B275" s="7"/>
      <c r="C275" s="7"/>
      <c r="D275" s="7"/>
      <c r="E275" s="7"/>
      <c r="F275" s="7"/>
      <c r="G275" s="25"/>
      <c r="H275" s="7"/>
      <c r="I275" s="7"/>
      <c r="J275" s="7"/>
      <c r="K275" s="7"/>
      <c r="L275" s="7"/>
      <c r="M275" s="7"/>
      <c r="N275" s="7"/>
      <c r="O275" s="16"/>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row>
    <row r="276" spans="1:52" ht="63" customHeight="1">
      <c r="A276" s="20"/>
      <c r="B276" s="7"/>
      <c r="C276" s="7"/>
      <c r="D276" s="7"/>
      <c r="E276" s="7"/>
      <c r="F276" s="7"/>
      <c r="G276" s="25"/>
      <c r="H276" s="7"/>
      <c r="I276" s="7"/>
      <c r="J276" s="7"/>
      <c r="K276" s="7"/>
      <c r="L276" s="7"/>
      <c r="M276" s="7"/>
      <c r="N276" s="7"/>
      <c r="O276" s="16"/>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row>
    <row r="277" spans="1:52" ht="63" customHeight="1">
      <c r="A277" s="20"/>
      <c r="B277" s="7"/>
      <c r="C277" s="7"/>
      <c r="D277" s="7"/>
      <c r="E277" s="7"/>
      <c r="F277" s="7"/>
      <c r="G277" s="25"/>
      <c r="H277" s="7"/>
      <c r="I277" s="7"/>
      <c r="J277" s="7"/>
      <c r="K277" s="7"/>
      <c r="L277" s="7"/>
      <c r="M277" s="7"/>
      <c r="N277" s="7"/>
      <c r="O277" s="16"/>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row>
    <row r="278" spans="1:52" ht="63" customHeight="1">
      <c r="A278" s="20"/>
      <c r="B278" s="7"/>
      <c r="C278" s="7"/>
      <c r="D278" s="7"/>
      <c r="E278" s="7"/>
      <c r="F278" s="7"/>
      <c r="G278" s="25"/>
      <c r="H278" s="7"/>
      <c r="I278" s="7"/>
      <c r="J278" s="7"/>
      <c r="K278" s="7"/>
      <c r="L278" s="7"/>
      <c r="M278" s="7"/>
      <c r="N278" s="7"/>
      <c r="O278" s="16"/>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row>
    <row r="279" spans="1:52" ht="63" customHeight="1">
      <c r="A279" s="20"/>
      <c r="B279" s="7"/>
      <c r="C279" s="7"/>
      <c r="D279" s="7"/>
      <c r="E279" s="7"/>
      <c r="F279" s="7"/>
      <c r="G279" s="25"/>
      <c r="H279" s="7"/>
      <c r="I279" s="7"/>
      <c r="J279" s="7"/>
      <c r="K279" s="7"/>
      <c r="L279" s="7"/>
      <c r="M279" s="7"/>
      <c r="N279" s="7"/>
      <c r="O279" s="16"/>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row>
    <row r="280" spans="1:52" ht="63" customHeight="1">
      <c r="A280" s="20"/>
      <c r="B280" s="7"/>
      <c r="C280" s="7"/>
      <c r="D280" s="7"/>
      <c r="E280" s="7"/>
      <c r="F280" s="7"/>
      <c r="G280" s="25"/>
      <c r="H280" s="7"/>
      <c r="I280" s="7"/>
      <c r="J280" s="7"/>
      <c r="K280" s="7"/>
      <c r="L280" s="7"/>
      <c r="M280" s="7"/>
      <c r="N280" s="7"/>
      <c r="O280" s="16"/>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7"/>
      <c r="AT280" s="7"/>
      <c r="AU280" s="7"/>
      <c r="AV280" s="7"/>
      <c r="AW280" s="7"/>
      <c r="AX280" s="7"/>
      <c r="AY280" s="7"/>
      <c r="AZ280" s="7"/>
    </row>
    <row r="281" spans="1:52" ht="63" customHeight="1">
      <c r="A281" s="20"/>
      <c r="B281" s="7"/>
      <c r="C281" s="7"/>
      <c r="D281" s="7"/>
      <c r="E281" s="7"/>
      <c r="F281" s="7"/>
      <c r="G281" s="25"/>
      <c r="H281" s="7"/>
      <c r="I281" s="7"/>
      <c r="J281" s="7"/>
      <c r="K281" s="7"/>
      <c r="L281" s="7"/>
      <c r="M281" s="7"/>
      <c r="N281" s="7"/>
      <c r="O281" s="16"/>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S281" s="7"/>
      <c r="AT281" s="7"/>
      <c r="AU281" s="7"/>
      <c r="AV281" s="7"/>
      <c r="AW281" s="7"/>
      <c r="AX281" s="7"/>
      <c r="AY281" s="7"/>
      <c r="AZ281" s="7"/>
    </row>
    <row r="282" spans="1:52" ht="63" customHeight="1">
      <c r="A282" s="20"/>
      <c r="B282" s="7"/>
      <c r="C282" s="7"/>
      <c r="D282" s="7"/>
      <c r="E282" s="7"/>
      <c r="F282" s="7"/>
      <c r="G282" s="25"/>
      <c r="H282" s="7"/>
      <c r="I282" s="7"/>
      <c r="J282" s="7"/>
      <c r="K282" s="7"/>
      <c r="L282" s="7"/>
      <c r="M282" s="7"/>
      <c r="N282" s="7"/>
      <c r="O282" s="16"/>
      <c r="P282" s="7"/>
      <c r="Q282" s="7"/>
      <c r="R282" s="7"/>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c r="AS282" s="7"/>
      <c r="AT282" s="7"/>
      <c r="AU282" s="7"/>
      <c r="AV282" s="7"/>
      <c r="AW282" s="7"/>
      <c r="AX282" s="7"/>
      <c r="AY282" s="7"/>
      <c r="AZ282" s="7"/>
    </row>
    <row r="283" spans="1:52" ht="63" customHeight="1">
      <c r="A283" s="20"/>
      <c r="B283" s="7"/>
      <c r="C283" s="7"/>
      <c r="D283" s="7"/>
      <c r="E283" s="7"/>
      <c r="F283" s="7"/>
      <c r="G283" s="25"/>
      <c r="H283" s="7"/>
      <c r="I283" s="7"/>
      <c r="J283" s="7"/>
      <c r="K283" s="7"/>
      <c r="L283" s="7"/>
      <c r="M283" s="7"/>
      <c r="N283" s="7"/>
      <c r="O283" s="16"/>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7"/>
      <c r="AZ283" s="7"/>
    </row>
    <row r="284" spans="1:52" ht="63" customHeight="1">
      <c r="A284" s="20"/>
      <c r="B284" s="7"/>
      <c r="C284" s="7"/>
      <c r="D284" s="7"/>
      <c r="E284" s="7"/>
      <c r="F284" s="7"/>
      <c r="G284" s="25"/>
      <c r="H284" s="7"/>
      <c r="I284" s="7"/>
      <c r="J284" s="7"/>
      <c r="K284" s="7"/>
      <c r="L284" s="7"/>
      <c r="M284" s="7"/>
      <c r="N284" s="7"/>
      <c r="O284" s="16"/>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7"/>
      <c r="AZ284" s="7"/>
    </row>
    <row r="285" spans="1:52" ht="63" customHeight="1">
      <c r="A285" s="20"/>
      <c r="B285" s="7"/>
      <c r="C285" s="7"/>
      <c r="D285" s="7"/>
      <c r="E285" s="7"/>
      <c r="F285" s="7"/>
      <c r="G285" s="25"/>
      <c r="H285" s="7"/>
      <c r="I285" s="7"/>
      <c r="J285" s="7"/>
      <c r="K285" s="7"/>
      <c r="L285" s="7"/>
      <c r="M285" s="7"/>
      <c r="N285" s="7"/>
      <c r="O285" s="16"/>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7"/>
      <c r="AZ285" s="7"/>
    </row>
    <row r="286" spans="1:52" ht="63" customHeight="1">
      <c r="A286" s="20"/>
      <c r="B286" s="7"/>
      <c r="C286" s="7"/>
      <c r="D286" s="7"/>
      <c r="E286" s="7"/>
      <c r="F286" s="7"/>
      <c r="G286" s="25"/>
      <c r="H286" s="7"/>
      <c r="I286" s="7"/>
      <c r="J286" s="7"/>
      <c r="K286" s="7"/>
      <c r="L286" s="7"/>
      <c r="M286" s="7"/>
      <c r="N286" s="7"/>
      <c r="O286" s="16"/>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row>
    <row r="287" spans="1:52" ht="63" customHeight="1">
      <c r="A287" s="20"/>
      <c r="B287" s="7"/>
      <c r="C287" s="7"/>
      <c r="D287" s="7"/>
      <c r="E287" s="7"/>
      <c r="F287" s="7"/>
      <c r="G287" s="25"/>
      <c r="H287" s="7"/>
      <c r="I287" s="7"/>
      <c r="J287" s="7"/>
      <c r="K287" s="7"/>
      <c r="L287" s="7"/>
      <c r="M287" s="7"/>
      <c r="N287" s="7"/>
      <c r="O287" s="16"/>
      <c r="P287" s="7"/>
      <c r="Q287" s="7"/>
      <c r="R287" s="7"/>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c r="AS287" s="7"/>
      <c r="AT287" s="7"/>
      <c r="AU287" s="7"/>
      <c r="AV287" s="7"/>
      <c r="AW287" s="7"/>
      <c r="AX287" s="7"/>
      <c r="AY287" s="7"/>
      <c r="AZ287" s="7"/>
    </row>
    <row r="288" spans="1:52" ht="63" customHeight="1">
      <c r="A288" s="20"/>
      <c r="B288" s="7"/>
      <c r="C288" s="7"/>
      <c r="D288" s="7"/>
      <c r="E288" s="7"/>
      <c r="F288" s="7"/>
      <c r="G288" s="25"/>
      <c r="H288" s="7"/>
      <c r="I288" s="7"/>
      <c r="J288" s="7"/>
      <c r="K288" s="7"/>
      <c r="L288" s="7"/>
      <c r="M288" s="7"/>
      <c r="N288" s="7"/>
      <c r="O288" s="16"/>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row>
    <row r="289" spans="1:52" ht="63" customHeight="1">
      <c r="A289" s="20"/>
      <c r="B289" s="7"/>
      <c r="C289" s="7"/>
      <c r="D289" s="7"/>
      <c r="E289" s="7"/>
      <c r="F289" s="7"/>
      <c r="G289" s="25"/>
      <c r="H289" s="7"/>
      <c r="I289" s="7"/>
      <c r="J289" s="7"/>
      <c r="K289" s="7"/>
      <c r="L289" s="7"/>
      <c r="M289" s="7"/>
      <c r="N289" s="7"/>
      <c r="O289" s="16"/>
      <c r="P289" s="7"/>
      <c r="Q289" s="7"/>
      <c r="R289" s="7"/>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c r="AS289" s="7"/>
      <c r="AT289" s="7"/>
      <c r="AU289" s="7"/>
      <c r="AV289" s="7"/>
      <c r="AW289" s="7"/>
      <c r="AX289" s="7"/>
      <c r="AY289" s="7"/>
      <c r="AZ289" s="7"/>
    </row>
    <row r="290" spans="1:52" ht="63" customHeight="1">
      <c r="A290" s="20"/>
      <c r="B290" s="7"/>
      <c r="C290" s="7"/>
      <c r="D290" s="7"/>
      <c r="E290" s="7"/>
      <c r="F290" s="7"/>
      <c r="G290" s="25"/>
      <c r="H290" s="7"/>
      <c r="I290" s="7"/>
      <c r="J290" s="7"/>
      <c r="K290" s="7"/>
      <c r="L290" s="7"/>
      <c r="M290" s="7"/>
      <c r="N290" s="7"/>
      <c r="O290" s="16"/>
      <c r="P290" s="7"/>
      <c r="Q290" s="7"/>
      <c r="R290" s="7"/>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c r="AS290" s="7"/>
      <c r="AT290" s="7"/>
      <c r="AU290" s="7"/>
      <c r="AV290" s="7"/>
      <c r="AW290" s="7"/>
      <c r="AX290" s="7"/>
      <c r="AY290" s="7"/>
      <c r="AZ290" s="7"/>
    </row>
    <row r="291" spans="1:52" ht="63" customHeight="1">
      <c r="A291" s="20"/>
      <c r="B291" s="7"/>
      <c r="C291" s="7"/>
      <c r="D291" s="7"/>
      <c r="E291" s="7"/>
      <c r="F291" s="7"/>
      <c r="G291" s="25"/>
      <c r="H291" s="7"/>
      <c r="I291" s="7"/>
      <c r="J291" s="7"/>
      <c r="K291" s="7"/>
      <c r="L291" s="7"/>
      <c r="M291" s="7"/>
      <c r="N291" s="7"/>
      <c r="O291" s="16"/>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7"/>
      <c r="AZ291" s="7"/>
    </row>
    <row r="292" spans="1:52" ht="63" customHeight="1">
      <c r="A292" s="20"/>
      <c r="B292" s="7"/>
      <c r="C292" s="7"/>
      <c r="D292" s="7"/>
      <c r="E292" s="7"/>
      <c r="F292" s="7"/>
      <c r="G292" s="25"/>
      <c r="H292" s="7"/>
      <c r="I292" s="7"/>
      <c r="J292" s="7"/>
      <c r="K292" s="7"/>
      <c r="L292" s="7"/>
      <c r="M292" s="7"/>
      <c r="N292" s="7"/>
      <c r="O292" s="16"/>
      <c r="P292" s="7"/>
      <c r="Q292" s="7"/>
      <c r="R292" s="7"/>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c r="AS292" s="7"/>
      <c r="AT292" s="7"/>
      <c r="AU292" s="7"/>
      <c r="AV292" s="7"/>
      <c r="AW292" s="7"/>
      <c r="AX292" s="7"/>
      <c r="AY292" s="7"/>
      <c r="AZ292" s="7"/>
    </row>
    <row r="293" spans="1:52" ht="63" customHeight="1">
      <c r="A293" s="20"/>
      <c r="B293" s="7"/>
      <c r="C293" s="7"/>
      <c r="D293" s="7"/>
      <c r="E293" s="7"/>
      <c r="F293" s="7"/>
      <c r="G293" s="25"/>
      <c r="H293" s="7"/>
      <c r="I293" s="7"/>
      <c r="J293" s="7"/>
      <c r="K293" s="7"/>
      <c r="L293" s="7"/>
      <c r="M293" s="7"/>
      <c r="N293" s="7"/>
      <c r="O293" s="16"/>
      <c r="P293" s="7"/>
      <c r="Q293" s="7"/>
      <c r="R293" s="7"/>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c r="AS293" s="7"/>
      <c r="AT293" s="7"/>
      <c r="AU293" s="7"/>
      <c r="AV293" s="7"/>
      <c r="AW293" s="7"/>
      <c r="AX293" s="7"/>
      <c r="AY293" s="7"/>
      <c r="AZ293" s="7"/>
    </row>
    <row r="294" spans="1:52" ht="63" customHeight="1">
      <c r="A294" s="20"/>
      <c r="B294" s="7"/>
      <c r="C294" s="7"/>
      <c r="D294" s="7"/>
      <c r="E294" s="7"/>
      <c r="F294" s="7"/>
      <c r="G294" s="25"/>
      <c r="H294" s="7"/>
      <c r="I294" s="7"/>
      <c r="J294" s="7"/>
      <c r="K294" s="7"/>
      <c r="L294" s="7"/>
      <c r="M294" s="7"/>
      <c r="N294" s="7"/>
      <c r="O294" s="16"/>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row>
    <row r="295" spans="1:52" ht="63" customHeight="1">
      <c r="A295" s="20"/>
      <c r="B295" s="7"/>
      <c r="C295" s="7"/>
      <c r="D295" s="7"/>
      <c r="E295" s="7"/>
      <c r="F295" s="7"/>
      <c r="G295" s="25"/>
      <c r="H295" s="7"/>
      <c r="I295" s="7"/>
      <c r="J295" s="7"/>
      <c r="K295" s="7"/>
      <c r="L295" s="7"/>
      <c r="M295" s="7"/>
      <c r="N295" s="7"/>
      <c r="O295" s="16"/>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7"/>
      <c r="AZ295" s="7"/>
    </row>
    <row r="296" spans="1:52" ht="63" customHeight="1">
      <c r="A296" s="20"/>
      <c r="B296" s="7"/>
      <c r="C296" s="7"/>
      <c r="D296" s="7"/>
      <c r="E296" s="7"/>
      <c r="F296" s="7"/>
      <c r="G296" s="25"/>
      <c r="H296" s="7"/>
      <c r="I296" s="7"/>
      <c r="J296" s="7"/>
      <c r="K296" s="7"/>
      <c r="L296" s="7"/>
      <c r="M296" s="7"/>
      <c r="N296" s="7"/>
      <c r="O296" s="16"/>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7"/>
      <c r="AZ296" s="7"/>
    </row>
    <row r="297" spans="1:52" ht="63" customHeight="1">
      <c r="A297" s="20"/>
      <c r="B297" s="7"/>
      <c r="C297" s="7"/>
      <c r="D297" s="7"/>
      <c r="E297" s="7"/>
      <c r="F297" s="7"/>
      <c r="G297" s="25"/>
      <c r="H297" s="7"/>
      <c r="I297" s="7"/>
      <c r="J297" s="7"/>
      <c r="K297" s="7"/>
      <c r="L297" s="7"/>
      <c r="M297" s="7"/>
      <c r="N297" s="7"/>
      <c r="O297" s="16"/>
      <c r="P297" s="7"/>
      <c r="Q297" s="7"/>
      <c r="R297" s="7"/>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c r="AS297" s="7"/>
      <c r="AT297" s="7"/>
      <c r="AU297" s="7"/>
      <c r="AV297" s="7"/>
      <c r="AW297" s="7"/>
      <c r="AX297" s="7"/>
      <c r="AY297" s="7"/>
      <c r="AZ297" s="7"/>
    </row>
    <row r="298" spans="1:52" ht="63" customHeight="1">
      <c r="A298" s="20"/>
      <c r="B298" s="7"/>
      <c r="C298" s="7"/>
      <c r="D298" s="7"/>
      <c r="E298" s="7"/>
      <c r="F298" s="7"/>
      <c r="G298" s="25"/>
      <c r="H298" s="7"/>
      <c r="I298" s="7"/>
      <c r="J298" s="7"/>
      <c r="K298" s="7"/>
      <c r="L298" s="7"/>
      <c r="M298" s="7"/>
      <c r="N298" s="7"/>
      <c r="O298" s="16"/>
      <c r="P298" s="7"/>
      <c r="Q298" s="7"/>
      <c r="R298" s="7"/>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c r="AS298" s="7"/>
      <c r="AT298" s="7"/>
      <c r="AU298" s="7"/>
      <c r="AV298" s="7"/>
      <c r="AW298" s="7"/>
      <c r="AX298" s="7"/>
      <c r="AY298" s="7"/>
      <c r="AZ298" s="7"/>
    </row>
    <row r="299" spans="1:52" ht="63" customHeight="1">
      <c r="A299" s="20"/>
      <c r="B299" s="7"/>
      <c r="C299" s="7"/>
      <c r="D299" s="7"/>
      <c r="E299" s="7"/>
      <c r="F299" s="7"/>
      <c r="G299" s="25"/>
      <c r="H299" s="7"/>
      <c r="I299" s="7"/>
      <c r="J299" s="7"/>
      <c r="K299" s="7"/>
      <c r="L299" s="7"/>
      <c r="M299" s="7"/>
      <c r="N299" s="7"/>
      <c r="O299" s="16"/>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7"/>
      <c r="AZ299" s="7"/>
    </row>
    <row r="300" spans="1:52" ht="63" customHeight="1">
      <c r="A300" s="20"/>
      <c r="B300" s="7"/>
      <c r="C300" s="7"/>
      <c r="D300" s="7"/>
      <c r="E300" s="7"/>
      <c r="F300" s="7"/>
      <c r="G300" s="25"/>
      <c r="H300" s="7"/>
      <c r="I300" s="7"/>
      <c r="J300" s="7"/>
      <c r="K300" s="7"/>
      <c r="L300" s="7"/>
      <c r="M300" s="7"/>
      <c r="N300" s="7"/>
      <c r="O300" s="16"/>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7"/>
      <c r="AZ300" s="7"/>
    </row>
    <row r="301" spans="1:52" ht="63" customHeight="1">
      <c r="A301" s="20"/>
      <c r="B301" s="7"/>
      <c r="C301" s="7"/>
      <c r="D301" s="7"/>
      <c r="E301" s="7"/>
      <c r="F301" s="7"/>
      <c r="G301" s="25"/>
      <c r="H301" s="7"/>
      <c r="I301" s="7"/>
      <c r="J301" s="7"/>
      <c r="K301" s="7"/>
      <c r="L301" s="7"/>
      <c r="M301" s="7"/>
      <c r="N301" s="7"/>
      <c r="O301" s="16"/>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row>
    <row r="302" spans="1:52" ht="63" customHeight="1">
      <c r="A302" s="20"/>
      <c r="B302" s="7"/>
      <c r="C302" s="7"/>
      <c r="D302" s="7"/>
      <c r="E302" s="7"/>
      <c r="F302" s="7"/>
      <c r="G302" s="25"/>
      <c r="H302" s="7"/>
      <c r="I302" s="7"/>
      <c r="J302" s="7"/>
      <c r="K302" s="7"/>
      <c r="L302" s="7"/>
      <c r="M302" s="7"/>
      <c r="N302" s="7"/>
      <c r="O302" s="16"/>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row>
    <row r="303" spans="1:52" ht="63" customHeight="1">
      <c r="A303" s="20"/>
      <c r="B303" s="7"/>
      <c r="C303" s="7"/>
      <c r="D303" s="7"/>
      <c r="E303" s="7"/>
      <c r="F303" s="7"/>
      <c r="G303" s="25"/>
      <c r="H303" s="7"/>
      <c r="I303" s="7"/>
      <c r="J303" s="7"/>
      <c r="K303" s="7"/>
      <c r="L303" s="7"/>
      <c r="M303" s="7"/>
      <c r="N303" s="7"/>
      <c r="O303" s="16"/>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7"/>
      <c r="AZ303" s="7"/>
    </row>
    <row r="304" spans="1:52" ht="63" customHeight="1">
      <c r="A304" s="20"/>
      <c r="B304" s="7"/>
      <c r="C304" s="7"/>
      <c r="D304" s="7"/>
      <c r="E304" s="7"/>
      <c r="F304" s="7"/>
      <c r="G304" s="25"/>
      <c r="H304" s="7"/>
      <c r="I304" s="7"/>
      <c r="J304" s="7"/>
      <c r="K304" s="7"/>
      <c r="L304" s="7"/>
      <c r="M304" s="7"/>
      <c r="N304" s="7"/>
      <c r="O304" s="16"/>
      <c r="P304" s="7"/>
      <c r="Q304" s="7"/>
      <c r="R304" s="7"/>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c r="AS304" s="7"/>
      <c r="AT304" s="7"/>
      <c r="AU304" s="7"/>
      <c r="AV304" s="7"/>
      <c r="AW304" s="7"/>
      <c r="AX304" s="7"/>
      <c r="AY304" s="7"/>
      <c r="AZ304" s="7"/>
    </row>
    <row r="305" spans="1:52" ht="63" customHeight="1">
      <c r="A305" s="20"/>
      <c r="B305" s="7"/>
      <c r="C305" s="7"/>
      <c r="D305" s="7"/>
      <c r="E305" s="7"/>
      <c r="F305" s="7"/>
      <c r="G305" s="25"/>
      <c r="H305" s="7"/>
      <c r="I305" s="7"/>
      <c r="J305" s="7"/>
      <c r="K305" s="7"/>
      <c r="L305" s="7"/>
      <c r="M305" s="7"/>
      <c r="N305" s="7"/>
      <c r="O305" s="16"/>
      <c r="P305" s="7"/>
      <c r="Q305" s="7"/>
      <c r="R305" s="7"/>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c r="AS305" s="7"/>
      <c r="AT305" s="7"/>
      <c r="AU305" s="7"/>
      <c r="AV305" s="7"/>
      <c r="AW305" s="7"/>
      <c r="AX305" s="7"/>
      <c r="AY305" s="7"/>
      <c r="AZ305" s="7"/>
    </row>
    <row r="306" spans="1:52" ht="63" customHeight="1">
      <c r="A306" s="20"/>
      <c r="B306" s="7"/>
      <c r="C306" s="7"/>
      <c r="D306" s="7"/>
      <c r="E306" s="7"/>
      <c r="F306" s="7"/>
      <c r="G306" s="25"/>
      <c r="H306" s="7"/>
      <c r="I306" s="7"/>
      <c r="J306" s="7"/>
      <c r="K306" s="7"/>
      <c r="L306" s="7"/>
      <c r="M306" s="7"/>
      <c r="N306" s="7"/>
      <c r="O306" s="16"/>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7"/>
      <c r="AZ306" s="7"/>
    </row>
    <row r="307" spans="1:52" ht="63" customHeight="1">
      <c r="A307" s="20"/>
      <c r="B307" s="7"/>
      <c r="C307" s="7"/>
      <c r="D307" s="7"/>
      <c r="E307" s="7"/>
      <c r="F307" s="7"/>
      <c r="G307" s="25"/>
      <c r="H307" s="7"/>
      <c r="I307" s="7"/>
      <c r="J307" s="7"/>
      <c r="K307" s="7"/>
      <c r="L307" s="7"/>
      <c r="M307" s="7"/>
      <c r="N307" s="7"/>
      <c r="O307" s="16"/>
      <c r="P307" s="7"/>
      <c r="Q307" s="7"/>
      <c r="R307" s="7"/>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c r="AS307" s="7"/>
      <c r="AT307" s="7"/>
      <c r="AU307" s="7"/>
      <c r="AV307" s="7"/>
      <c r="AW307" s="7"/>
      <c r="AX307" s="7"/>
      <c r="AY307" s="7"/>
      <c r="AZ307" s="7"/>
    </row>
    <row r="308" spans="1:52" ht="63" customHeight="1">
      <c r="A308" s="20"/>
      <c r="B308" s="7"/>
      <c r="C308" s="7"/>
      <c r="D308" s="7"/>
      <c r="E308" s="7"/>
      <c r="F308" s="7"/>
      <c r="G308" s="25"/>
      <c r="H308" s="7"/>
      <c r="I308" s="7"/>
      <c r="J308" s="7"/>
      <c r="K308" s="7"/>
      <c r="L308" s="7"/>
      <c r="M308" s="7"/>
      <c r="N308" s="7"/>
      <c r="O308" s="16"/>
      <c r="P308" s="7"/>
      <c r="Q308" s="7"/>
      <c r="R308" s="7"/>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c r="AS308" s="7"/>
      <c r="AT308" s="7"/>
      <c r="AU308" s="7"/>
      <c r="AV308" s="7"/>
      <c r="AW308" s="7"/>
      <c r="AX308" s="7"/>
      <c r="AY308" s="7"/>
      <c r="AZ308" s="7"/>
    </row>
    <row r="309" spans="1:52" ht="63" customHeight="1">
      <c r="A309" s="20"/>
      <c r="B309" s="7"/>
      <c r="C309" s="7"/>
      <c r="D309" s="7"/>
      <c r="E309" s="7"/>
      <c r="F309" s="7"/>
      <c r="G309" s="25"/>
      <c r="H309" s="7"/>
      <c r="I309" s="7"/>
      <c r="J309" s="7"/>
      <c r="K309" s="7"/>
      <c r="L309" s="7"/>
      <c r="M309" s="7"/>
      <c r="N309" s="7"/>
      <c r="O309" s="16"/>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7"/>
      <c r="AZ309" s="7"/>
    </row>
    <row r="310" spans="1:52" ht="63" customHeight="1">
      <c r="A310" s="20"/>
      <c r="B310" s="7"/>
      <c r="C310" s="7"/>
      <c r="D310" s="7"/>
      <c r="E310" s="7"/>
      <c r="F310" s="7"/>
      <c r="G310" s="25"/>
      <c r="H310" s="7"/>
      <c r="I310" s="7"/>
      <c r="J310" s="7"/>
      <c r="K310" s="7"/>
      <c r="L310" s="7"/>
      <c r="M310" s="7"/>
      <c r="N310" s="7"/>
      <c r="O310" s="16"/>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row>
    <row r="311" spans="1:52" ht="63" customHeight="1">
      <c r="A311" s="20"/>
      <c r="B311" s="7"/>
      <c r="C311" s="7"/>
      <c r="D311" s="7"/>
      <c r="E311" s="7"/>
      <c r="F311" s="7"/>
      <c r="G311" s="25"/>
      <c r="H311" s="7"/>
      <c r="I311" s="7"/>
      <c r="J311" s="7"/>
      <c r="K311" s="7"/>
      <c r="L311" s="7"/>
      <c r="M311" s="7"/>
      <c r="N311" s="7"/>
      <c r="O311" s="16"/>
      <c r="P311" s="7"/>
      <c r="Q311" s="7"/>
      <c r="R311" s="7"/>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c r="AS311" s="7"/>
      <c r="AT311" s="7"/>
      <c r="AU311" s="7"/>
      <c r="AV311" s="7"/>
      <c r="AW311" s="7"/>
      <c r="AX311" s="7"/>
      <c r="AY311" s="7"/>
      <c r="AZ311" s="7"/>
    </row>
    <row r="312" spans="1:52" ht="63" customHeight="1">
      <c r="A312" s="20"/>
      <c r="B312" s="7"/>
      <c r="C312" s="7"/>
      <c r="D312" s="7"/>
      <c r="E312" s="7"/>
      <c r="F312" s="7"/>
      <c r="G312" s="25"/>
      <c r="H312" s="7"/>
      <c r="I312" s="7"/>
      <c r="J312" s="7"/>
      <c r="K312" s="7"/>
      <c r="L312" s="7"/>
      <c r="M312" s="7"/>
      <c r="N312" s="7"/>
      <c r="O312" s="16"/>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7"/>
      <c r="AZ312" s="7"/>
    </row>
    <row r="313" spans="1:52" ht="63" customHeight="1">
      <c r="A313" s="20"/>
      <c r="B313" s="7"/>
      <c r="C313" s="7"/>
      <c r="D313" s="7"/>
      <c r="E313" s="7"/>
      <c r="F313" s="7"/>
      <c r="G313" s="25"/>
      <c r="H313" s="7"/>
      <c r="I313" s="7"/>
      <c r="J313" s="7"/>
      <c r="K313" s="7"/>
      <c r="L313" s="7"/>
      <c r="M313" s="7"/>
      <c r="N313" s="7"/>
      <c r="O313" s="16"/>
      <c r="P313" s="7"/>
      <c r="Q313" s="7"/>
      <c r="R313" s="7"/>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c r="AS313" s="7"/>
      <c r="AT313" s="7"/>
      <c r="AU313" s="7"/>
      <c r="AV313" s="7"/>
      <c r="AW313" s="7"/>
      <c r="AX313" s="7"/>
      <c r="AY313" s="7"/>
      <c r="AZ313" s="7"/>
    </row>
    <row r="314" spans="1:52" ht="63" customHeight="1">
      <c r="A314" s="20"/>
      <c r="B314" s="7"/>
      <c r="C314" s="7"/>
      <c r="D314" s="7"/>
      <c r="E314" s="7"/>
      <c r="F314" s="7"/>
      <c r="G314" s="25"/>
      <c r="H314" s="7"/>
      <c r="I314" s="7"/>
      <c r="J314" s="7"/>
      <c r="K314" s="7"/>
      <c r="L314" s="7"/>
      <c r="M314" s="7"/>
      <c r="N314" s="7"/>
      <c r="O314" s="16"/>
      <c r="P314" s="7"/>
      <c r="Q314" s="7"/>
      <c r="R314" s="7"/>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c r="AS314" s="7"/>
      <c r="AT314" s="7"/>
      <c r="AU314" s="7"/>
      <c r="AV314" s="7"/>
      <c r="AW314" s="7"/>
      <c r="AX314" s="7"/>
      <c r="AY314" s="7"/>
      <c r="AZ314" s="7"/>
    </row>
    <row r="315" spans="1:52" ht="63" customHeight="1">
      <c r="A315" s="20"/>
      <c r="B315" s="7"/>
      <c r="C315" s="7"/>
      <c r="D315" s="7"/>
      <c r="E315" s="7"/>
      <c r="F315" s="7"/>
      <c r="G315" s="25"/>
      <c r="H315" s="7"/>
      <c r="I315" s="7"/>
      <c r="J315" s="7"/>
      <c r="K315" s="7"/>
      <c r="L315" s="7"/>
      <c r="M315" s="7"/>
      <c r="N315" s="7"/>
      <c r="O315" s="16"/>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7"/>
      <c r="AZ315" s="7"/>
    </row>
    <row r="316" spans="1:52" ht="63" customHeight="1">
      <c r="A316" s="20"/>
      <c r="B316" s="7"/>
      <c r="C316" s="7"/>
      <c r="D316" s="7"/>
      <c r="E316" s="7"/>
      <c r="F316" s="7"/>
      <c r="G316" s="25"/>
      <c r="H316" s="7"/>
      <c r="I316" s="7"/>
      <c r="J316" s="7"/>
      <c r="K316" s="7"/>
      <c r="L316" s="7"/>
      <c r="M316" s="7"/>
      <c r="N316" s="7"/>
      <c r="O316" s="16"/>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7"/>
      <c r="AZ316" s="7"/>
    </row>
    <row r="317" spans="1:52" ht="63" customHeight="1">
      <c r="A317" s="20"/>
      <c r="B317" s="7"/>
      <c r="C317" s="7"/>
      <c r="D317" s="7"/>
      <c r="E317" s="7"/>
      <c r="F317" s="7"/>
      <c r="G317" s="25"/>
      <c r="H317" s="7"/>
      <c r="I317" s="7"/>
      <c r="J317" s="7"/>
      <c r="K317" s="7"/>
      <c r="L317" s="7"/>
      <c r="M317" s="7"/>
      <c r="N317" s="7"/>
      <c r="O317" s="16"/>
      <c r="P317" s="7"/>
      <c r="Q317" s="7"/>
      <c r="R317" s="7"/>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c r="AS317" s="7"/>
      <c r="AT317" s="7"/>
      <c r="AU317" s="7"/>
      <c r="AV317" s="7"/>
      <c r="AW317" s="7"/>
      <c r="AX317" s="7"/>
      <c r="AY317" s="7"/>
      <c r="AZ317" s="7"/>
    </row>
    <row r="318" spans="1:52" ht="63" customHeight="1">
      <c r="A318" s="20"/>
      <c r="B318" s="7"/>
      <c r="C318" s="7"/>
      <c r="D318" s="7"/>
      <c r="E318" s="7"/>
      <c r="F318" s="7"/>
      <c r="G318" s="25"/>
      <c r="H318" s="7"/>
      <c r="I318" s="7"/>
      <c r="J318" s="7"/>
      <c r="K318" s="7"/>
      <c r="L318" s="7"/>
      <c r="M318" s="7"/>
      <c r="N318" s="7"/>
      <c r="O318" s="16"/>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row>
    <row r="319" spans="1:52" ht="63" customHeight="1">
      <c r="A319" s="20"/>
      <c r="B319" s="7"/>
      <c r="C319" s="7"/>
      <c r="D319" s="7"/>
      <c r="E319" s="7"/>
      <c r="F319" s="7"/>
      <c r="G319" s="25"/>
      <c r="H319" s="7"/>
      <c r="I319" s="7"/>
      <c r="J319" s="7"/>
      <c r="K319" s="7"/>
      <c r="L319" s="7"/>
      <c r="M319" s="7"/>
      <c r="N319" s="7"/>
      <c r="O319" s="16"/>
      <c r="P319" s="7"/>
      <c r="Q319" s="7"/>
      <c r="R319" s="7"/>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c r="AS319" s="7"/>
      <c r="AT319" s="7"/>
      <c r="AU319" s="7"/>
      <c r="AV319" s="7"/>
      <c r="AW319" s="7"/>
      <c r="AX319" s="7"/>
      <c r="AY319" s="7"/>
      <c r="AZ319" s="7"/>
    </row>
    <row r="320" spans="1:52" ht="63" customHeight="1">
      <c r="A320" s="20"/>
      <c r="B320" s="7"/>
      <c r="C320" s="7"/>
      <c r="D320" s="7"/>
      <c r="E320" s="7"/>
      <c r="F320" s="7"/>
      <c r="G320" s="25"/>
      <c r="H320" s="7"/>
      <c r="I320" s="7"/>
      <c r="J320" s="7"/>
      <c r="K320" s="7"/>
      <c r="L320" s="7"/>
      <c r="M320" s="7"/>
      <c r="N320" s="7"/>
      <c r="O320" s="16"/>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row>
    <row r="321" spans="1:52" ht="63" customHeight="1">
      <c r="A321" s="20"/>
      <c r="B321" s="7"/>
      <c r="C321" s="7"/>
      <c r="D321" s="7"/>
      <c r="E321" s="7"/>
      <c r="F321" s="7"/>
      <c r="G321" s="25"/>
      <c r="H321" s="7"/>
      <c r="I321" s="7"/>
      <c r="J321" s="7"/>
      <c r="K321" s="7"/>
      <c r="L321" s="7"/>
      <c r="M321" s="7"/>
      <c r="N321" s="7"/>
      <c r="O321" s="16"/>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row>
    <row r="322" spans="1:52" ht="63" customHeight="1">
      <c r="A322" s="20"/>
      <c r="B322" s="7"/>
      <c r="C322" s="7"/>
      <c r="D322" s="7"/>
      <c r="E322" s="7"/>
      <c r="F322" s="7"/>
      <c r="G322" s="25"/>
      <c r="H322" s="7"/>
      <c r="I322" s="7"/>
      <c r="J322" s="7"/>
      <c r="K322" s="7"/>
      <c r="L322" s="7"/>
      <c r="M322" s="7"/>
      <c r="N322" s="7"/>
      <c r="O322" s="16"/>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row>
    <row r="323" spans="1:52" ht="63" customHeight="1">
      <c r="A323" s="20"/>
      <c r="B323" s="7"/>
      <c r="C323" s="7"/>
      <c r="D323" s="7"/>
      <c r="E323" s="7"/>
      <c r="F323" s="7"/>
      <c r="G323" s="25"/>
      <c r="H323" s="7"/>
      <c r="I323" s="7"/>
      <c r="J323" s="7"/>
      <c r="K323" s="7"/>
      <c r="L323" s="7"/>
      <c r="M323" s="7"/>
      <c r="N323" s="7"/>
      <c r="O323" s="16"/>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row>
    <row r="324" spans="1:52" ht="63" customHeight="1">
      <c r="A324" s="20"/>
      <c r="B324" s="7"/>
      <c r="C324" s="7"/>
      <c r="D324" s="7"/>
      <c r="E324" s="7"/>
      <c r="F324" s="7"/>
      <c r="G324" s="25"/>
      <c r="H324" s="7"/>
      <c r="I324" s="7"/>
      <c r="J324" s="7"/>
      <c r="K324" s="7"/>
      <c r="L324" s="7"/>
      <c r="M324" s="7"/>
      <c r="N324" s="7"/>
      <c r="O324" s="16"/>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row>
    <row r="325" spans="1:52" ht="63" customHeight="1">
      <c r="A325" s="20"/>
      <c r="B325" s="7"/>
      <c r="C325" s="7"/>
      <c r="D325" s="7"/>
      <c r="E325" s="7"/>
      <c r="F325" s="7"/>
      <c r="G325" s="25"/>
      <c r="H325" s="7"/>
      <c r="I325" s="7"/>
      <c r="J325" s="7"/>
      <c r="K325" s="7"/>
      <c r="L325" s="7"/>
      <c r="M325" s="7"/>
      <c r="N325" s="7"/>
      <c r="O325" s="16"/>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row>
    <row r="326" spans="1:52" ht="63" customHeight="1">
      <c r="A326" s="20"/>
      <c r="B326" s="7"/>
      <c r="C326" s="7"/>
      <c r="D326" s="7"/>
      <c r="E326" s="7"/>
      <c r="F326" s="7"/>
      <c r="G326" s="25"/>
      <c r="H326" s="7"/>
      <c r="I326" s="7"/>
      <c r="J326" s="7"/>
      <c r="K326" s="7"/>
      <c r="L326" s="7"/>
      <c r="M326" s="7"/>
      <c r="N326" s="7"/>
      <c r="O326" s="16"/>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row>
    <row r="327" spans="1:52" ht="63" customHeight="1">
      <c r="A327" s="20"/>
      <c r="B327" s="7"/>
      <c r="C327" s="7"/>
      <c r="D327" s="7"/>
      <c r="E327" s="7"/>
      <c r="F327" s="7"/>
      <c r="G327" s="25"/>
      <c r="H327" s="7"/>
      <c r="I327" s="7"/>
      <c r="J327" s="7"/>
      <c r="K327" s="7"/>
      <c r="L327" s="7"/>
      <c r="M327" s="7"/>
      <c r="N327" s="7"/>
      <c r="O327" s="16"/>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row>
    <row r="328" spans="1:52" ht="63" customHeight="1">
      <c r="A328" s="20"/>
      <c r="B328" s="7"/>
      <c r="C328" s="7"/>
      <c r="D328" s="7"/>
      <c r="E328" s="7"/>
      <c r="F328" s="7"/>
      <c r="G328" s="25"/>
      <c r="H328" s="7"/>
      <c r="I328" s="7"/>
      <c r="J328" s="7"/>
      <c r="K328" s="7"/>
      <c r="L328" s="7"/>
      <c r="M328" s="7"/>
      <c r="N328" s="7"/>
      <c r="O328" s="16"/>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row>
    <row r="329" spans="1:52" ht="63" customHeight="1">
      <c r="A329" s="20"/>
      <c r="B329" s="7"/>
      <c r="C329" s="7"/>
      <c r="D329" s="7"/>
      <c r="E329" s="7"/>
      <c r="F329" s="7"/>
      <c r="G329" s="25"/>
      <c r="H329" s="7"/>
      <c r="I329" s="7"/>
      <c r="J329" s="7"/>
      <c r="K329" s="7"/>
      <c r="L329" s="7"/>
      <c r="M329" s="7"/>
      <c r="N329" s="7"/>
      <c r="O329" s="16"/>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row>
    <row r="330" spans="1:52" ht="63" customHeight="1">
      <c r="A330" s="20"/>
      <c r="B330" s="7"/>
      <c r="C330" s="7"/>
      <c r="D330" s="7"/>
      <c r="E330" s="7"/>
      <c r="F330" s="7"/>
      <c r="G330" s="25"/>
      <c r="H330" s="7"/>
      <c r="I330" s="7"/>
      <c r="J330" s="7"/>
      <c r="K330" s="7"/>
      <c r="L330" s="7"/>
      <c r="M330" s="7"/>
      <c r="N330" s="7"/>
      <c r="O330" s="16"/>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row>
    <row r="331" spans="1:52" ht="63" customHeight="1">
      <c r="A331" s="20"/>
      <c r="B331" s="7"/>
      <c r="C331" s="7"/>
      <c r="D331" s="7"/>
      <c r="E331" s="7"/>
      <c r="F331" s="7"/>
      <c r="G331" s="25"/>
      <c r="H331" s="7"/>
      <c r="I331" s="7"/>
      <c r="J331" s="7"/>
      <c r="K331" s="7"/>
      <c r="L331" s="7"/>
      <c r="M331" s="7"/>
      <c r="N331" s="7"/>
      <c r="O331" s="16"/>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row>
    <row r="332" spans="1:52" ht="63" customHeight="1">
      <c r="A332" s="20"/>
      <c r="B332" s="7"/>
      <c r="C332" s="7"/>
      <c r="D332" s="7"/>
      <c r="E332" s="7"/>
      <c r="F332" s="7"/>
      <c r="G332" s="25"/>
      <c r="H332" s="7"/>
      <c r="I332" s="7"/>
      <c r="J332" s="7"/>
      <c r="K332" s="7"/>
      <c r="L332" s="7"/>
      <c r="M332" s="7"/>
      <c r="N332" s="7"/>
      <c r="O332" s="16"/>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row>
    <row r="333" spans="1:52" ht="63" customHeight="1">
      <c r="A333" s="20"/>
      <c r="B333" s="7"/>
      <c r="C333" s="7"/>
      <c r="D333" s="7"/>
      <c r="E333" s="7"/>
      <c r="F333" s="7"/>
      <c r="G333" s="25"/>
      <c r="H333" s="7"/>
      <c r="I333" s="7"/>
      <c r="J333" s="7"/>
      <c r="K333" s="7"/>
      <c r="L333" s="7"/>
      <c r="M333" s="7"/>
      <c r="N333" s="7"/>
      <c r="O333" s="16"/>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row>
    <row r="334" spans="1:52" ht="63" customHeight="1">
      <c r="A334" s="20"/>
      <c r="B334" s="7"/>
      <c r="C334" s="7"/>
      <c r="D334" s="7"/>
      <c r="E334" s="7"/>
      <c r="F334" s="7"/>
      <c r="G334" s="25"/>
      <c r="H334" s="7"/>
      <c r="I334" s="7"/>
      <c r="J334" s="7"/>
      <c r="K334" s="7"/>
      <c r="L334" s="7"/>
      <c r="M334" s="7"/>
      <c r="N334" s="7"/>
      <c r="O334" s="16"/>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row>
    <row r="335" spans="1:52" ht="63" customHeight="1">
      <c r="A335" s="20"/>
      <c r="B335" s="7"/>
      <c r="C335" s="7"/>
      <c r="D335" s="7"/>
      <c r="E335" s="7"/>
      <c r="F335" s="7"/>
      <c r="G335" s="25"/>
      <c r="H335" s="7"/>
      <c r="I335" s="7"/>
      <c r="J335" s="7"/>
      <c r="K335" s="7"/>
      <c r="L335" s="7"/>
      <c r="M335" s="7"/>
      <c r="N335" s="7"/>
      <c r="O335" s="16"/>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row>
    <row r="336" spans="1:52" ht="63" customHeight="1">
      <c r="A336" s="20"/>
      <c r="B336" s="7"/>
      <c r="C336" s="7"/>
      <c r="D336" s="7"/>
      <c r="E336" s="7"/>
      <c r="F336" s="7"/>
      <c r="G336" s="25"/>
      <c r="H336" s="7"/>
      <c r="I336" s="7"/>
      <c r="J336" s="7"/>
      <c r="K336" s="7"/>
      <c r="L336" s="7"/>
      <c r="M336" s="7"/>
      <c r="N336" s="7"/>
      <c r="O336" s="16"/>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row>
    <row r="337" spans="1:52" ht="63" customHeight="1">
      <c r="A337" s="20"/>
      <c r="B337" s="7"/>
      <c r="C337" s="7"/>
      <c r="D337" s="7"/>
      <c r="E337" s="7"/>
      <c r="F337" s="7"/>
      <c r="G337" s="25"/>
      <c r="H337" s="7"/>
      <c r="I337" s="7"/>
      <c r="J337" s="7"/>
      <c r="K337" s="7"/>
      <c r="L337" s="7"/>
      <c r="M337" s="7"/>
      <c r="N337" s="7"/>
      <c r="O337" s="16"/>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row>
    <row r="338" spans="1:52" ht="63" customHeight="1">
      <c r="A338" s="20"/>
      <c r="B338" s="7"/>
      <c r="C338" s="7"/>
      <c r="D338" s="7"/>
      <c r="E338" s="7"/>
      <c r="F338" s="7"/>
      <c r="G338" s="25"/>
      <c r="H338" s="7"/>
      <c r="I338" s="7"/>
      <c r="J338" s="7"/>
      <c r="K338" s="7"/>
      <c r="L338" s="7"/>
      <c r="M338" s="7"/>
      <c r="N338" s="7"/>
      <c r="O338" s="16"/>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row>
    <row r="339" spans="1:52" ht="63" customHeight="1">
      <c r="A339" s="20"/>
      <c r="B339" s="7"/>
      <c r="C339" s="7"/>
      <c r="D339" s="7"/>
      <c r="E339" s="7"/>
      <c r="F339" s="7"/>
      <c r="G339" s="25"/>
      <c r="H339" s="7"/>
      <c r="I339" s="7"/>
      <c r="J339" s="7"/>
      <c r="K339" s="7"/>
      <c r="L339" s="7"/>
      <c r="M339" s="7"/>
      <c r="N339" s="7"/>
      <c r="O339" s="16"/>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row>
    <row r="340" spans="1:52" ht="63" customHeight="1">
      <c r="A340" s="20"/>
      <c r="B340" s="7"/>
      <c r="C340" s="7"/>
      <c r="D340" s="7"/>
      <c r="E340" s="7"/>
      <c r="F340" s="7"/>
      <c r="G340" s="25"/>
      <c r="H340" s="7"/>
      <c r="I340" s="7"/>
      <c r="J340" s="7"/>
      <c r="K340" s="7"/>
      <c r="L340" s="7"/>
      <c r="M340" s="7"/>
      <c r="N340" s="7"/>
      <c r="O340" s="16"/>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row>
    <row r="341" spans="1:52" ht="63" customHeight="1">
      <c r="A341" s="20"/>
      <c r="B341" s="7"/>
      <c r="C341" s="7"/>
      <c r="D341" s="7"/>
      <c r="E341" s="7"/>
      <c r="F341" s="7"/>
      <c r="G341" s="25"/>
      <c r="H341" s="7"/>
      <c r="I341" s="7"/>
      <c r="J341" s="7"/>
      <c r="K341" s="7"/>
      <c r="L341" s="7"/>
      <c r="M341" s="7"/>
      <c r="N341" s="7"/>
      <c r="O341" s="16"/>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row>
    <row r="342" spans="1:52" ht="63" customHeight="1">
      <c r="A342" s="20"/>
      <c r="B342" s="7"/>
      <c r="C342" s="7"/>
      <c r="D342" s="7"/>
      <c r="E342" s="7"/>
      <c r="F342" s="7"/>
      <c r="G342" s="25"/>
      <c r="H342" s="7"/>
      <c r="I342" s="7"/>
      <c r="J342" s="7"/>
      <c r="K342" s="7"/>
      <c r="L342" s="7"/>
      <c r="M342" s="7"/>
      <c r="N342" s="7"/>
      <c r="O342" s="16"/>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row>
    <row r="343" spans="1:52" ht="63" customHeight="1">
      <c r="A343" s="20"/>
      <c r="B343" s="7"/>
      <c r="C343" s="7"/>
      <c r="D343" s="7"/>
      <c r="E343" s="7"/>
      <c r="F343" s="7"/>
      <c r="G343" s="25"/>
      <c r="H343" s="7"/>
      <c r="I343" s="7"/>
      <c r="J343" s="7"/>
      <c r="K343" s="7"/>
      <c r="L343" s="7"/>
      <c r="M343" s="7"/>
      <c r="N343" s="7"/>
      <c r="O343" s="16"/>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row>
    <row r="344" spans="1:52" ht="63" customHeight="1">
      <c r="A344" s="20"/>
      <c r="B344" s="7"/>
      <c r="C344" s="7"/>
      <c r="D344" s="7"/>
      <c r="E344" s="7"/>
      <c r="F344" s="7"/>
      <c r="G344" s="25"/>
      <c r="H344" s="7"/>
      <c r="I344" s="7"/>
      <c r="J344" s="7"/>
      <c r="K344" s="7"/>
      <c r="L344" s="7"/>
      <c r="M344" s="7"/>
      <c r="N344" s="7"/>
      <c r="O344" s="16"/>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row>
    <row r="345" spans="1:52" ht="63" customHeight="1">
      <c r="A345" s="20"/>
      <c r="B345" s="7"/>
      <c r="C345" s="7"/>
      <c r="D345" s="7"/>
      <c r="E345" s="7"/>
      <c r="F345" s="7"/>
      <c r="G345" s="25"/>
      <c r="H345" s="7"/>
      <c r="I345" s="7"/>
      <c r="J345" s="7"/>
      <c r="K345" s="7"/>
      <c r="L345" s="7"/>
      <c r="M345" s="7"/>
      <c r="N345" s="7"/>
      <c r="O345" s="16"/>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row>
    <row r="346" spans="1:52" ht="63" customHeight="1">
      <c r="A346" s="20"/>
      <c r="B346" s="7"/>
      <c r="C346" s="7"/>
      <c r="D346" s="7"/>
      <c r="E346" s="7"/>
      <c r="F346" s="7"/>
      <c r="G346" s="25"/>
      <c r="H346" s="7"/>
      <c r="I346" s="7"/>
      <c r="J346" s="7"/>
      <c r="K346" s="7"/>
      <c r="L346" s="7"/>
      <c r="M346" s="7"/>
      <c r="N346" s="7"/>
      <c r="O346" s="16"/>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row>
    <row r="347" spans="1:52" ht="63" customHeight="1">
      <c r="A347" s="20"/>
      <c r="B347" s="7"/>
      <c r="C347" s="7"/>
      <c r="D347" s="7"/>
      <c r="E347" s="7"/>
      <c r="F347" s="7"/>
      <c r="G347" s="25"/>
      <c r="H347" s="7"/>
      <c r="I347" s="7"/>
      <c r="J347" s="7"/>
      <c r="K347" s="7"/>
      <c r="L347" s="7"/>
      <c r="M347" s="7"/>
      <c r="N347" s="7"/>
      <c r="O347" s="16"/>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row>
    <row r="348" spans="1:52" ht="63" customHeight="1">
      <c r="A348" s="20"/>
      <c r="B348" s="7"/>
      <c r="C348" s="7"/>
      <c r="D348" s="7"/>
      <c r="E348" s="7"/>
      <c r="F348" s="7"/>
      <c r="G348" s="25"/>
      <c r="H348" s="7"/>
      <c r="I348" s="7"/>
      <c r="J348" s="7"/>
      <c r="K348" s="7"/>
      <c r="L348" s="7"/>
      <c r="M348" s="7"/>
      <c r="N348" s="7"/>
      <c r="O348" s="16"/>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row>
    <row r="349" spans="1:52" ht="63" customHeight="1">
      <c r="A349" s="20"/>
      <c r="B349" s="7"/>
      <c r="C349" s="7"/>
      <c r="D349" s="7"/>
      <c r="E349" s="7"/>
      <c r="F349" s="7"/>
      <c r="G349" s="25"/>
      <c r="H349" s="7"/>
      <c r="I349" s="7"/>
      <c r="J349" s="7"/>
      <c r="K349" s="7"/>
      <c r="L349" s="7"/>
      <c r="M349" s="7"/>
      <c r="N349" s="7"/>
      <c r="O349" s="16"/>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row>
    <row r="350" spans="1:52" ht="63" customHeight="1">
      <c r="A350" s="20"/>
      <c r="B350" s="7"/>
      <c r="C350" s="7"/>
      <c r="D350" s="7"/>
      <c r="E350" s="7"/>
      <c r="F350" s="7"/>
      <c r="G350" s="25"/>
      <c r="H350" s="7"/>
      <c r="I350" s="7"/>
      <c r="J350" s="7"/>
      <c r="K350" s="7"/>
      <c r="L350" s="7"/>
      <c r="M350" s="7"/>
      <c r="N350" s="7"/>
      <c r="O350" s="16"/>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row>
    <row r="351" spans="1:52" ht="63" customHeight="1">
      <c r="A351" s="20"/>
      <c r="B351" s="7"/>
      <c r="C351" s="7"/>
      <c r="D351" s="7"/>
      <c r="E351" s="7"/>
      <c r="F351" s="7"/>
      <c r="G351" s="25"/>
      <c r="H351" s="7"/>
      <c r="I351" s="7"/>
      <c r="J351" s="7"/>
      <c r="K351" s="7"/>
      <c r="L351" s="7"/>
      <c r="M351" s="7"/>
      <c r="N351" s="7"/>
      <c r="O351" s="16"/>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row>
    <row r="352" spans="1:52" ht="63" customHeight="1">
      <c r="A352" s="20"/>
      <c r="B352" s="7"/>
      <c r="C352" s="7"/>
      <c r="D352" s="7"/>
      <c r="E352" s="7"/>
      <c r="F352" s="7"/>
      <c r="G352" s="25"/>
      <c r="H352" s="7"/>
      <c r="I352" s="7"/>
      <c r="J352" s="7"/>
      <c r="K352" s="7"/>
      <c r="L352" s="7"/>
      <c r="M352" s="7"/>
      <c r="N352" s="7"/>
      <c r="O352" s="16"/>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row>
    <row r="353" spans="1:52" ht="63" customHeight="1">
      <c r="A353" s="20"/>
      <c r="B353" s="7"/>
      <c r="C353" s="7"/>
      <c r="D353" s="7"/>
      <c r="E353" s="7"/>
      <c r="F353" s="7"/>
      <c r="G353" s="25"/>
      <c r="H353" s="7"/>
      <c r="I353" s="7"/>
      <c r="J353" s="7"/>
      <c r="K353" s="7"/>
      <c r="L353" s="7"/>
      <c r="M353" s="7"/>
      <c r="N353" s="7"/>
      <c r="O353" s="16"/>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row>
    <row r="354" spans="1:52" ht="63" customHeight="1">
      <c r="A354" s="20"/>
      <c r="B354" s="7"/>
      <c r="C354" s="7"/>
      <c r="D354" s="7"/>
      <c r="E354" s="7"/>
      <c r="F354" s="7"/>
      <c r="G354" s="25"/>
      <c r="H354" s="7"/>
      <c r="I354" s="7"/>
      <c r="J354" s="7"/>
      <c r="K354" s="7"/>
      <c r="L354" s="7"/>
      <c r="M354" s="7"/>
      <c r="N354" s="7"/>
      <c r="O354" s="16"/>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row>
    <row r="355" spans="1:52" ht="63" customHeight="1">
      <c r="A355" s="20"/>
      <c r="B355" s="7"/>
      <c r="C355" s="7"/>
      <c r="D355" s="7"/>
      <c r="E355" s="7"/>
      <c r="F355" s="7"/>
      <c r="G355" s="25"/>
      <c r="H355" s="7"/>
      <c r="I355" s="7"/>
      <c r="J355" s="7"/>
      <c r="K355" s="7"/>
      <c r="L355" s="7"/>
      <c r="M355" s="7"/>
      <c r="N355" s="7"/>
      <c r="O355" s="16"/>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row>
    <row r="356" spans="1:52" ht="63" customHeight="1">
      <c r="A356" s="20"/>
      <c r="B356" s="7"/>
      <c r="C356" s="7"/>
      <c r="D356" s="7"/>
      <c r="E356" s="7"/>
      <c r="F356" s="7"/>
      <c r="G356" s="25"/>
      <c r="H356" s="7"/>
      <c r="I356" s="7"/>
      <c r="J356" s="7"/>
      <c r="K356" s="7"/>
      <c r="L356" s="7"/>
      <c r="M356" s="7"/>
      <c r="N356" s="7"/>
      <c r="O356" s="16"/>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row>
    <row r="357" spans="1:52" ht="63" customHeight="1">
      <c r="A357" s="20"/>
      <c r="B357" s="7"/>
      <c r="C357" s="7"/>
      <c r="D357" s="7"/>
      <c r="E357" s="7"/>
      <c r="F357" s="7"/>
      <c r="G357" s="25"/>
      <c r="H357" s="7"/>
      <c r="I357" s="7"/>
      <c r="J357" s="7"/>
      <c r="K357" s="7"/>
      <c r="L357" s="7"/>
      <c r="M357" s="7"/>
      <c r="N357" s="7"/>
      <c r="O357" s="16"/>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row>
    <row r="358" spans="1:52" ht="63" customHeight="1">
      <c r="A358" s="20"/>
      <c r="B358" s="7"/>
      <c r="C358" s="7"/>
      <c r="D358" s="7"/>
      <c r="E358" s="7"/>
      <c r="F358" s="7"/>
      <c r="G358" s="25"/>
      <c r="H358" s="7"/>
      <c r="I358" s="7"/>
      <c r="J358" s="7"/>
      <c r="K358" s="7"/>
      <c r="L358" s="7"/>
      <c r="M358" s="7"/>
      <c r="N358" s="7"/>
      <c r="O358" s="16"/>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row>
    <row r="359" spans="1:52" ht="63" customHeight="1">
      <c r="A359" s="20"/>
      <c r="B359" s="7"/>
      <c r="C359" s="7"/>
      <c r="D359" s="7"/>
      <c r="E359" s="7"/>
      <c r="F359" s="7"/>
      <c r="G359" s="25"/>
      <c r="H359" s="7"/>
      <c r="I359" s="7"/>
      <c r="J359" s="7"/>
      <c r="K359" s="7"/>
      <c r="L359" s="7"/>
      <c r="M359" s="7"/>
      <c r="N359" s="7"/>
      <c r="O359" s="16"/>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row>
    <row r="360" spans="1:52" ht="63" customHeight="1">
      <c r="A360" s="20"/>
      <c r="B360" s="7"/>
      <c r="C360" s="7"/>
      <c r="D360" s="7"/>
      <c r="E360" s="7"/>
      <c r="F360" s="7"/>
      <c r="G360" s="25"/>
      <c r="H360" s="7"/>
      <c r="I360" s="7"/>
      <c r="J360" s="7"/>
      <c r="K360" s="7"/>
      <c r="L360" s="7"/>
      <c r="M360" s="7"/>
      <c r="N360" s="7"/>
      <c r="O360" s="16"/>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row>
    <row r="361" spans="1:52" ht="63" customHeight="1">
      <c r="A361" s="20"/>
      <c r="B361" s="7"/>
      <c r="C361" s="7"/>
      <c r="D361" s="7"/>
      <c r="E361" s="7"/>
      <c r="F361" s="7"/>
      <c r="G361" s="25"/>
      <c r="H361" s="7"/>
      <c r="I361" s="7"/>
      <c r="J361" s="7"/>
      <c r="K361" s="7"/>
      <c r="L361" s="7"/>
      <c r="M361" s="7"/>
      <c r="N361" s="7"/>
      <c r="O361" s="16"/>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row>
    <row r="362" spans="1:52" ht="63" customHeight="1">
      <c r="A362" s="20"/>
      <c r="B362" s="7"/>
      <c r="C362" s="7"/>
      <c r="D362" s="7"/>
      <c r="E362" s="7"/>
      <c r="F362" s="7"/>
      <c r="G362" s="25"/>
      <c r="H362" s="7"/>
      <c r="I362" s="7"/>
      <c r="J362" s="7"/>
      <c r="K362" s="7"/>
      <c r="L362" s="7"/>
      <c r="M362" s="7"/>
      <c r="N362" s="7"/>
      <c r="O362" s="16"/>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row>
    <row r="363" spans="1:52" ht="63" customHeight="1">
      <c r="A363" s="20"/>
      <c r="B363" s="7"/>
      <c r="C363" s="7"/>
      <c r="D363" s="7"/>
      <c r="E363" s="7"/>
      <c r="F363" s="7"/>
      <c r="G363" s="25"/>
      <c r="H363" s="7"/>
      <c r="I363" s="7"/>
      <c r="J363" s="7"/>
      <c r="K363" s="7"/>
      <c r="L363" s="7"/>
      <c r="M363" s="7"/>
      <c r="N363" s="7"/>
      <c r="O363" s="16"/>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row>
    <row r="364" spans="1:52" ht="63" customHeight="1">
      <c r="A364" s="20"/>
      <c r="B364" s="7"/>
      <c r="C364" s="7"/>
      <c r="D364" s="7"/>
      <c r="E364" s="7"/>
      <c r="F364" s="7"/>
      <c r="G364" s="25"/>
      <c r="H364" s="7"/>
      <c r="I364" s="7"/>
      <c r="J364" s="7"/>
      <c r="K364" s="7"/>
      <c r="L364" s="7"/>
      <c r="M364" s="7"/>
      <c r="N364" s="7"/>
      <c r="O364" s="16"/>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row>
    <row r="365" spans="1:52" ht="63" customHeight="1">
      <c r="A365" s="20"/>
      <c r="B365" s="7"/>
      <c r="C365" s="7"/>
      <c r="D365" s="7"/>
      <c r="E365" s="7"/>
      <c r="F365" s="7"/>
      <c r="G365" s="25"/>
      <c r="H365" s="7"/>
      <c r="I365" s="7"/>
      <c r="J365" s="7"/>
      <c r="K365" s="7"/>
      <c r="L365" s="7"/>
      <c r="M365" s="7"/>
      <c r="N365" s="7"/>
      <c r="O365" s="16"/>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row>
    <row r="366" spans="1:52" ht="63" customHeight="1">
      <c r="A366" s="20"/>
      <c r="B366" s="7"/>
      <c r="C366" s="7"/>
      <c r="D366" s="7"/>
      <c r="E366" s="7"/>
      <c r="F366" s="7"/>
      <c r="G366" s="25"/>
      <c r="H366" s="7"/>
      <c r="I366" s="7"/>
      <c r="J366" s="7"/>
      <c r="K366" s="7"/>
      <c r="L366" s="7"/>
      <c r="M366" s="7"/>
      <c r="N366" s="7"/>
      <c r="O366" s="16"/>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row>
    <row r="367" spans="1:52" ht="63" customHeight="1">
      <c r="A367" s="20"/>
      <c r="B367" s="7"/>
      <c r="C367" s="7"/>
      <c r="D367" s="7"/>
      <c r="E367" s="7"/>
      <c r="F367" s="7"/>
      <c r="G367" s="25"/>
      <c r="H367" s="7"/>
      <c r="I367" s="7"/>
      <c r="J367" s="7"/>
      <c r="K367" s="7"/>
      <c r="L367" s="7"/>
      <c r="M367" s="7"/>
      <c r="N367" s="7"/>
      <c r="O367" s="16"/>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row>
    <row r="368" spans="1:52" ht="63" customHeight="1">
      <c r="A368" s="20"/>
      <c r="B368" s="7"/>
      <c r="C368" s="7"/>
      <c r="D368" s="7"/>
      <c r="E368" s="7"/>
      <c r="F368" s="7"/>
      <c r="G368" s="25"/>
      <c r="H368" s="7"/>
      <c r="I368" s="7"/>
      <c r="J368" s="7"/>
      <c r="K368" s="7"/>
      <c r="L368" s="7"/>
      <c r="M368" s="7"/>
      <c r="N368" s="7"/>
      <c r="O368" s="16"/>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row>
    <row r="369" spans="1:52" ht="63" customHeight="1">
      <c r="A369" s="20"/>
      <c r="B369" s="7"/>
      <c r="C369" s="7"/>
      <c r="D369" s="7"/>
      <c r="E369" s="7"/>
      <c r="F369" s="7"/>
      <c r="G369" s="25"/>
      <c r="H369" s="7"/>
      <c r="I369" s="7"/>
      <c r="J369" s="7"/>
      <c r="K369" s="7"/>
      <c r="L369" s="7"/>
      <c r="M369" s="7"/>
      <c r="N369" s="7"/>
      <c r="O369" s="16"/>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row>
    <row r="370" spans="1:52" ht="63" customHeight="1">
      <c r="A370" s="20"/>
      <c r="B370" s="7"/>
      <c r="C370" s="7"/>
      <c r="D370" s="7"/>
      <c r="E370" s="7"/>
      <c r="F370" s="7"/>
      <c r="G370" s="25"/>
      <c r="H370" s="7"/>
      <c r="I370" s="7"/>
      <c r="J370" s="7"/>
      <c r="K370" s="7"/>
      <c r="L370" s="7"/>
      <c r="M370" s="7"/>
      <c r="N370" s="7"/>
      <c r="O370" s="16"/>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row>
    <row r="371" spans="1:52" ht="63" customHeight="1">
      <c r="A371" s="20"/>
      <c r="B371" s="7"/>
      <c r="C371" s="7"/>
      <c r="D371" s="7"/>
      <c r="E371" s="7"/>
      <c r="F371" s="7"/>
      <c r="G371" s="25"/>
      <c r="H371" s="7"/>
      <c r="I371" s="7"/>
      <c r="J371" s="7"/>
      <c r="K371" s="7"/>
      <c r="L371" s="7"/>
      <c r="M371" s="7"/>
      <c r="N371" s="7"/>
      <c r="O371" s="16"/>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row>
    <row r="372" spans="1:52" ht="63" customHeight="1">
      <c r="A372" s="20"/>
      <c r="B372" s="7"/>
      <c r="C372" s="7"/>
      <c r="D372" s="7"/>
      <c r="E372" s="7"/>
      <c r="F372" s="7"/>
      <c r="G372" s="25"/>
      <c r="H372" s="7"/>
      <c r="I372" s="7"/>
      <c r="J372" s="7"/>
      <c r="K372" s="7"/>
      <c r="L372" s="7"/>
      <c r="M372" s="7"/>
      <c r="N372" s="7"/>
      <c r="O372" s="16"/>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row>
    <row r="373" spans="1:52" ht="63" customHeight="1">
      <c r="A373" s="20"/>
      <c r="B373" s="7"/>
      <c r="C373" s="7"/>
      <c r="D373" s="7"/>
      <c r="E373" s="7"/>
      <c r="F373" s="7"/>
      <c r="G373" s="25"/>
      <c r="H373" s="7"/>
      <c r="I373" s="7"/>
      <c r="J373" s="7"/>
      <c r="K373" s="7"/>
      <c r="L373" s="7"/>
      <c r="M373" s="7"/>
      <c r="N373" s="7"/>
      <c r="O373" s="16"/>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row>
    <row r="374" spans="1:52" ht="63" customHeight="1">
      <c r="A374" s="20"/>
      <c r="B374" s="7"/>
      <c r="C374" s="7"/>
      <c r="D374" s="7"/>
      <c r="E374" s="7"/>
      <c r="F374" s="7"/>
      <c r="G374" s="25"/>
      <c r="H374" s="7"/>
      <c r="I374" s="7"/>
      <c r="J374" s="7"/>
      <c r="K374" s="7"/>
      <c r="L374" s="7"/>
      <c r="M374" s="7"/>
      <c r="N374" s="7"/>
      <c r="O374" s="16"/>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row>
    <row r="375" spans="1:52" ht="63" customHeight="1">
      <c r="A375" s="20"/>
      <c r="B375" s="7"/>
      <c r="C375" s="7"/>
      <c r="D375" s="7"/>
      <c r="E375" s="7"/>
      <c r="F375" s="7"/>
      <c r="G375" s="25"/>
      <c r="H375" s="7"/>
      <c r="I375" s="7"/>
      <c r="J375" s="7"/>
      <c r="K375" s="7"/>
      <c r="L375" s="7"/>
      <c r="M375" s="7"/>
      <c r="N375" s="7"/>
      <c r="O375" s="16"/>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row>
    <row r="376" spans="1:52" ht="63" customHeight="1">
      <c r="A376" s="20"/>
      <c r="B376" s="7"/>
      <c r="C376" s="7"/>
      <c r="D376" s="7"/>
      <c r="E376" s="7"/>
      <c r="F376" s="7"/>
      <c r="G376" s="25"/>
      <c r="H376" s="7"/>
      <c r="I376" s="7"/>
      <c r="J376" s="7"/>
      <c r="K376" s="7"/>
      <c r="L376" s="7"/>
      <c r="M376" s="7"/>
      <c r="N376" s="7"/>
      <c r="O376" s="16"/>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row>
    <row r="377" spans="1:52" ht="63" customHeight="1">
      <c r="A377" s="20"/>
      <c r="B377" s="7"/>
      <c r="C377" s="7"/>
      <c r="D377" s="7"/>
      <c r="E377" s="7"/>
      <c r="F377" s="7"/>
      <c r="G377" s="25"/>
      <c r="H377" s="7"/>
      <c r="I377" s="7"/>
      <c r="J377" s="7"/>
      <c r="K377" s="7"/>
      <c r="L377" s="7"/>
      <c r="M377" s="7"/>
      <c r="N377" s="7"/>
      <c r="O377" s="16"/>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row>
    <row r="378" spans="1:52" ht="63" customHeight="1">
      <c r="A378" s="20"/>
      <c r="B378" s="7"/>
      <c r="C378" s="7"/>
      <c r="D378" s="7"/>
      <c r="E378" s="7"/>
      <c r="F378" s="7"/>
      <c r="G378" s="25"/>
      <c r="H378" s="7"/>
      <c r="I378" s="7"/>
      <c r="J378" s="7"/>
      <c r="K378" s="7"/>
      <c r="L378" s="7"/>
      <c r="M378" s="7"/>
      <c r="N378" s="7"/>
      <c r="O378" s="16"/>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row>
    <row r="379" spans="1:52" ht="63" customHeight="1">
      <c r="A379" s="20"/>
      <c r="B379" s="7"/>
      <c r="C379" s="7"/>
      <c r="D379" s="7"/>
      <c r="E379" s="7"/>
      <c r="F379" s="7"/>
      <c r="G379" s="25"/>
      <c r="H379" s="7"/>
      <c r="I379" s="7"/>
      <c r="J379" s="7"/>
      <c r="K379" s="7"/>
      <c r="L379" s="7"/>
      <c r="M379" s="7"/>
      <c r="N379" s="7"/>
      <c r="O379" s="16"/>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row>
    <row r="380" spans="1:52" ht="63" customHeight="1">
      <c r="A380" s="20"/>
      <c r="B380" s="7"/>
      <c r="C380" s="7"/>
      <c r="D380" s="7"/>
      <c r="E380" s="7"/>
      <c r="F380" s="7"/>
      <c r="G380" s="25"/>
      <c r="H380" s="7"/>
      <c r="I380" s="7"/>
      <c r="J380" s="7"/>
      <c r="K380" s="7"/>
      <c r="L380" s="7"/>
      <c r="M380" s="7"/>
      <c r="N380" s="7"/>
      <c r="O380" s="16"/>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row>
    <row r="381" spans="1:52" ht="63" customHeight="1">
      <c r="A381" s="20"/>
      <c r="B381" s="7"/>
      <c r="C381" s="7"/>
      <c r="D381" s="7"/>
      <c r="E381" s="7"/>
      <c r="F381" s="7"/>
      <c r="G381" s="25"/>
      <c r="H381" s="7"/>
      <c r="I381" s="7"/>
      <c r="J381" s="7"/>
      <c r="K381" s="7"/>
      <c r="L381" s="7"/>
      <c r="M381" s="7"/>
      <c r="N381" s="7"/>
      <c r="O381" s="16"/>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row>
    <row r="382" spans="1:52" ht="63" customHeight="1">
      <c r="A382" s="20"/>
      <c r="B382" s="7"/>
      <c r="C382" s="7"/>
      <c r="D382" s="7"/>
      <c r="E382" s="7"/>
      <c r="F382" s="7"/>
      <c r="G382" s="25"/>
      <c r="H382" s="7"/>
      <c r="I382" s="7"/>
      <c r="J382" s="7"/>
      <c r="K382" s="7"/>
      <c r="L382" s="7"/>
      <c r="M382" s="7"/>
      <c r="N382" s="7"/>
      <c r="O382" s="16"/>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row>
    <row r="383" spans="1:52" ht="63" customHeight="1">
      <c r="A383" s="20"/>
      <c r="B383" s="7"/>
      <c r="C383" s="7"/>
      <c r="D383" s="7"/>
      <c r="E383" s="7"/>
      <c r="F383" s="7"/>
      <c r="G383" s="25"/>
      <c r="H383" s="7"/>
      <c r="I383" s="7"/>
      <c r="J383" s="7"/>
      <c r="K383" s="7"/>
      <c r="L383" s="7"/>
      <c r="M383" s="7"/>
      <c r="N383" s="7"/>
      <c r="O383" s="16"/>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row>
    <row r="384" spans="1:52" ht="63" customHeight="1">
      <c r="A384" s="20"/>
      <c r="B384" s="7"/>
      <c r="C384" s="7"/>
      <c r="D384" s="7"/>
      <c r="E384" s="7"/>
      <c r="F384" s="7"/>
      <c r="G384" s="25"/>
      <c r="H384" s="7"/>
      <c r="I384" s="7"/>
      <c r="J384" s="7"/>
      <c r="K384" s="7"/>
      <c r="L384" s="7"/>
      <c r="M384" s="7"/>
      <c r="N384" s="7"/>
      <c r="O384" s="16"/>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row>
    <row r="385" spans="1:52" ht="63" customHeight="1">
      <c r="A385" s="20"/>
      <c r="B385" s="7"/>
      <c r="C385" s="7"/>
      <c r="D385" s="7"/>
      <c r="E385" s="7"/>
      <c r="F385" s="7"/>
      <c r="G385" s="25"/>
      <c r="H385" s="7"/>
      <c r="I385" s="7"/>
      <c r="J385" s="7"/>
      <c r="K385" s="7"/>
      <c r="L385" s="7"/>
      <c r="M385" s="7"/>
      <c r="N385" s="7"/>
      <c r="O385" s="16"/>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row>
    <row r="386" spans="1:52" ht="63" customHeight="1">
      <c r="A386" s="20"/>
      <c r="B386" s="7"/>
      <c r="C386" s="7"/>
      <c r="D386" s="7"/>
      <c r="E386" s="7"/>
      <c r="F386" s="7"/>
      <c r="G386" s="25"/>
      <c r="H386" s="7"/>
      <c r="I386" s="7"/>
      <c r="J386" s="7"/>
      <c r="K386" s="7"/>
      <c r="L386" s="7"/>
      <c r="M386" s="7"/>
      <c r="N386" s="7"/>
      <c r="O386" s="16"/>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row>
    <row r="387" spans="1:52" ht="63" customHeight="1">
      <c r="A387" s="20"/>
      <c r="B387" s="7"/>
      <c r="C387" s="7"/>
      <c r="D387" s="7"/>
      <c r="E387" s="7"/>
      <c r="F387" s="7"/>
      <c r="G387" s="25"/>
      <c r="H387" s="7"/>
      <c r="I387" s="7"/>
      <c r="J387" s="7"/>
      <c r="K387" s="7"/>
      <c r="L387" s="7"/>
      <c r="M387" s="7"/>
      <c r="N387" s="7"/>
      <c r="O387" s="16"/>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row>
    <row r="388" spans="1:52" ht="63" customHeight="1">
      <c r="A388" s="20"/>
      <c r="B388" s="7"/>
      <c r="C388" s="7"/>
      <c r="D388" s="7"/>
      <c r="E388" s="7"/>
      <c r="F388" s="7"/>
      <c r="G388" s="25"/>
      <c r="H388" s="7"/>
      <c r="I388" s="7"/>
      <c r="J388" s="7"/>
      <c r="K388" s="7"/>
      <c r="L388" s="7"/>
      <c r="M388" s="7"/>
      <c r="N388" s="7"/>
      <c r="O388" s="16"/>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row>
    <row r="389" spans="1:52" ht="63" customHeight="1">
      <c r="A389" s="20"/>
      <c r="B389" s="7"/>
      <c r="C389" s="7"/>
      <c r="D389" s="7"/>
      <c r="E389" s="7"/>
      <c r="F389" s="7"/>
      <c r="G389" s="25"/>
      <c r="H389" s="7"/>
      <c r="I389" s="7"/>
      <c r="J389" s="7"/>
      <c r="K389" s="7"/>
      <c r="L389" s="7"/>
      <c r="M389" s="7"/>
      <c r="N389" s="7"/>
      <c r="O389" s="16"/>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row>
    <row r="390" spans="1:52" ht="63" customHeight="1">
      <c r="A390" s="20"/>
      <c r="B390" s="7"/>
      <c r="C390" s="7"/>
      <c r="D390" s="7"/>
      <c r="E390" s="7"/>
      <c r="F390" s="7"/>
      <c r="G390" s="25"/>
      <c r="H390" s="7"/>
      <c r="I390" s="7"/>
      <c r="J390" s="7"/>
      <c r="K390" s="7"/>
      <c r="L390" s="7"/>
      <c r="M390" s="7"/>
      <c r="N390" s="7"/>
      <c r="O390" s="16"/>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row>
    <row r="391" spans="1:52" ht="63" customHeight="1">
      <c r="A391" s="20"/>
      <c r="B391" s="7"/>
      <c r="C391" s="7"/>
      <c r="D391" s="7"/>
      <c r="E391" s="7"/>
      <c r="F391" s="7"/>
      <c r="G391" s="25"/>
      <c r="H391" s="7"/>
      <c r="I391" s="7"/>
      <c r="J391" s="7"/>
      <c r="K391" s="7"/>
      <c r="L391" s="7"/>
      <c r="M391" s="7"/>
      <c r="N391" s="7"/>
      <c r="O391" s="16"/>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row>
    <row r="392" spans="1:52" ht="63" customHeight="1">
      <c r="A392" s="20"/>
      <c r="B392" s="7"/>
      <c r="C392" s="7"/>
      <c r="D392" s="7"/>
      <c r="E392" s="7"/>
      <c r="F392" s="7"/>
      <c r="G392" s="25"/>
      <c r="H392" s="7"/>
      <c r="I392" s="7"/>
      <c r="J392" s="7"/>
      <c r="K392" s="7"/>
      <c r="L392" s="7"/>
      <c r="M392" s="7"/>
      <c r="N392" s="7"/>
      <c r="O392" s="16"/>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row>
    <row r="393" spans="1:52" ht="63" customHeight="1">
      <c r="A393" s="20"/>
      <c r="B393" s="7"/>
      <c r="C393" s="7"/>
      <c r="D393" s="7"/>
      <c r="E393" s="7"/>
      <c r="F393" s="7"/>
      <c r="G393" s="25"/>
      <c r="H393" s="7"/>
      <c r="I393" s="7"/>
      <c r="J393" s="7"/>
      <c r="K393" s="7"/>
      <c r="L393" s="7"/>
      <c r="M393" s="7"/>
      <c r="N393" s="7"/>
      <c r="O393" s="16"/>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row>
    <row r="394" spans="1:52" ht="63" customHeight="1">
      <c r="A394" s="20"/>
      <c r="B394" s="7"/>
      <c r="C394" s="7"/>
      <c r="D394" s="7"/>
      <c r="E394" s="7"/>
      <c r="F394" s="7"/>
      <c r="G394" s="25"/>
      <c r="H394" s="7"/>
      <c r="I394" s="7"/>
      <c r="J394" s="7"/>
      <c r="K394" s="7"/>
      <c r="L394" s="7"/>
      <c r="M394" s="7"/>
      <c r="N394" s="7"/>
      <c r="O394" s="16"/>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row>
    <row r="395" spans="1:52" ht="63" customHeight="1">
      <c r="A395" s="20"/>
      <c r="B395" s="7"/>
      <c r="C395" s="7"/>
      <c r="D395" s="7"/>
      <c r="E395" s="7"/>
      <c r="F395" s="7"/>
      <c r="G395" s="25"/>
      <c r="H395" s="7"/>
      <c r="I395" s="7"/>
      <c r="J395" s="7"/>
      <c r="K395" s="7"/>
      <c r="L395" s="7"/>
      <c r="M395" s="7"/>
      <c r="N395" s="7"/>
      <c r="O395" s="16"/>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row>
    <row r="396" spans="1:52" ht="63" customHeight="1">
      <c r="A396" s="20"/>
      <c r="B396" s="7"/>
      <c r="C396" s="7"/>
      <c r="D396" s="7"/>
      <c r="E396" s="7"/>
      <c r="F396" s="7"/>
      <c r="G396" s="25"/>
      <c r="H396" s="7"/>
      <c r="I396" s="7"/>
      <c r="J396" s="7"/>
      <c r="K396" s="7"/>
      <c r="L396" s="7"/>
      <c r="M396" s="7"/>
      <c r="N396" s="7"/>
      <c r="O396" s="16"/>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row>
    <row r="397" spans="1:52" ht="63" customHeight="1">
      <c r="A397" s="20"/>
      <c r="B397" s="7"/>
      <c r="C397" s="7"/>
      <c r="D397" s="7"/>
      <c r="E397" s="7"/>
      <c r="F397" s="7"/>
      <c r="G397" s="25"/>
      <c r="H397" s="7"/>
      <c r="I397" s="7"/>
      <c r="J397" s="7"/>
      <c r="K397" s="7"/>
      <c r="L397" s="7"/>
      <c r="M397" s="7"/>
      <c r="N397" s="7"/>
      <c r="O397" s="16"/>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row>
    <row r="398" spans="1:52" ht="63" customHeight="1">
      <c r="A398" s="20"/>
      <c r="B398" s="7"/>
      <c r="C398" s="7"/>
      <c r="D398" s="7"/>
      <c r="E398" s="7"/>
      <c r="F398" s="7"/>
      <c r="G398" s="25"/>
      <c r="H398" s="7"/>
      <c r="I398" s="7"/>
      <c r="J398" s="7"/>
      <c r="K398" s="7"/>
      <c r="L398" s="7"/>
      <c r="M398" s="7"/>
      <c r="N398" s="7"/>
      <c r="O398" s="16"/>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row>
    <row r="399" spans="1:52" ht="63" customHeight="1">
      <c r="A399" s="20"/>
      <c r="B399" s="7"/>
      <c r="C399" s="7"/>
      <c r="D399" s="7"/>
      <c r="E399" s="7"/>
      <c r="F399" s="7"/>
      <c r="G399" s="25"/>
      <c r="H399" s="7"/>
      <c r="I399" s="7"/>
      <c r="J399" s="7"/>
      <c r="K399" s="7"/>
      <c r="L399" s="7"/>
      <c r="M399" s="7"/>
      <c r="N399" s="7"/>
      <c r="O399" s="16"/>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row>
    <row r="400" spans="1:52" ht="63" customHeight="1">
      <c r="A400" s="20"/>
      <c r="B400" s="7"/>
      <c r="C400" s="7"/>
      <c r="D400" s="7"/>
      <c r="E400" s="7"/>
      <c r="F400" s="7"/>
      <c r="G400" s="25"/>
      <c r="H400" s="7"/>
      <c r="I400" s="7"/>
      <c r="J400" s="7"/>
      <c r="K400" s="7"/>
      <c r="L400" s="7"/>
      <c r="M400" s="7"/>
      <c r="N400" s="7"/>
      <c r="O400" s="16"/>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row>
    <row r="401" spans="1:52" ht="63" customHeight="1">
      <c r="A401" s="20"/>
      <c r="B401" s="7"/>
      <c r="C401" s="7"/>
      <c r="D401" s="7"/>
      <c r="E401" s="7"/>
      <c r="F401" s="7"/>
      <c r="G401" s="25"/>
      <c r="H401" s="7"/>
      <c r="I401" s="7"/>
      <c r="J401" s="7"/>
      <c r="K401" s="7"/>
      <c r="L401" s="7"/>
      <c r="M401" s="7"/>
      <c r="N401" s="7"/>
      <c r="O401" s="16"/>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row>
    <row r="402" spans="1:52" ht="63" customHeight="1">
      <c r="A402" s="20"/>
      <c r="B402" s="7"/>
      <c r="C402" s="7"/>
      <c r="D402" s="7"/>
      <c r="E402" s="7"/>
      <c r="F402" s="7"/>
      <c r="G402" s="25"/>
      <c r="H402" s="7"/>
      <c r="I402" s="7"/>
      <c r="J402" s="7"/>
      <c r="K402" s="7"/>
      <c r="L402" s="7"/>
      <c r="M402" s="7"/>
      <c r="N402" s="7"/>
      <c r="O402" s="16"/>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row>
    <row r="403" spans="1:52" ht="63" customHeight="1">
      <c r="A403" s="20"/>
      <c r="B403" s="7"/>
      <c r="C403" s="7"/>
      <c r="D403" s="7"/>
      <c r="E403" s="7"/>
      <c r="F403" s="7"/>
      <c r="G403" s="25"/>
      <c r="H403" s="7"/>
      <c r="I403" s="7"/>
      <c r="J403" s="7"/>
      <c r="K403" s="7"/>
      <c r="L403" s="7"/>
      <c r="M403" s="7"/>
      <c r="N403" s="7"/>
      <c r="O403" s="16"/>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row>
    <row r="404" spans="1:52" ht="63" customHeight="1">
      <c r="A404" s="20"/>
      <c r="B404" s="7"/>
      <c r="C404" s="7"/>
      <c r="D404" s="7"/>
      <c r="E404" s="7"/>
      <c r="F404" s="7"/>
      <c r="G404" s="25"/>
      <c r="H404" s="7"/>
      <c r="I404" s="7"/>
      <c r="J404" s="7"/>
      <c r="K404" s="7"/>
      <c r="L404" s="7"/>
      <c r="M404" s="7"/>
      <c r="N404" s="7"/>
      <c r="O404" s="16"/>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row>
    <row r="405" spans="1:52" ht="63" customHeight="1">
      <c r="A405" s="20"/>
      <c r="B405" s="7"/>
      <c r="C405" s="7"/>
      <c r="D405" s="7"/>
      <c r="E405" s="7"/>
      <c r="F405" s="7"/>
      <c r="G405" s="25"/>
      <c r="H405" s="7"/>
      <c r="I405" s="7"/>
      <c r="J405" s="7"/>
      <c r="K405" s="7"/>
      <c r="L405" s="7"/>
      <c r="M405" s="7"/>
      <c r="N405" s="7"/>
      <c r="O405" s="16"/>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row>
    <row r="406" spans="1:52" ht="63" customHeight="1">
      <c r="A406" s="20"/>
      <c r="B406" s="7"/>
      <c r="C406" s="7"/>
      <c r="D406" s="7"/>
      <c r="E406" s="7"/>
      <c r="F406" s="7"/>
      <c r="G406" s="25"/>
      <c r="H406" s="7"/>
      <c r="I406" s="7"/>
      <c r="J406" s="7"/>
      <c r="K406" s="7"/>
      <c r="L406" s="7"/>
      <c r="M406" s="7"/>
      <c r="N406" s="7"/>
      <c r="O406" s="16"/>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row>
    <row r="407" spans="1:52" ht="63" customHeight="1">
      <c r="A407" s="20"/>
      <c r="B407" s="7"/>
      <c r="C407" s="7"/>
      <c r="D407" s="7"/>
      <c r="E407" s="7"/>
      <c r="F407" s="7"/>
      <c r="G407" s="25"/>
      <c r="H407" s="7"/>
      <c r="I407" s="7"/>
      <c r="J407" s="7"/>
      <c r="K407" s="7"/>
      <c r="L407" s="7"/>
      <c r="M407" s="7"/>
      <c r="N407" s="7"/>
      <c r="O407" s="16"/>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row>
    <row r="408" spans="1:52" ht="63" customHeight="1">
      <c r="A408" s="20"/>
      <c r="B408" s="7"/>
      <c r="C408" s="7"/>
      <c r="D408" s="7"/>
      <c r="E408" s="7"/>
      <c r="F408" s="7"/>
      <c r="G408" s="25"/>
      <c r="H408" s="7"/>
      <c r="I408" s="7"/>
      <c r="J408" s="7"/>
      <c r="K408" s="7"/>
      <c r="L408" s="7"/>
      <c r="M408" s="7"/>
      <c r="N408" s="7"/>
      <c r="O408" s="16"/>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row>
    <row r="409" spans="1:52" ht="63" customHeight="1">
      <c r="A409" s="20"/>
      <c r="B409" s="7"/>
      <c r="C409" s="7"/>
      <c r="D409" s="7"/>
      <c r="E409" s="7"/>
      <c r="F409" s="7"/>
      <c r="G409" s="25"/>
      <c r="H409" s="7"/>
      <c r="I409" s="7"/>
      <c r="J409" s="7"/>
      <c r="K409" s="7"/>
      <c r="L409" s="7"/>
      <c r="M409" s="7"/>
      <c r="N409" s="7"/>
      <c r="O409" s="16"/>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row>
    <row r="410" spans="1:52" ht="63" customHeight="1">
      <c r="A410" s="20"/>
      <c r="B410" s="7"/>
      <c r="C410" s="7"/>
      <c r="D410" s="7"/>
      <c r="E410" s="7"/>
      <c r="F410" s="7"/>
      <c r="G410" s="25"/>
      <c r="H410" s="7"/>
      <c r="I410" s="7"/>
      <c r="J410" s="7"/>
      <c r="K410" s="7"/>
      <c r="L410" s="7"/>
      <c r="M410" s="7"/>
      <c r="N410" s="7"/>
      <c r="O410" s="16"/>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row>
    <row r="411" spans="1:52" ht="63" customHeight="1">
      <c r="A411" s="20"/>
      <c r="B411" s="7"/>
      <c r="C411" s="7"/>
      <c r="D411" s="7"/>
      <c r="E411" s="7"/>
      <c r="F411" s="7"/>
      <c r="G411" s="25"/>
      <c r="H411" s="7"/>
      <c r="I411" s="7"/>
      <c r="J411" s="7"/>
      <c r="K411" s="7"/>
      <c r="L411" s="7"/>
      <c r="M411" s="7"/>
      <c r="N411" s="7"/>
      <c r="O411" s="16"/>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row>
    <row r="412" spans="1:52" ht="63" customHeight="1">
      <c r="A412" s="20"/>
      <c r="B412" s="7"/>
      <c r="C412" s="7"/>
      <c r="D412" s="7"/>
      <c r="E412" s="7"/>
      <c r="F412" s="7"/>
      <c r="G412" s="25"/>
      <c r="H412" s="7"/>
      <c r="I412" s="7"/>
      <c r="J412" s="7"/>
      <c r="K412" s="7"/>
      <c r="L412" s="7"/>
      <c r="M412" s="7"/>
      <c r="N412" s="7"/>
      <c r="O412" s="16"/>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row>
    <row r="413" spans="1:52" ht="63" customHeight="1">
      <c r="A413" s="20"/>
      <c r="B413" s="7"/>
      <c r="C413" s="7"/>
      <c r="D413" s="7"/>
      <c r="E413" s="7"/>
      <c r="F413" s="7"/>
      <c r="G413" s="25"/>
      <c r="H413" s="7"/>
      <c r="I413" s="7"/>
      <c r="J413" s="7"/>
      <c r="K413" s="7"/>
      <c r="L413" s="7"/>
      <c r="M413" s="7"/>
      <c r="N413" s="7"/>
      <c r="O413" s="16"/>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row>
    <row r="414" spans="1:52" ht="63" customHeight="1">
      <c r="A414" s="20"/>
      <c r="B414" s="7"/>
      <c r="C414" s="7"/>
      <c r="D414" s="7"/>
      <c r="E414" s="7"/>
      <c r="F414" s="7"/>
      <c r="G414" s="25"/>
      <c r="H414" s="7"/>
      <c r="I414" s="7"/>
      <c r="J414" s="7"/>
      <c r="K414" s="7"/>
      <c r="L414" s="7"/>
      <c r="M414" s="7"/>
      <c r="N414" s="7"/>
      <c r="O414" s="16"/>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row>
    <row r="415" spans="1:52" ht="63" customHeight="1">
      <c r="A415" s="20"/>
      <c r="B415" s="7"/>
      <c r="C415" s="7"/>
      <c r="D415" s="7"/>
      <c r="E415" s="7"/>
      <c r="F415" s="7"/>
      <c r="G415" s="25"/>
      <c r="H415" s="7"/>
      <c r="I415" s="7"/>
      <c r="J415" s="7"/>
      <c r="K415" s="7"/>
      <c r="L415" s="7"/>
      <c r="M415" s="7"/>
      <c r="N415" s="7"/>
      <c r="O415" s="16"/>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row>
    <row r="416" spans="1:52" ht="63" customHeight="1">
      <c r="A416" s="20"/>
      <c r="B416" s="7"/>
      <c r="C416" s="7"/>
      <c r="D416" s="7"/>
      <c r="E416" s="7"/>
      <c r="F416" s="7"/>
      <c r="G416" s="25"/>
      <c r="H416" s="7"/>
      <c r="I416" s="7"/>
      <c r="J416" s="7"/>
      <c r="K416" s="7"/>
      <c r="L416" s="7"/>
      <c r="M416" s="7"/>
      <c r="N416" s="7"/>
      <c r="O416" s="16"/>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row>
    <row r="417" spans="1:52" ht="63" customHeight="1">
      <c r="A417" s="20"/>
      <c r="B417" s="7"/>
      <c r="C417" s="7"/>
      <c r="D417" s="7"/>
      <c r="E417" s="7"/>
      <c r="F417" s="7"/>
      <c r="G417" s="25"/>
      <c r="H417" s="7"/>
      <c r="I417" s="7"/>
      <c r="J417" s="7"/>
      <c r="K417" s="7"/>
      <c r="L417" s="7"/>
      <c r="M417" s="7"/>
      <c r="N417" s="7"/>
      <c r="O417" s="16"/>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row>
    <row r="418" spans="1:52" ht="63" customHeight="1">
      <c r="A418" s="20"/>
      <c r="B418" s="7"/>
      <c r="C418" s="7"/>
      <c r="D418" s="7"/>
      <c r="E418" s="7"/>
      <c r="F418" s="7"/>
      <c r="G418" s="25"/>
      <c r="H418" s="7"/>
      <c r="I418" s="7"/>
      <c r="J418" s="7"/>
      <c r="K418" s="7"/>
      <c r="L418" s="7"/>
      <c r="M418" s="7"/>
      <c r="N418" s="7"/>
      <c r="O418" s="16"/>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row>
    <row r="419" spans="1:52" ht="63" customHeight="1">
      <c r="A419" s="20"/>
      <c r="B419" s="7"/>
      <c r="C419" s="7"/>
      <c r="D419" s="7"/>
      <c r="E419" s="7"/>
      <c r="F419" s="7"/>
      <c r="G419" s="25"/>
      <c r="H419" s="7"/>
      <c r="I419" s="7"/>
      <c r="J419" s="7"/>
      <c r="K419" s="7"/>
      <c r="L419" s="7"/>
      <c r="M419" s="7"/>
      <c r="N419" s="7"/>
      <c r="O419" s="16"/>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row>
    <row r="420" spans="1:52" ht="63" customHeight="1">
      <c r="A420" s="20"/>
      <c r="B420" s="7"/>
      <c r="C420" s="7"/>
      <c r="D420" s="7"/>
      <c r="E420" s="7"/>
      <c r="F420" s="7"/>
      <c r="G420" s="25"/>
      <c r="H420" s="7"/>
      <c r="I420" s="7"/>
      <c r="J420" s="7"/>
      <c r="K420" s="7"/>
      <c r="L420" s="7"/>
      <c r="M420" s="7"/>
      <c r="N420" s="7"/>
      <c r="O420" s="16"/>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row>
    <row r="421" spans="1:52" ht="63" customHeight="1">
      <c r="A421" s="20"/>
      <c r="B421" s="7"/>
      <c r="C421" s="7"/>
      <c r="D421" s="7"/>
      <c r="E421" s="7"/>
      <c r="F421" s="7"/>
      <c r="G421" s="25"/>
      <c r="H421" s="7"/>
      <c r="I421" s="7"/>
      <c r="J421" s="7"/>
      <c r="K421" s="7"/>
      <c r="L421" s="7"/>
      <c r="M421" s="7"/>
      <c r="N421" s="7"/>
      <c r="O421" s="16"/>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row>
    <row r="422" spans="1:52" ht="63" customHeight="1">
      <c r="A422" s="20"/>
      <c r="B422" s="7"/>
      <c r="C422" s="7"/>
      <c r="D422" s="7"/>
      <c r="E422" s="7"/>
      <c r="F422" s="7"/>
      <c r="G422" s="25"/>
      <c r="H422" s="7"/>
      <c r="I422" s="7"/>
      <c r="J422" s="7"/>
      <c r="K422" s="7"/>
      <c r="L422" s="7"/>
      <c r="M422" s="7"/>
      <c r="N422" s="7"/>
      <c r="O422" s="16"/>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row>
    <row r="423" spans="1:52" ht="63" customHeight="1">
      <c r="A423" s="20"/>
      <c r="B423" s="7"/>
      <c r="C423" s="7"/>
      <c r="D423" s="7"/>
      <c r="E423" s="7"/>
      <c r="F423" s="7"/>
      <c r="G423" s="25"/>
      <c r="H423" s="7"/>
      <c r="I423" s="7"/>
      <c r="J423" s="7"/>
      <c r="K423" s="7"/>
      <c r="L423" s="7"/>
      <c r="M423" s="7"/>
      <c r="N423" s="7"/>
      <c r="O423" s="16"/>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row>
    <row r="424" spans="1:52" ht="63" customHeight="1">
      <c r="A424" s="20"/>
      <c r="B424" s="7"/>
      <c r="C424" s="7"/>
      <c r="D424" s="7"/>
      <c r="E424" s="7"/>
      <c r="F424" s="7"/>
      <c r="G424" s="25"/>
      <c r="H424" s="7"/>
      <c r="I424" s="7"/>
      <c r="J424" s="7"/>
      <c r="K424" s="7"/>
      <c r="L424" s="7"/>
      <c r="M424" s="7"/>
      <c r="N424" s="7"/>
      <c r="O424" s="16"/>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row>
    <row r="425" spans="1:52" ht="63" customHeight="1">
      <c r="A425" s="20"/>
      <c r="B425" s="7"/>
      <c r="C425" s="7"/>
      <c r="D425" s="7"/>
      <c r="E425" s="7"/>
      <c r="F425" s="7"/>
      <c r="G425" s="25"/>
      <c r="H425" s="7"/>
      <c r="I425" s="7"/>
      <c r="J425" s="7"/>
      <c r="K425" s="7"/>
      <c r="L425" s="7"/>
      <c r="M425" s="7"/>
      <c r="N425" s="7"/>
      <c r="O425" s="16"/>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row>
    <row r="426" spans="1:52" ht="63" customHeight="1">
      <c r="A426" s="20"/>
      <c r="B426" s="7"/>
      <c r="C426" s="7"/>
      <c r="D426" s="7"/>
      <c r="E426" s="7"/>
      <c r="F426" s="7"/>
      <c r="G426" s="25"/>
      <c r="H426" s="7"/>
      <c r="I426" s="7"/>
      <c r="J426" s="7"/>
      <c r="K426" s="7"/>
      <c r="L426" s="7"/>
      <c r="M426" s="7"/>
      <c r="N426" s="7"/>
      <c r="O426" s="16"/>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row>
    <row r="427" spans="1:52" ht="63" customHeight="1">
      <c r="A427" s="20"/>
      <c r="B427" s="7"/>
      <c r="C427" s="7"/>
      <c r="D427" s="7"/>
      <c r="E427" s="7"/>
      <c r="F427" s="7"/>
      <c r="G427" s="25"/>
      <c r="H427" s="7"/>
      <c r="I427" s="7"/>
      <c r="J427" s="7"/>
      <c r="K427" s="7"/>
      <c r="L427" s="7"/>
      <c r="M427" s="7"/>
      <c r="N427" s="7"/>
      <c r="O427" s="16"/>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row>
    <row r="428" spans="1:52" ht="63" customHeight="1">
      <c r="A428" s="20"/>
      <c r="B428" s="7"/>
      <c r="C428" s="7"/>
      <c r="D428" s="7"/>
      <c r="E428" s="7"/>
      <c r="F428" s="7"/>
      <c r="G428" s="25"/>
      <c r="H428" s="7"/>
      <c r="I428" s="7"/>
      <c r="J428" s="7"/>
      <c r="K428" s="7"/>
      <c r="L428" s="7"/>
      <c r="M428" s="7"/>
      <c r="N428" s="7"/>
      <c r="O428" s="16"/>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row>
    <row r="429" spans="1:52" ht="63" customHeight="1">
      <c r="A429" s="20"/>
      <c r="B429" s="7"/>
      <c r="C429" s="7"/>
      <c r="D429" s="7"/>
      <c r="E429" s="7"/>
      <c r="F429" s="7"/>
      <c r="G429" s="25"/>
      <c r="H429" s="7"/>
      <c r="I429" s="7"/>
      <c r="J429" s="7"/>
      <c r="K429" s="7"/>
      <c r="L429" s="7"/>
      <c r="M429" s="7"/>
      <c r="N429" s="7"/>
      <c r="O429" s="16"/>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row>
    <row r="430" spans="1:52" ht="63" customHeight="1">
      <c r="A430" s="20"/>
      <c r="B430" s="7"/>
      <c r="C430" s="7"/>
      <c r="D430" s="7"/>
      <c r="E430" s="7"/>
      <c r="F430" s="7"/>
      <c r="G430" s="25"/>
      <c r="H430" s="7"/>
      <c r="I430" s="7"/>
      <c r="J430" s="7"/>
      <c r="K430" s="7"/>
      <c r="L430" s="7"/>
      <c r="M430" s="7"/>
      <c r="N430" s="7"/>
      <c r="O430" s="16"/>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row>
    <row r="431" spans="1:52" ht="63" customHeight="1">
      <c r="A431" s="20"/>
      <c r="B431" s="7"/>
      <c r="C431" s="7"/>
      <c r="D431" s="7"/>
      <c r="E431" s="7"/>
      <c r="F431" s="7"/>
      <c r="G431" s="25"/>
      <c r="H431" s="7"/>
      <c r="I431" s="7"/>
      <c r="J431" s="7"/>
      <c r="K431" s="7"/>
      <c r="L431" s="7"/>
      <c r="M431" s="7"/>
      <c r="N431" s="7"/>
      <c r="O431" s="16"/>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row>
    <row r="432" spans="1:52" ht="63" customHeight="1">
      <c r="A432" s="20"/>
      <c r="B432" s="7"/>
      <c r="C432" s="7"/>
      <c r="D432" s="7"/>
      <c r="E432" s="7"/>
      <c r="F432" s="7"/>
      <c r="G432" s="25"/>
      <c r="H432" s="7"/>
      <c r="I432" s="7"/>
      <c r="J432" s="7"/>
      <c r="K432" s="7"/>
      <c r="L432" s="7"/>
      <c r="M432" s="7"/>
      <c r="N432" s="7"/>
      <c r="O432" s="16"/>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row>
    <row r="433" spans="1:52" ht="63" customHeight="1">
      <c r="A433" s="20"/>
      <c r="B433" s="7"/>
      <c r="C433" s="7"/>
      <c r="D433" s="7"/>
      <c r="E433" s="7"/>
      <c r="F433" s="7"/>
      <c r="G433" s="25"/>
      <c r="H433" s="7"/>
      <c r="I433" s="7"/>
      <c r="J433" s="7"/>
      <c r="K433" s="7"/>
      <c r="L433" s="7"/>
      <c r="M433" s="7"/>
      <c r="N433" s="7"/>
      <c r="O433" s="16"/>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row>
    <row r="434" spans="1:52" ht="63" customHeight="1">
      <c r="A434" s="20"/>
      <c r="B434" s="7"/>
      <c r="C434" s="7"/>
      <c r="D434" s="7"/>
      <c r="E434" s="7"/>
      <c r="F434" s="7"/>
      <c r="G434" s="25"/>
      <c r="H434" s="7"/>
      <c r="I434" s="7"/>
      <c r="J434" s="7"/>
      <c r="K434" s="7"/>
      <c r="L434" s="7"/>
      <c r="M434" s="7"/>
      <c r="N434" s="7"/>
      <c r="O434" s="16"/>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row>
    <row r="435" spans="1:52" ht="63" customHeight="1">
      <c r="A435" s="20"/>
      <c r="B435" s="7"/>
      <c r="C435" s="7"/>
      <c r="D435" s="7"/>
      <c r="E435" s="7"/>
      <c r="F435" s="7"/>
      <c r="G435" s="25"/>
      <c r="H435" s="7"/>
      <c r="I435" s="7"/>
      <c r="J435" s="7"/>
      <c r="K435" s="7"/>
      <c r="L435" s="7"/>
      <c r="M435" s="7"/>
      <c r="N435" s="7"/>
      <c r="O435" s="16"/>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row>
    <row r="436" spans="1:52" ht="63" customHeight="1">
      <c r="A436" s="20"/>
      <c r="B436" s="7"/>
      <c r="C436" s="7"/>
      <c r="D436" s="7"/>
      <c r="E436" s="7"/>
      <c r="F436" s="7"/>
      <c r="G436" s="25"/>
      <c r="H436" s="7"/>
      <c r="I436" s="7"/>
      <c r="J436" s="7"/>
      <c r="K436" s="7"/>
      <c r="L436" s="7"/>
      <c r="M436" s="7"/>
      <c r="N436" s="7"/>
      <c r="O436" s="16"/>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row>
    <row r="437" spans="1:52" ht="63" customHeight="1">
      <c r="A437" s="20"/>
      <c r="B437" s="7"/>
      <c r="C437" s="7"/>
      <c r="D437" s="7"/>
      <c r="E437" s="7"/>
      <c r="F437" s="7"/>
      <c r="G437" s="25"/>
      <c r="H437" s="7"/>
      <c r="I437" s="7"/>
      <c r="J437" s="7"/>
      <c r="K437" s="7"/>
      <c r="L437" s="7"/>
      <c r="M437" s="7"/>
      <c r="N437" s="7"/>
      <c r="O437" s="16"/>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row>
    <row r="438" spans="1:52" ht="63" customHeight="1">
      <c r="A438" s="20"/>
      <c r="B438" s="7"/>
      <c r="C438" s="7"/>
      <c r="D438" s="7"/>
      <c r="E438" s="7"/>
      <c r="F438" s="7"/>
      <c r="G438" s="25"/>
      <c r="H438" s="7"/>
      <c r="I438" s="7"/>
      <c r="J438" s="7"/>
      <c r="K438" s="7"/>
      <c r="L438" s="7"/>
      <c r="M438" s="7"/>
      <c r="N438" s="7"/>
      <c r="O438" s="16"/>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row>
    <row r="439" spans="1:52" ht="63" customHeight="1">
      <c r="A439" s="20"/>
      <c r="B439" s="7"/>
      <c r="C439" s="7"/>
      <c r="D439" s="7"/>
      <c r="E439" s="7"/>
      <c r="F439" s="7"/>
      <c r="G439" s="25"/>
      <c r="H439" s="7"/>
      <c r="I439" s="7"/>
      <c r="J439" s="7"/>
      <c r="K439" s="7"/>
      <c r="L439" s="7"/>
      <c r="M439" s="7"/>
      <c r="N439" s="7"/>
      <c r="O439" s="16"/>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row>
    <row r="440" spans="1:52" ht="63" customHeight="1">
      <c r="A440" s="20"/>
      <c r="B440" s="7"/>
      <c r="C440" s="7"/>
      <c r="D440" s="7"/>
      <c r="E440" s="7"/>
      <c r="F440" s="7"/>
      <c r="G440" s="25"/>
      <c r="H440" s="7"/>
      <c r="I440" s="7"/>
      <c r="J440" s="7"/>
      <c r="K440" s="7"/>
      <c r="L440" s="7"/>
      <c r="M440" s="7"/>
      <c r="N440" s="7"/>
      <c r="O440" s="16"/>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row>
    <row r="441" spans="1:52" ht="63" customHeight="1">
      <c r="A441" s="20"/>
      <c r="B441" s="7"/>
      <c r="C441" s="7"/>
      <c r="D441" s="7"/>
      <c r="E441" s="7"/>
      <c r="F441" s="7"/>
      <c r="G441" s="25"/>
      <c r="H441" s="7"/>
      <c r="I441" s="7"/>
      <c r="J441" s="7"/>
      <c r="K441" s="7"/>
      <c r="L441" s="7"/>
      <c r="M441" s="7"/>
      <c r="N441" s="7"/>
      <c r="O441" s="16"/>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row>
    <row r="442" spans="1:52" ht="63" customHeight="1">
      <c r="A442" s="20"/>
      <c r="B442" s="7"/>
      <c r="C442" s="7"/>
      <c r="D442" s="7"/>
      <c r="E442" s="7"/>
      <c r="F442" s="7"/>
      <c r="G442" s="25"/>
      <c r="H442" s="7"/>
      <c r="I442" s="7"/>
      <c r="J442" s="7"/>
      <c r="K442" s="7"/>
      <c r="L442" s="7"/>
      <c r="M442" s="7"/>
      <c r="N442" s="7"/>
      <c r="O442" s="16"/>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row>
    <row r="443" spans="1:52" ht="63" customHeight="1">
      <c r="A443" s="20"/>
      <c r="B443" s="7"/>
      <c r="C443" s="7"/>
      <c r="D443" s="7"/>
      <c r="E443" s="7"/>
      <c r="F443" s="7"/>
      <c r="G443" s="25"/>
      <c r="H443" s="7"/>
      <c r="I443" s="7"/>
      <c r="J443" s="7"/>
      <c r="K443" s="7"/>
      <c r="L443" s="7"/>
      <c r="M443" s="7"/>
      <c r="N443" s="7"/>
      <c r="O443" s="16"/>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row>
    <row r="444" spans="1:52" ht="63" customHeight="1">
      <c r="A444" s="20"/>
      <c r="B444" s="7"/>
      <c r="C444" s="7"/>
      <c r="D444" s="7"/>
      <c r="E444" s="7"/>
      <c r="F444" s="7"/>
      <c r="G444" s="25"/>
      <c r="H444" s="7"/>
      <c r="I444" s="7"/>
      <c r="J444" s="7"/>
      <c r="K444" s="7"/>
      <c r="L444" s="7"/>
      <c r="M444" s="7"/>
      <c r="N444" s="7"/>
      <c r="O444" s="16"/>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row>
    <row r="445" spans="1:52" ht="63" customHeight="1">
      <c r="A445" s="20"/>
      <c r="B445" s="7"/>
      <c r="C445" s="7"/>
      <c r="D445" s="7"/>
      <c r="E445" s="7"/>
      <c r="F445" s="7"/>
      <c r="G445" s="25"/>
      <c r="H445" s="7"/>
      <c r="I445" s="7"/>
      <c r="J445" s="7"/>
      <c r="K445" s="7"/>
      <c r="L445" s="7"/>
      <c r="M445" s="7"/>
      <c r="N445" s="7"/>
      <c r="O445" s="16"/>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row>
    <row r="446" spans="1:52" ht="63" customHeight="1">
      <c r="A446" s="20"/>
      <c r="B446" s="7"/>
      <c r="C446" s="7"/>
      <c r="D446" s="7"/>
      <c r="E446" s="7"/>
      <c r="F446" s="7"/>
      <c r="G446" s="25"/>
      <c r="H446" s="7"/>
      <c r="I446" s="7"/>
      <c r="J446" s="7"/>
      <c r="K446" s="7"/>
      <c r="L446" s="7"/>
      <c r="M446" s="7"/>
      <c r="N446" s="7"/>
      <c r="O446" s="16"/>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row>
    <row r="447" spans="1:52" ht="63" customHeight="1">
      <c r="A447" s="20"/>
      <c r="B447" s="7"/>
      <c r="C447" s="7"/>
      <c r="D447" s="7"/>
      <c r="E447" s="7"/>
      <c r="F447" s="7"/>
      <c r="G447" s="25"/>
      <c r="H447" s="7"/>
      <c r="I447" s="7"/>
      <c r="J447" s="7"/>
      <c r="K447" s="7"/>
      <c r="L447" s="7"/>
      <c r="M447" s="7"/>
      <c r="N447" s="7"/>
      <c r="O447" s="16"/>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row>
    <row r="448" spans="1:52" ht="63" customHeight="1">
      <c r="A448" s="20"/>
      <c r="B448" s="7"/>
      <c r="C448" s="7"/>
      <c r="D448" s="7"/>
      <c r="E448" s="7"/>
      <c r="F448" s="7"/>
      <c r="G448" s="25"/>
      <c r="H448" s="7"/>
      <c r="I448" s="7"/>
      <c r="J448" s="7"/>
      <c r="K448" s="7"/>
      <c r="L448" s="7"/>
      <c r="M448" s="7"/>
      <c r="N448" s="7"/>
      <c r="O448" s="16"/>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row>
    <row r="449" spans="1:52" ht="63" customHeight="1">
      <c r="A449" s="20"/>
      <c r="B449" s="7"/>
      <c r="C449" s="7"/>
      <c r="D449" s="7"/>
      <c r="E449" s="7"/>
      <c r="F449" s="7"/>
      <c r="G449" s="25"/>
      <c r="H449" s="7"/>
      <c r="I449" s="7"/>
      <c r="J449" s="7"/>
      <c r="K449" s="7"/>
      <c r="L449" s="7"/>
      <c r="M449" s="7"/>
      <c r="N449" s="7"/>
      <c r="O449" s="16"/>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row>
    <row r="450" spans="1:52" ht="63" customHeight="1">
      <c r="A450" s="20"/>
      <c r="B450" s="7"/>
      <c r="C450" s="7"/>
      <c r="D450" s="7"/>
      <c r="E450" s="7"/>
      <c r="F450" s="7"/>
      <c r="G450" s="25"/>
      <c r="H450" s="7"/>
      <c r="I450" s="7"/>
      <c r="J450" s="7"/>
      <c r="K450" s="7"/>
      <c r="L450" s="7"/>
      <c r="M450" s="7"/>
      <c r="N450" s="7"/>
      <c r="O450" s="16"/>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row>
    <row r="451" spans="1:52" ht="63" customHeight="1">
      <c r="A451" s="20"/>
      <c r="B451" s="7"/>
      <c r="C451" s="7"/>
      <c r="D451" s="7"/>
      <c r="E451" s="7"/>
      <c r="F451" s="7"/>
      <c r="G451" s="25"/>
      <c r="H451" s="7"/>
      <c r="I451" s="7"/>
      <c r="J451" s="7"/>
      <c r="K451" s="7"/>
      <c r="L451" s="7"/>
      <c r="M451" s="7"/>
      <c r="N451" s="7"/>
      <c r="O451" s="16"/>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row>
    <row r="452" spans="1:52" ht="63" customHeight="1">
      <c r="A452" s="20"/>
      <c r="B452" s="7"/>
      <c r="C452" s="7"/>
      <c r="D452" s="7"/>
      <c r="E452" s="7"/>
      <c r="F452" s="7"/>
      <c r="G452" s="25"/>
      <c r="H452" s="7"/>
      <c r="I452" s="7"/>
      <c r="J452" s="7"/>
      <c r="K452" s="7"/>
      <c r="L452" s="7"/>
      <c r="M452" s="7"/>
      <c r="N452" s="7"/>
      <c r="O452" s="16"/>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row>
    <row r="453" spans="1:52" ht="63" customHeight="1">
      <c r="A453" s="20"/>
      <c r="B453" s="7"/>
      <c r="C453" s="7"/>
      <c r="D453" s="7"/>
      <c r="E453" s="7"/>
      <c r="F453" s="7"/>
      <c r="G453" s="25"/>
      <c r="H453" s="7"/>
      <c r="I453" s="7"/>
      <c r="J453" s="7"/>
      <c r="K453" s="7"/>
      <c r="L453" s="7"/>
      <c r="M453" s="7"/>
      <c r="N453" s="7"/>
      <c r="O453" s="16"/>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row>
    <row r="454" spans="1:52" ht="63" customHeight="1">
      <c r="A454" s="20"/>
      <c r="B454" s="7"/>
      <c r="C454" s="7"/>
      <c r="D454" s="7"/>
      <c r="E454" s="7"/>
      <c r="F454" s="7"/>
      <c r="G454" s="25"/>
      <c r="H454" s="7"/>
      <c r="I454" s="7"/>
      <c r="J454" s="7"/>
      <c r="K454" s="7"/>
      <c r="L454" s="7"/>
      <c r="M454" s="7"/>
      <c r="N454" s="7"/>
      <c r="O454" s="16"/>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row>
    <row r="455" spans="1:52" ht="63" customHeight="1">
      <c r="A455" s="20"/>
      <c r="B455" s="7"/>
      <c r="C455" s="7"/>
      <c r="D455" s="7"/>
      <c r="E455" s="7"/>
      <c r="F455" s="7"/>
      <c r="G455" s="25"/>
      <c r="H455" s="7"/>
      <c r="I455" s="7"/>
      <c r="J455" s="7"/>
      <c r="K455" s="7"/>
      <c r="L455" s="7"/>
      <c r="M455" s="7"/>
      <c r="N455" s="7"/>
      <c r="O455" s="16"/>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row>
    <row r="456" spans="1:52" ht="63" customHeight="1">
      <c r="A456" s="20"/>
      <c r="B456" s="7"/>
      <c r="C456" s="7"/>
      <c r="D456" s="7"/>
      <c r="E456" s="7"/>
      <c r="F456" s="7"/>
      <c r="G456" s="25"/>
      <c r="H456" s="7"/>
      <c r="I456" s="7"/>
      <c r="J456" s="7"/>
      <c r="K456" s="7"/>
      <c r="L456" s="7"/>
      <c r="M456" s="7"/>
      <c r="N456" s="7"/>
      <c r="O456" s="16"/>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row>
    <row r="457" spans="1:52" ht="63" customHeight="1">
      <c r="A457" s="20"/>
      <c r="B457" s="7"/>
      <c r="C457" s="7"/>
      <c r="D457" s="7"/>
      <c r="E457" s="7"/>
      <c r="F457" s="7"/>
      <c r="G457" s="25"/>
      <c r="H457" s="7"/>
      <c r="I457" s="7"/>
      <c r="J457" s="7"/>
      <c r="K457" s="7"/>
      <c r="L457" s="7"/>
      <c r="M457" s="7"/>
      <c r="N457" s="7"/>
      <c r="O457" s="16"/>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row>
    <row r="458" spans="1:52" ht="63" customHeight="1">
      <c r="A458" s="20"/>
      <c r="B458" s="7"/>
      <c r="C458" s="7"/>
      <c r="D458" s="7"/>
      <c r="E458" s="7"/>
      <c r="F458" s="7"/>
      <c r="G458" s="25"/>
      <c r="H458" s="7"/>
      <c r="I458" s="7"/>
      <c r="J458" s="7"/>
      <c r="K458" s="7"/>
      <c r="L458" s="7"/>
      <c r="M458" s="7"/>
      <c r="N458" s="7"/>
      <c r="O458" s="16"/>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row>
    <row r="459" spans="1:52" ht="15.75" customHeight="1"/>
    <row r="460" spans="1:52" ht="15.75" customHeight="1"/>
    <row r="461" spans="1:52" ht="15.75" customHeight="1"/>
    <row r="462" spans="1:52" ht="15.75" customHeight="1"/>
    <row r="463" spans="1:52" ht="15.75" customHeight="1"/>
    <row r="464" spans="1:52"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autoFilter ref="A2:AZ458" xr:uid="{00000000-0009-0000-0000-000000000000}"/>
  <mergeCells count="2">
    <mergeCell ref="X1:Z1"/>
    <mergeCell ref="AA1:AC1"/>
  </mergeCells>
  <conditionalFormatting sqref="O1 O6 O19:O24 O30 O36 O38 O42 O83 O120 O137 O145:O146 O217 O225 O231 O243:O244 O250:O1002">
    <cfRule type="notContainsBlanks" dxfId="0" priority="1">
      <formula>LEN(TRIM(O1))&gt;0</formula>
    </cfRule>
  </conditionalFormatting>
  <hyperlinks>
    <hyperlink ref="J3" r:id="rId1" xr:uid="{00000000-0004-0000-0000-000000000000}"/>
    <hyperlink ref="I6" r:id="rId2" xr:uid="{00000000-0004-0000-0000-000001000000}"/>
    <hyperlink ref="J6" r:id="rId3" xr:uid="{00000000-0004-0000-0000-000002000000}"/>
    <hyperlink ref="J9" r:id="rId4" xr:uid="{00000000-0004-0000-0000-000003000000}"/>
    <hyperlink ref="J14" r:id="rId5" xr:uid="{00000000-0004-0000-0000-000004000000}"/>
    <hyperlink ref="J18" r:id="rId6" xr:uid="{00000000-0004-0000-0000-000005000000}"/>
    <hyperlink ref="I20" r:id="rId7" xr:uid="{00000000-0004-0000-0000-000006000000}"/>
    <hyperlink ref="J20" r:id="rId8" xr:uid="{00000000-0004-0000-0000-000007000000}"/>
    <hyperlink ref="J24" r:id="rId9" xr:uid="{00000000-0004-0000-0000-000008000000}"/>
    <hyperlink ref="I26" r:id="rId10" xr:uid="{00000000-0004-0000-0000-000009000000}"/>
    <hyperlink ref="J26" r:id="rId11" xr:uid="{00000000-0004-0000-0000-00000A000000}"/>
    <hyperlink ref="J27" r:id="rId12" xr:uid="{00000000-0004-0000-0000-00000B000000}"/>
    <hyperlink ref="I58" r:id="rId13" xr:uid="{00000000-0004-0000-0000-00000C000000}"/>
    <hyperlink ref="J58" r:id="rId14" xr:uid="{00000000-0004-0000-0000-00000D000000}"/>
    <hyperlink ref="J63" r:id="rId15" xr:uid="{00000000-0004-0000-0000-00000E000000}"/>
    <hyperlink ref="I65" r:id="rId16" xr:uid="{00000000-0004-0000-0000-00000F000000}"/>
    <hyperlink ref="J65" r:id="rId17" xr:uid="{00000000-0004-0000-0000-000010000000}"/>
    <hyperlink ref="J74" r:id="rId18" xr:uid="{00000000-0004-0000-0000-000011000000}"/>
    <hyperlink ref="J83" r:id="rId19" xr:uid="{00000000-0004-0000-0000-000012000000}"/>
    <hyperlink ref="J85" r:id="rId20" xr:uid="{00000000-0004-0000-0000-000013000000}"/>
    <hyperlink ref="J87" r:id="rId21" xr:uid="{00000000-0004-0000-0000-000014000000}"/>
    <hyperlink ref="J94" r:id="rId22" xr:uid="{00000000-0004-0000-0000-000015000000}"/>
    <hyperlink ref="I97" r:id="rId23" xr:uid="{00000000-0004-0000-0000-000016000000}"/>
    <hyperlink ref="J97" r:id="rId24" xr:uid="{00000000-0004-0000-0000-000017000000}"/>
    <hyperlink ref="J99" r:id="rId25" xr:uid="{00000000-0004-0000-0000-000018000000}"/>
    <hyperlink ref="J100" r:id="rId26" xr:uid="{00000000-0004-0000-0000-000019000000}"/>
    <hyperlink ref="J101" r:id="rId27" xr:uid="{00000000-0004-0000-0000-00001A000000}"/>
    <hyperlink ref="J102" r:id="rId28" xr:uid="{00000000-0004-0000-0000-00001B000000}"/>
    <hyperlink ref="J106" r:id="rId29" xr:uid="{00000000-0004-0000-0000-00001C000000}"/>
    <hyperlink ref="I112" r:id="rId30" xr:uid="{00000000-0004-0000-0000-00001D000000}"/>
    <hyperlink ref="I114" r:id="rId31" xr:uid="{00000000-0004-0000-0000-00001E000000}"/>
    <hyperlink ref="J115" r:id="rId32" xr:uid="{00000000-0004-0000-0000-00001F000000}"/>
    <hyperlink ref="I122" r:id="rId33" xr:uid="{00000000-0004-0000-0000-000020000000}"/>
    <hyperlink ref="I139" r:id="rId34" xr:uid="{00000000-0004-0000-0000-000021000000}"/>
    <hyperlink ref="J141" r:id="rId35" xr:uid="{00000000-0004-0000-0000-000022000000}"/>
    <hyperlink ref="J142" r:id="rId36" xr:uid="{00000000-0004-0000-0000-000023000000}"/>
    <hyperlink ref="J146" r:id="rId37" xr:uid="{00000000-0004-0000-0000-000024000000}"/>
    <hyperlink ref="J147" r:id="rId38" xr:uid="{00000000-0004-0000-0000-000025000000}"/>
    <hyperlink ref="J150" r:id="rId39" xr:uid="{00000000-0004-0000-0000-000026000000}"/>
    <hyperlink ref="I155" r:id="rId40" xr:uid="{00000000-0004-0000-0000-000027000000}"/>
    <hyperlink ref="J155" r:id="rId41" xr:uid="{00000000-0004-0000-0000-000028000000}"/>
    <hyperlink ref="J158" r:id="rId42" xr:uid="{00000000-0004-0000-0000-000029000000}"/>
    <hyperlink ref="J159" r:id="rId43" xr:uid="{00000000-0004-0000-0000-00002A000000}"/>
    <hyperlink ref="I161" r:id="rId44" xr:uid="{00000000-0004-0000-0000-00002B000000}"/>
    <hyperlink ref="I169" r:id="rId45" xr:uid="{00000000-0004-0000-0000-00002C000000}"/>
    <hyperlink ref="J169" r:id="rId46" xr:uid="{00000000-0004-0000-0000-00002D000000}"/>
    <hyperlink ref="I171" r:id="rId47" xr:uid="{00000000-0004-0000-0000-00002E000000}"/>
    <hyperlink ref="J171" r:id="rId48" xr:uid="{00000000-0004-0000-0000-00002F000000}"/>
    <hyperlink ref="J184" r:id="rId49" xr:uid="{00000000-0004-0000-0000-000030000000}"/>
    <hyperlink ref="I188" r:id="rId50" xr:uid="{00000000-0004-0000-0000-000031000000}"/>
    <hyperlink ref="I191" r:id="rId51" xr:uid="{00000000-0004-0000-0000-000032000000}"/>
    <hyperlink ref="J194" r:id="rId52" xr:uid="{00000000-0004-0000-0000-000033000000}"/>
    <hyperlink ref="I196" r:id="rId53" xr:uid="{00000000-0004-0000-0000-000034000000}"/>
    <hyperlink ref="I201" r:id="rId54" xr:uid="{00000000-0004-0000-0000-000035000000}"/>
    <hyperlink ref="J201" r:id="rId55" xr:uid="{00000000-0004-0000-0000-000036000000}"/>
    <hyperlink ref="I206" r:id="rId56" xr:uid="{00000000-0004-0000-0000-000037000000}"/>
    <hyperlink ref="J208" r:id="rId57" xr:uid="{00000000-0004-0000-0000-000038000000}"/>
    <hyperlink ref="J213" r:id="rId58" xr:uid="{00000000-0004-0000-0000-000039000000}"/>
    <hyperlink ref="J216" r:id="rId59" xr:uid="{00000000-0004-0000-0000-00003A000000}"/>
    <hyperlink ref="J221" r:id="rId60" xr:uid="{00000000-0004-0000-0000-00003B000000}"/>
    <hyperlink ref="I225" r:id="rId61" xr:uid="{00000000-0004-0000-0000-00003C000000}"/>
    <hyperlink ref="J225" r:id="rId62" xr:uid="{00000000-0004-0000-0000-00003D000000}"/>
    <hyperlink ref="J229" r:id="rId63" xr:uid="{00000000-0004-0000-0000-00003E000000}"/>
    <hyperlink ref="J232" r:id="rId64" xr:uid="{00000000-0004-0000-0000-00003F000000}"/>
    <hyperlink ref="J240" r:id="rId65" xr:uid="{00000000-0004-0000-0000-000040000000}"/>
    <hyperlink ref="I241" r:id="rId66" xr:uid="{00000000-0004-0000-0000-000041000000}"/>
    <hyperlink ref="J243" r:id="rId67" xr:uid="{00000000-0004-0000-0000-000042000000}"/>
  </hyperlinks>
  <printOptions horizontalCentered="1" gridLines="1"/>
  <pageMargins left="0.25" right="0.25" top="0.75" bottom="0.7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For publication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2020-07-21T16:12:13Z</dcterms:created>
  <dcterms:modified xsi:type="dcterms:W3CDTF">2020-07-22T12:45:01Z</dcterms:modified>
</cp:coreProperties>
</file>