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2"/>
  <workbookPr/>
  <mc:AlternateContent xmlns:mc="http://schemas.openxmlformats.org/markup-compatibility/2006">
    <mc:Choice Requires="x15">
      <x15ac:absPath xmlns:x15ac="http://schemas.microsoft.com/office/spreadsheetml/2010/11/ac" url="/Users/emily.reacher/Documents/"/>
    </mc:Choice>
  </mc:AlternateContent>
  <xr:revisionPtr revIDLastSave="0" documentId="8_{4FF176B7-502F-FC46-B2AE-5143A6A703F6}" xr6:coauthVersionLast="36" xr6:coauthVersionMax="36" xr10:uidLastSave="{00000000-0000-0000-0000-000000000000}"/>
  <bookViews>
    <workbookView xWindow="0" yWindow="460" windowWidth="28800" windowHeight="15940" xr2:uid="{00000000-000D-0000-FFFF-FFFF00000000}"/>
  </bookViews>
  <sheets>
    <sheet name="For publication" sheetId="1" r:id="rId1"/>
  </sheets>
  <definedNames>
    <definedName name="_xlnm._FilterDatabase" localSheetId="0" hidden="1">'For publication'!$A$2:$AZ$458</definedName>
  </definedNames>
  <calcPr calcId="181029"/>
  <extLst>
    <ext uri="GoogleSheetsCustomDataVersion1">
      <go:sheetsCustomData xmlns:go="http://customooxmlschemas.google.com/" r:id="rId5" roundtripDataSignature="AMtx7mjvRUEVzS8BodBTEriRxRb7ZLSEYw=="/>
    </ext>
  </extLst>
</workbook>
</file>

<file path=xl/calcChain.xml><?xml version="1.0" encoding="utf-8"?>
<calcChain xmlns="http://schemas.openxmlformats.org/spreadsheetml/2006/main">
  <c r="Z258" i="1" l="1"/>
  <c r="Z257" i="1"/>
  <c r="Z256" i="1"/>
  <c r="Z255" i="1"/>
  <c r="Z254" i="1"/>
  <c r="Z253" i="1"/>
  <c r="Z252" i="1"/>
  <c r="Z251" i="1"/>
  <c r="Z250" i="1"/>
  <c r="J246" i="1"/>
  <c r="I246" i="1"/>
  <c r="Z245" i="1"/>
  <c r="J245" i="1"/>
  <c r="I245" i="1"/>
  <c r="Z244" i="1"/>
  <c r="J244" i="1"/>
  <c r="I244" i="1"/>
  <c r="Z243" i="1"/>
  <c r="I243" i="1"/>
  <c r="Z242" i="1"/>
  <c r="J242" i="1"/>
  <c r="I242" i="1"/>
  <c r="Z241" i="1"/>
  <c r="J241" i="1"/>
  <c r="Z240" i="1"/>
  <c r="I240" i="1"/>
  <c r="J239" i="1"/>
  <c r="I239" i="1"/>
  <c r="J238" i="1"/>
  <c r="I238" i="1"/>
  <c r="J237" i="1"/>
  <c r="I237" i="1"/>
  <c r="Z236" i="1"/>
  <c r="J236" i="1"/>
  <c r="I236" i="1"/>
  <c r="J235" i="1"/>
  <c r="I235" i="1"/>
  <c r="J234" i="1"/>
  <c r="I234" i="1"/>
  <c r="I232" i="1"/>
  <c r="J231" i="1"/>
  <c r="I231" i="1"/>
  <c r="J230" i="1"/>
  <c r="I230" i="1"/>
  <c r="I229" i="1"/>
  <c r="Z228" i="1"/>
  <c r="J228" i="1"/>
  <c r="I228" i="1"/>
  <c r="Z227" i="1"/>
  <c r="J227" i="1"/>
  <c r="I227" i="1"/>
  <c r="Z226" i="1"/>
  <c r="J226" i="1"/>
  <c r="I226" i="1"/>
  <c r="Z225" i="1"/>
  <c r="J224" i="1"/>
  <c r="I224" i="1"/>
  <c r="Z223" i="1"/>
  <c r="J223" i="1"/>
  <c r="I223" i="1"/>
  <c r="J222" i="1"/>
  <c r="I222" i="1"/>
  <c r="Z221" i="1"/>
  <c r="I221" i="1"/>
  <c r="J220" i="1"/>
  <c r="I220" i="1"/>
  <c r="J219" i="1"/>
  <c r="I219" i="1"/>
  <c r="Z218" i="1"/>
  <c r="J218" i="1"/>
  <c r="I218" i="1"/>
  <c r="J217" i="1"/>
  <c r="I216" i="1"/>
  <c r="Z215" i="1"/>
  <c r="J215" i="1"/>
  <c r="I215" i="1"/>
  <c r="J214" i="1"/>
  <c r="I214" i="1"/>
  <c r="Z213" i="1"/>
  <c r="I213" i="1"/>
  <c r="J212" i="1"/>
  <c r="J211" i="1"/>
  <c r="I211" i="1"/>
  <c r="J210" i="1"/>
  <c r="I210" i="1"/>
  <c r="J209" i="1"/>
  <c r="I209" i="1"/>
  <c r="Z208" i="1"/>
  <c r="I208" i="1"/>
  <c r="J207" i="1"/>
  <c r="I207" i="1"/>
  <c r="J206" i="1"/>
  <c r="J205" i="1"/>
  <c r="I205" i="1"/>
  <c r="J204" i="1"/>
  <c r="I204" i="1"/>
  <c r="Z203" i="1"/>
  <c r="J203" i="1"/>
  <c r="I203" i="1"/>
  <c r="J202" i="1"/>
  <c r="I202" i="1"/>
  <c r="J200" i="1"/>
  <c r="I200" i="1"/>
  <c r="J199" i="1"/>
  <c r="I199" i="1"/>
  <c r="AA198" i="1"/>
  <c r="J198" i="1"/>
  <c r="I198" i="1"/>
  <c r="J197" i="1"/>
  <c r="I197" i="1"/>
  <c r="Z196" i="1"/>
  <c r="J196" i="1"/>
  <c r="X195" i="1"/>
  <c r="J195" i="1"/>
  <c r="I195" i="1"/>
  <c r="AA194" i="1"/>
  <c r="Z194" i="1"/>
  <c r="I194" i="1"/>
  <c r="J193" i="1"/>
  <c r="I193" i="1"/>
  <c r="J192" i="1"/>
  <c r="I192" i="1"/>
  <c r="Z191" i="1"/>
  <c r="J191" i="1"/>
  <c r="J190" i="1"/>
  <c r="I190" i="1"/>
  <c r="Z189" i="1"/>
  <c r="J189" i="1"/>
  <c r="I189" i="1"/>
  <c r="J188" i="1"/>
  <c r="J187" i="1"/>
  <c r="I187" i="1"/>
  <c r="Z186" i="1"/>
  <c r="J186" i="1"/>
  <c r="I186" i="1"/>
  <c r="Z185" i="1"/>
  <c r="J185" i="1"/>
  <c r="I185" i="1"/>
  <c r="Z184" i="1"/>
  <c r="I184" i="1"/>
  <c r="J183" i="1"/>
  <c r="I183" i="1"/>
  <c r="J182" i="1"/>
  <c r="I182" i="1"/>
  <c r="Z181" i="1"/>
  <c r="J181" i="1"/>
  <c r="I181" i="1"/>
  <c r="J180" i="1"/>
  <c r="I180" i="1"/>
  <c r="Z179" i="1"/>
  <c r="J179" i="1"/>
  <c r="I179" i="1"/>
  <c r="Z178" i="1"/>
  <c r="J178" i="1"/>
  <c r="I178" i="1"/>
  <c r="I177" i="1"/>
  <c r="J176" i="1"/>
  <c r="J175" i="1"/>
  <c r="J174" i="1"/>
  <c r="I174" i="1"/>
  <c r="Z173" i="1"/>
  <c r="J173" i="1"/>
  <c r="I173" i="1"/>
  <c r="AA172" i="1"/>
  <c r="J172" i="1"/>
  <c r="I172" i="1"/>
  <c r="J170" i="1"/>
  <c r="I170" i="1"/>
  <c r="J168" i="1"/>
  <c r="I168" i="1"/>
  <c r="Z167" i="1"/>
  <c r="J167" i="1"/>
  <c r="I167" i="1"/>
  <c r="J166" i="1"/>
  <c r="I166" i="1"/>
  <c r="J165" i="1"/>
  <c r="I165" i="1"/>
  <c r="J164" i="1"/>
  <c r="I164" i="1"/>
  <c r="X163" i="1"/>
  <c r="I163" i="1"/>
  <c r="AA162" i="1"/>
  <c r="Z162" i="1"/>
  <c r="J162" i="1"/>
  <c r="I162" i="1"/>
  <c r="J161" i="1"/>
  <c r="Z160" i="1"/>
  <c r="J160" i="1"/>
  <c r="I160" i="1"/>
  <c r="I159" i="1"/>
  <c r="I158" i="1"/>
  <c r="Z157" i="1"/>
  <c r="J157" i="1"/>
  <c r="I157" i="1"/>
  <c r="Z156" i="1"/>
  <c r="J156" i="1"/>
  <c r="I156" i="1"/>
  <c r="J154" i="1"/>
  <c r="I154" i="1"/>
  <c r="Z153" i="1"/>
  <c r="J153" i="1"/>
  <c r="I153" i="1"/>
  <c r="Z152" i="1"/>
  <c r="J152" i="1"/>
  <c r="I152" i="1"/>
  <c r="Z151" i="1"/>
  <c r="J151" i="1"/>
  <c r="I151" i="1"/>
  <c r="Z150" i="1"/>
  <c r="I150" i="1"/>
  <c r="J149" i="1"/>
  <c r="I149" i="1"/>
  <c r="Z148" i="1"/>
  <c r="J148" i="1"/>
  <c r="I148" i="1"/>
  <c r="Z147" i="1"/>
  <c r="I147" i="1"/>
  <c r="Z146" i="1"/>
  <c r="I146" i="1"/>
  <c r="Z145" i="1"/>
  <c r="J145" i="1"/>
  <c r="I145" i="1"/>
  <c r="Z144" i="1"/>
  <c r="J144" i="1"/>
  <c r="I144" i="1"/>
  <c r="J143" i="1"/>
  <c r="I143" i="1"/>
  <c r="Z142" i="1"/>
  <c r="I142" i="1"/>
  <c r="Z141" i="1"/>
  <c r="I141" i="1"/>
  <c r="X140" i="1"/>
  <c r="Z140" i="1" s="1"/>
  <c r="J140" i="1"/>
  <c r="I140" i="1"/>
  <c r="J139" i="1"/>
  <c r="J138" i="1"/>
  <c r="I138" i="1"/>
  <c r="J137" i="1"/>
  <c r="I137" i="1"/>
  <c r="Z136" i="1"/>
  <c r="J136" i="1"/>
  <c r="I136" i="1"/>
  <c r="J135" i="1"/>
  <c r="I135" i="1"/>
  <c r="Z134" i="1"/>
  <c r="J134" i="1"/>
  <c r="I134" i="1"/>
  <c r="J133" i="1"/>
  <c r="I133" i="1"/>
  <c r="J132" i="1"/>
  <c r="I132" i="1"/>
  <c r="AA131" i="1"/>
  <c r="J131" i="1"/>
  <c r="I131" i="1"/>
  <c r="J130" i="1"/>
  <c r="I130" i="1"/>
  <c r="J129" i="1"/>
  <c r="I129" i="1"/>
  <c r="J128" i="1"/>
  <c r="I128" i="1"/>
  <c r="Z127" i="1"/>
  <c r="J127" i="1"/>
  <c r="I127" i="1"/>
  <c r="Z126" i="1"/>
  <c r="J126" i="1"/>
  <c r="I126" i="1"/>
  <c r="J125" i="1"/>
  <c r="I125" i="1"/>
  <c r="Z124" i="1"/>
  <c r="J124" i="1"/>
  <c r="I124" i="1"/>
  <c r="J123" i="1"/>
  <c r="I123" i="1"/>
  <c r="J121" i="1"/>
  <c r="I121" i="1"/>
  <c r="J120" i="1"/>
  <c r="I120" i="1"/>
  <c r="Z119" i="1"/>
  <c r="J119" i="1"/>
  <c r="I119" i="1"/>
  <c r="J118" i="1"/>
  <c r="I118" i="1"/>
  <c r="Z117" i="1"/>
  <c r="J117" i="1"/>
  <c r="I117" i="1"/>
  <c r="J116" i="1"/>
  <c r="Z115" i="1"/>
  <c r="I115" i="1"/>
  <c r="J114" i="1"/>
  <c r="J113" i="1"/>
  <c r="I113" i="1"/>
  <c r="J112" i="1"/>
  <c r="J111" i="1"/>
  <c r="I111" i="1"/>
  <c r="J110" i="1"/>
  <c r="I110" i="1"/>
  <c r="J109" i="1"/>
  <c r="I109" i="1"/>
  <c r="J108" i="1"/>
  <c r="I108" i="1"/>
  <c r="J107" i="1"/>
  <c r="I107" i="1"/>
  <c r="Z106" i="1"/>
  <c r="I106" i="1"/>
  <c r="J105" i="1"/>
  <c r="I105" i="1"/>
  <c r="J104" i="1"/>
  <c r="I104" i="1"/>
  <c r="J103" i="1"/>
  <c r="I103" i="1"/>
  <c r="Z102" i="1"/>
  <c r="I102" i="1"/>
  <c r="Z101" i="1"/>
  <c r="I101" i="1"/>
  <c r="I100" i="1"/>
  <c r="Z99" i="1"/>
  <c r="I99" i="1"/>
  <c r="J98" i="1"/>
  <c r="I98" i="1"/>
  <c r="J96" i="1"/>
  <c r="I96" i="1"/>
  <c r="Z95" i="1"/>
  <c r="J95" i="1"/>
  <c r="I95" i="1"/>
  <c r="I94" i="1"/>
  <c r="Z93" i="1"/>
  <c r="J93" i="1"/>
  <c r="I93" i="1"/>
  <c r="J92" i="1"/>
  <c r="I92" i="1"/>
  <c r="J91" i="1"/>
  <c r="I91" i="1"/>
  <c r="J90" i="1"/>
  <c r="I90" i="1"/>
  <c r="J89" i="1"/>
  <c r="I89" i="1"/>
  <c r="J88" i="1"/>
  <c r="I88" i="1"/>
  <c r="I87" i="1"/>
  <c r="Z86" i="1"/>
  <c r="J86" i="1"/>
  <c r="I86" i="1"/>
  <c r="Z85" i="1"/>
  <c r="I85" i="1"/>
  <c r="J84" i="1"/>
  <c r="I84" i="1"/>
  <c r="Z83" i="1"/>
  <c r="I83" i="1"/>
  <c r="J82" i="1"/>
  <c r="I82" i="1"/>
  <c r="J81" i="1"/>
  <c r="I81" i="1"/>
  <c r="J79" i="1"/>
  <c r="I79" i="1"/>
  <c r="Z77" i="1"/>
  <c r="J77" i="1"/>
  <c r="I77" i="1"/>
  <c r="J76" i="1"/>
  <c r="I76" i="1"/>
  <c r="J75" i="1"/>
  <c r="I75" i="1"/>
  <c r="I74" i="1"/>
  <c r="J73" i="1"/>
  <c r="I73" i="1"/>
  <c r="Z72" i="1"/>
  <c r="J72" i="1"/>
  <c r="I72" i="1"/>
  <c r="Y71" i="1"/>
  <c r="AA71" i="1" s="1"/>
  <c r="J71" i="1"/>
  <c r="I71" i="1"/>
  <c r="J70" i="1"/>
  <c r="I70" i="1"/>
  <c r="J69" i="1"/>
  <c r="I69" i="1"/>
  <c r="Z68" i="1"/>
  <c r="J68" i="1"/>
  <c r="I68" i="1"/>
  <c r="J67" i="1"/>
  <c r="I67" i="1"/>
  <c r="Z66" i="1"/>
  <c r="J66" i="1"/>
  <c r="I66" i="1"/>
  <c r="Z64" i="1"/>
  <c r="J64" i="1"/>
  <c r="I64" i="1"/>
  <c r="I63" i="1"/>
  <c r="Z62" i="1"/>
  <c r="J62" i="1"/>
  <c r="I62" i="1"/>
  <c r="J61" i="1"/>
  <c r="I61" i="1"/>
  <c r="J60" i="1"/>
  <c r="I60" i="1"/>
  <c r="J59" i="1"/>
  <c r="I59" i="1"/>
  <c r="AA57" i="1"/>
  <c r="J57" i="1"/>
  <c r="I57" i="1"/>
  <c r="J56" i="1"/>
  <c r="I56" i="1"/>
  <c r="J55" i="1"/>
  <c r="I55" i="1"/>
  <c r="J54" i="1"/>
  <c r="I54" i="1"/>
  <c r="J53" i="1"/>
  <c r="I53" i="1"/>
  <c r="J52" i="1"/>
  <c r="I52" i="1"/>
  <c r="Z51" i="1"/>
  <c r="J51" i="1"/>
  <c r="I51" i="1"/>
  <c r="Z50" i="1"/>
  <c r="J50" i="1"/>
  <c r="I50" i="1"/>
  <c r="J49" i="1"/>
  <c r="I49" i="1"/>
  <c r="J48" i="1"/>
  <c r="I48" i="1"/>
  <c r="J47" i="1"/>
  <c r="I47" i="1"/>
  <c r="J46" i="1"/>
  <c r="I46" i="1"/>
  <c r="J45" i="1"/>
  <c r="I45" i="1"/>
  <c r="J44" i="1"/>
  <c r="I44" i="1"/>
  <c r="J43" i="1"/>
  <c r="I43" i="1"/>
  <c r="J42" i="1"/>
  <c r="J41" i="1"/>
  <c r="I41" i="1"/>
  <c r="J40" i="1"/>
  <c r="I40" i="1"/>
  <c r="J39" i="1"/>
  <c r="I39" i="1"/>
  <c r="J38" i="1"/>
  <c r="I38" i="1"/>
  <c r="J37" i="1"/>
  <c r="I37" i="1"/>
  <c r="J36" i="1"/>
  <c r="I36" i="1"/>
  <c r="J35" i="1"/>
  <c r="I35" i="1"/>
  <c r="AB34" i="1"/>
  <c r="AA34" i="1"/>
  <c r="Z34" i="1"/>
  <c r="J34" i="1"/>
  <c r="I34" i="1"/>
  <c r="J33" i="1"/>
  <c r="I33" i="1"/>
  <c r="J32" i="1"/>
  <c r="I32" i="1"/>
  <c r="J31" i="1"/>
  <c r="I31" i="1"/>
  <c r="J30" i="1"/>
  <c r="I30" i="1"/>
  <c r="J29" i="1"/>
  <c r="I29" i="1"/>
  <c r="J28" i="1"/>
  <c r="I28" i="1"/>
  <c r="I27" i="1"/>
  <c r="J25" i="1"/>
  <c r="I25" i="1"/>
  <c r="I24" i="1"/>
  <c r="J23" i="1"/>
  <c r="I23" i="1"/>
  <c r="J22" i="1"/>
  <c r="I22" i="1"/>
  <c r="J21" i="1"/>
  <c r="I21" i="1"/>
  <c r="J19" i="1"/>
  <c r="I19" i="1"/>
  <c r="I18" i="1"/>
  <c r="J17" i="1"/>
  <c r="I17" i="1"/>
  <c r="J16" i="1"/>
  <c r="I16" i="1"/>
  <c r="J15" i="1"/>
  <c r="I15" i="1"/>
  <c r="I14" i="1"/>
  <c r="J13" i="1"/>
  <c r="I13" i="1"/>
  <c r="J12" i="1"/>
  <c r="I12" i="1"/>
  <c r="J11" i="1"/>
  <c r="I11" i="1"/>
  <c r="J10" i="1"/>
  <c r="I10" i="1"/>
  <c r="I9" i="1"/>
  <c r="J8" i="1"/>
  <c r="I8" i="1"/>
  <c r="J7" i="1"/>
  <c r="I7" i="1"/>
  <c r="J5" i="1"/>
  <c r="I5" i="1"/>
  <c r="J4" i="1"/>
  <c r="I4" i="1"/>
  <c r="I3" i="1"/>
</calcChain>
</file>

<file path=xl/sharedStrings.xml><?xml version="1.0" encoding="utf-8"?>
<sst xmlns="http://schemas.openxmlformats.org/spreadsheetml/2006/main" count="3775" uniqueCount="1265">
  <si>
    <t>Income £000s</t>
  </si>
  <si>
    <t>Expenditure £000s</t>
  </si>
  <si>
    <t>Name</t>
  </si>
  <si>
    <t xml:space="preserve">Number of Bodies </t>
  </si>
  <si>
    <t>Sponsor Department</t>
  </si>
  <si>
    <t>Classification</t>
  </si>
  <si>
    <t>Regulatory Function</t>
  </si>
  <si>
    <t>Description / Terms of Reference</t>
  </si>
  <si>
    <t>Date Established</t>
  </si>
  <si>
    <t>Notes</t>
  </si>
  <si>
    <t>Email</t>
  </si>
  <si>
    <t>Website</t>
  </si>
  <si>
    <t>Senior Responsible Sponsor</t>
  </si>
  <si>
    <t>Chair</t>
  </si>
  <si>
    <t>Chair: Ministerial or Non-ministerial Appointment?</t>
  </si>
  <si>
    <t>Is the Chair Remunerated?</t>
  </si>
  <si>
    <t>Chair's Remuneration</t>
  </si>
  <si>
    <t>Remuneration received is per day, week, month, or year?</t>
  </si>
  <si>
    <t>Chair's Time Commitment</t>
  </si>
  <si>
    <t>Public Meetings</t>
  </si>
  <si>
    <t>Public Minutes</t>
  </si>
  <si>
    <t>Register of Interests</t>
  </si>
  <si>
    <t>Ombudsman</t>
  </si>
  <si>
    <t>Last Review</t>
  </si>
  <si>
    <t>Total FTE Staff Employed</t>
  </si>
  <si>
    <t xml:space="preserve">Government Funding </t>
  </si>
  <si>
    <t>Income</t>
  </si>
  <si>
    <t>Total Income</t>
  </si>
  <si>
    <t>Expenditure: RDEL</t>
  </si>
  <si>
    <t>Expenditure: CDEL</t>
  </si>
  <si>
    <t>Expenditure: RAME</t>
  </si>
  <si>
    <t>Supporting Comments on Expenditure and Income</t>
  </si>
  <si>
    <t>Present on OIC</t>
  </si>
  <si>
    <t>Supporting Comments</t>
  </si>
  <si>
    <t>Advisory Committee on Animal Feeding Stuffs</t>
  </si>
  <si>
    <t>Food Standards Agency</t>
  </si>
  <si>
    <t>Advisory NDPB</t>
  </si>
  <si>
    <t xml:space="preserve">No </t>
  </si>
  <si>
    <t>Provide advice to agricultural departments and the FSA, on the safety and use of animal feeds and feeding practices, with particular emphasis on protecting human health and with reference to new technical developments. </t>
  </si>
  <si>
    <t>https://acaf.food.gov.uk/</t>
  </si>
  <si>
    <t>Michael Wight, Deputy Director - Food Policy</t>
  </si>
  <si>
    <t>Dr Ian Brown</t>
  </si>
  <si>
    <t>Ministerial</t>
  </si>
  <si>
    <t xml:space="preserve">Yes </t>
  </si>
  <si>
    <t>Day</t>
  </si>
  <si>
    <t>Approx. 10 days per year</t>
  </si>
  <si>
    <t>N/A</t>
  </si>
  <si>
    <t>Advisory Committee on Business Appointments, excluding political members</t>
  </si>
  <si>
    <t xml:space="preserve">Cabinet Office </t>
  </si>
  <si>
    <t>The Committee provides independent advice when a senior Crown servant or former Minister leaves office and wishes to take up an outside appointment or employment.</t>
  </si>
  <si>
    <t>Tristan Pedelty, Director for Public Bodies, Public Appointments and Propriety &amp; Ethics</t>
  </si>
  <si>
    <t>Baroness Angela Browning</t>
  </si>
  <si>
    <t>Year</t>
  </si>
  <si>
    <t>Varied</t>
  </si>
  <si>
    <t>Parliamentary and Health Service Ombudsman</t>
  </si>
  <si>
    <t>The Committee’s secretariat support is provided by the Civil Service Commission and the Committee's expenditure figures are published in the Civil Service Commission’s audited Accounts</t>
  </si>
  <si>
    <t>Yes</t>
  </si>
  <si>
    <t>Advisory Committee on Clinical Excellence Awards, Chair and Medical Director only</t>
  </si>
  <si>
    <t>Department of Health and Social Care</t>
  </si>
  <si>
    <t>ACCEA administers the national Clinical Excellence Awards scheme. It advises Ministers on which applicant consultant doctors and dentists and academic GPs should receive new awards (monetary bonuses) and whether existing award holders have provided satisfactory evidence for renewal.</t>
  </si>
  <si>
    <t>Lee McDonough, Director General, Acute Care and Workforce</t>
  </si>
  <si>
    <t>Stuart Dollow</t>
  </si>
  <si>
    <t xml:space="preserve">Up to two days per week </t>
  </si>
  <si>
    <t>No</t>
  </si>
  <si>
    <t>Advisory Committee on Conscientious Objectors</t>
  </si>
  <si>
    <t xml:space="preserve">Ministry of Defence </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</si>
  <si>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</si>
  <si>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tracy.sexton743@mod.gov.uk</t>
  </si>
  <si>
    <t>https://www.gov.uk/government/organisations/advisory-committee-on-conscientious-objectors</t>
  </si>
  <si>
    <t>Adrian Sharman, DIPR Business Hd</t>
  </si>
  <si>
    <t>HH Judge Joanna Korner CMG QC</t>
  </si>
  <si>
    <t>Non-Ministerial</t>
  </si>
  <si>
    <t>DECA is tasked to cover its costs and make a profit by carrying out Maintenance, Repair, Overhaul and Upgrade tasks for the MOD and commercial customers through long and short term contracts.</t>
  </si>
  <si>
    <t>Advisory Committee on Novel Foods and Processes</t>
  </si>
  <si>
    <t>Provides risk assessment advise on issues associated with novel foods and processses as well as Genetically Modified Food and Feed.</t>
  </si>
  <si>
    <t>Rick Mumford, Deputy Director - Science, Evidence &amp; Research</t>
  </si>
  <si>
    <t>Professor Peter Gregory</t>
  </si>
  <si>
    <t>Approx. 10 day per year</t>
  </si>
  <si>
    <t>Advisory Committee on Releases to the Environment</t>
  </si>
  <si>
    <t>Department for Environment, Food and Rural Affairs</t>
  </si>
  <si>
    <t>To advise Government on the risks to human health and the environment from the release of genetically modified organisms.</t>
  </si>
  <si>
    <t>Tim Mordan, Deputy Director,
 Agri-Food Chain, Innovation, Productivity and Science</t>
  </si>
  <si>
    <t>Vacant</t>
  </si>
  <si>
    <t>Seven days per year</t>
  </si>
  <si>
    <t>Advisory Committee on the Microbiological Safety of Food</t>
  </si>
  <si>
    <t>Non-statutory Committee that provides expert advice to government on questions relating to microbiological issues and food.</t>
  </si>
  <si>
    <t>https://acmsf.food.gov.uk/</t>
  </si>
  <si>
    <t>Interim Chair: Prof David McDowell</t>
  </si>
  <si>
    <t>Advisory Committees on Justices of the Peace</t>
  </si>
  <si>
    <t>Ministry of Justice</t>
  </si>
  <si>
    <t xml:space="preserve">To recruit, select and recommend to the Senior Presiding Judge (on behalf of the Lord Chief Justice), candidates with the necessary qualities for appointment as Justices' of the Peace for England &amp; Wales and to investigate allegations of misconduct by magistrates and make recommendations to the Lord Chief Justice and the Lord Chancellor in accordance with the Judicial Conduct (Magistrates) Rules 2014 and Justice of the Peace Rules 2016. </t>
  </si>
  <si>
    <t>Andrew Key</t>
  </si>
  <si>
    <t>Multiple</t>
  </si>
  <si>
    <t>Advisory, Conciliation and Arbitration Service</t>
  </si>
  <si>
    <t>Department for Business, Energy and Industrial Strategy</t>
  </si>
  <si>
    <t>NDPB</t>
  </si>
  <si>
    <t>The Advisory, Conciliation and Arbitration Service (ACAS) aims to improve organisations and working life through better employment relations, working with employers and employees to solve problems and improve performance.</t>
  </si>
  <si>
    <t>Jaee Samant</t>
  </si>
  <si>
    <t>Sir Brendan Barber</t>
  </si>
  <si>
    <t>£80,000 - £85,000</t>
  </si>
  <si>
    <t>Three days per week</t>
  </si>
  <si>
    <t>Agriculture and Horticulture Development Board</t>
  </si>
  <si>
    <t>Functions defined in AHDB Order 2008. Funded by agriculture and horticulture industry through statutory levies with the purpose to improve the competitiveness and sustainability of the industries which fund it.</t>
  </si>
  <si>
    <t>Tim Mordan, Deputy Director, 
Agri-Food Chain, Innovation, Productivity and Science</t>
  </si>
  <si>
    <t xml:space="preserve">Peter Kendall </t>
  </si>
  <si>
    <t>104 days per year</t>
  </si>
  <si>
    <t>ACMD is supported by the existing HO Science secretariat budget. The non-staff costs for all HO science advisory committees (combined figure) in 2018/19 was £98k. This includes the ACMD as well as other bodies</t>
  </si>
  <si>
    <t>Animal and Plant Health Agency</t>
  </si>
  <si>
    <t>Executive Agency</t>
  </si>
  <si>
    <t>To safeguard animal and plant health for the benefit of people, the environment and the economy.</t>
  </si>
  <si>
    <t>David Kennedy, Director Farming
, Food and Biosecurity, Defra</t>
  </si>
  <si>
    <t>Chris Nicholson</t>
  </si>
  <si>
    <t>20 days per year</t>
  </si>
  <si>
    <t>Income related to Good Practice Events and the CO’s income is for registration fees for Trades’ Unions and Employers’ Associations</t>
  </si>
  <si>
    <t>Armed Forces Pay Review Body</t>
  </si>
  <si>
    <t>To advise MOD on Armed Forces' pay and charges increases.</t>
  </si>
  <si>
    <t>https://www.gov.uk/government/organisations/armed-forces-pay-review-body</t>
  </si>
  <si>
    <t>Brigadier Paul Griffiths</t>
  </si>
  <si>
    <t>Peter Maddison QPM</t>
  </si>
  <si>
    <t>Approx. 35 days per year (and 10 days a year working with SSRB)</t>
  </si>
  <si>
    <t>Funding to cover T&amp;S only, plus daily fees</t>
  </si>
  <si>
    <t>Arts Council England</t>
  </si>
  <si>
    <t>Department for Digital, Culture, Media and Sport</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</si>
  <si>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</si>
  <si>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Darren Henley</t>
  </si>
  <si>
    <t>Sir Nicholas Serota</t>
  </si>
  <si>
    <t>Around 20 days a year</t>
  </si>
  <si>
    <t>Big Lottery Fund (The National Lottery Commuity Fund)</t>
  </si>
  <si>
    <t>The National Lottery Community Fund distributes its 40% share of National Lottery good causes money to bring real improvements to communities and the lives of people most in need. The Fund is sponsored by and also financially accountable to Department for Culture, Media and Sport for management of its lottery money.</t>
  </si>
  <si>
    <t>Maria Nyberg, Deputy Director - Sector Support Team</t>
  </si>
  <si>
    <t>Peter Ainsworth</t>
  </si>
  <si>
    <t>Two days a week or 96 days a year</t>
  </si>
  <si>
    <t>Biometric and Forensics Ethics Group</t>
  </si>
  <si>
    <t>Home Office</t>
  </si>
  <si>
    <t>Independent advice on issues relating to the ethical use of forensic biometric technologies and databases and the ethical management of large data sources.</t>
  </si>
  <si>
    <t>Alex Macdonald, Data and Identity Directorate</t>
  </si>
  <si>
    <t>Christopher Hughes</t>
  </si>
  <si>
    <t>10-15 days per year</t>
  </si>
  <si>
    <t>BFEG has no specific funding and expenditure is only members expenses</t>
  </si>
  <si>
    <t>Birmingham Organising Committee for the 2022 Commonwealth Games Ltd</t>
  </si>
  <si>
    <t>The Birmingham Organising Committee is responsible for the planning and operational delivery of the Commonwealth Games. This includes sport, venue and competition management, ticket sales, all ceremonies and the Queen’s Baton Relay.</t>
  </si>
  <si>
    <t>www.birmingham2022.com</t>
  </si>
  <si>
    <t>Maria Alexandri, Head of OC Sponsorship</t>
  </si>
  <si>
    <t>John Crabtree</t>
  </si>
  <si>
    <t xml:space="preserve">Ad hoc and meetings. Chair has waived salary from 1 Apr 2019 </t>
  </si>
  <si>
    <t>Boundary Commission for England</t>
  </si>
  <si>
    <t>The Commission’s statutory function is to keep under review the distribution of constituencies in England and to make reports with recommendations every five years in accordance with the provisions of the Parliamentary Constituencies Act 1986 (as amended).</t>
  </si>
  <si>
    <t>The Chair of the Commission is the Speaker of the House of Commons ex officio, but in practice he does not participate in the formulation of the Commission’s recommendations, nor in the conduct of reviews.</t>
  </si>
  <si>
    <t>Peter Lee</t>
  </si>
  <si>
    <t>Mr Justice Nicol (Deputy)</t>
  </si>
  <si>
    <t>Boundary Commission for Northern Ireland</t>
  </si>
  <si>
    <t xml:space="preserve">Northern Ireland Office </t>
  </si>
  <si>
    <t xml:space="preserve">The Commission's role is to keep under continuous review the number, names and boundaries of the parliamentary constituencies into which Northern Ireland is divided and to make recommendations about these to the Secretary of State for Northern Ireland. </t>
  </si>
  <si>
    <t>The Chairman of the Commission is the Speaker of the House of Commons; however in practice Commission meetings are chaired by the Deputy Chairman.  The name of the chair is: Justice Denise McBride.</t>
  </si>
  <si>
    <t xml:space="preserve">contact@boundarycommission.org.uk
</t>
  </si>
  <si>
    <t>www.boundarycommission.org.uk</t>
  </si>
  <si>
    <t>Chris Flatt, NIO Director</t>
  </si>
  <si>
    <t>Justice Denise McBride (Deputy)</t>
  </si>
  <si>
    <t xml:space="preserve">Part Time </t>
  </si>
  <si>
    <t>Boundary Commission for Scotland</t>
  </si>
  <si>
    <t>Scotland Office</t>
  </si>
  <si>
    <t>To review the boundaries of Westminster Parliamentary Constituencies in Scotland.</t>
  </si>
  <si>
    <t>Established 1944. The Chair is the Speaker of the House of Commons, but by convention he or she does not participate in the Commission’s work. The Deputy Chair leads the Commission's work.</t>
  </si>
  <si>
    <t>Gillian McGregor, Scotland Office Director</t>
  </si>
  <si>
    <t>Lord Matthews (Deputy)</t>
  </si>
  <si>
    <t>Boundary Commission for Wales</t>
  </si>
  <si>
    <t>The Commission’s statutory function is to keep under review the distribution of constituencies in England and to make reports with recommendations every 5 years in accordance with the provisions of the Parliamentary Constituencies Act 1986 (as amended).</t>
  </si>
  <si>
    <t>Mr Justice Lewis (Deputy)</t>
  </si>
  <si>
    <t>underspent against budget</t>
  </si>
  <si>
    <t>British Council</t>
  </si>
  <si>
    <t xml:space="preserve">Foreign and Commonwealth Office </t>
  </si>
  <si>
    <t>Using the cultural resources of the UK, the British Council creates friendly knowledge and understanding between the people of the UK and other countries.</t>
  </si>
  <si>
    <t>Helen Bower-Easton, Director Communication</t>
  </si>
  <si>
    <t>Christopher Rodrigues CBE</t>
  </si>
  <si>
    <t>40 days per year</t>
  </si>
  <si>
    <t>British Film Institute</t>
  </si>
  <si>
    <t>The British Film Institute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</si>
  <si>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https://www.bfi.org.uk/</t>
  </si>
  <si>
    <t>Ben Roberts</t>
  </si>
  <si>
    <t>Josh Berger CBE</t>
  </si>
  <si>
    <t>Eight days per year</t>
  </si>
  <si>
    <t>British Hallmarking Council</t>
  </si>
  <si>
    <t>The British Hallmarking Council supervises UK hallmarking.</t>
  </si>
  <si>
    <t>Noel Hunter</t>
  </si>
  <si>
    <t>There is no written/agreed  time commitment for this role</t>
  </si>
  <si>
    <t>Yes.</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</si>
  <si>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</si>
  <si>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</si>
  <si>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Established 1753 as part of the British Museum. Officially established as British Library in July 1973</t>
  </si>
  <si>
    <t>Customer-Services@bl.uk</t>
  </si>
  <si>
    <t>https://www.bl.uk/</t>
  </si>
  <si>
    <t>Louise Smith, Deputy Director, Arts, Libraries and Digital Culture</t>
  </si>
  <si>
    <t xml:space="preserve">Dame Carol Black </t>
  </si>
  <si>
    <t>Two days per week</t>
  </si>
  <si>
    <t>British Museum</t>
  </si>
  <si>
    <t>The British Museum holds for the benefit of humanity a collection representative of world cultures that is housed in safety, conserved, curated, researched and exhibited.</t>
  </si>
  <si>
    <t>http://www.britishmuseum.org/</t>
  </si>
  <si>
    <t xml:space="preserve">Helen Whitehouse </t>
  </si>
  <si>
    <t>Sir Richard Lambert</t>
  </si>
  <si>
    <t xml:space="preserve">One day a month </t>
  </si>
  <si>
    <t>British Pharmacopoeia Commission</t>
  </si>
  <si>
    <t>To publish any new editions of and/or amendments to the British Pharmacopoeia and British Pharmacopoeia (Veterinary), together with the establishment and publication of British Approved Names.</t>
  </si>
  <si>
    <t>Liz Woodeson, Director of Medicines and Pharmacy and Industry</t>
  </si>
  <si>
    <t>Professor Kevin Taylor</t>
  </si>
  <si>
    <t>Approx. six days  per year, including three meetings</t>
  </si>
  <si>
    <t>British Transport Police Authority</t>
  </si>
  <si>
    <t xml:space="preserve">Department for Transport </t>
  </si>
  <si>
    <t>The Authority is the independent body responsible for ensuring an efficient and effective British Transport Police (BTP) force for rail operators, their staff and passengers.</t>
  </si>
  <si>
    <t>Polly Payne - Ruth Hannant, Directors General, Rail</t>
  </si>
  <si>
    <t>Ron Barcley Smith</t>
  </si>
  <si>
    <t>60 days per year</t>
  </si>
  <si>
    <t>Building Regulation Advisory Committee</t>
  </si>
  <si>
    <t>Ministry of Housing, Communities and Local Government</t>
  </si>
  <si>
    <t>Advises SoS on making of building regulations and connected matters.</t>
  </si>
  <si>
    <t>Neil O'Connor</t>
  </si>
  <si>
    <t>Emma Clancy</t>
  </si>
  <si>
    <t>26 days per year</t>
  </si>
  <si>
    <t>Care Quality Commission</t>
  </si>
  <si>
    <t>The purpose of Care Quality Commission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t>
  </si>
  <si>
    <t>William Vineall, Director of Acute Care and Quality Policy</t>
  </si>
  <si>
    <t>Peter Wyman</t>
  </si>
  <si>
    <t xml:space="preserve">2-3 days per week </t>
  </si>
  <si>
    <t>Central Arbitration Committee</t>
  </si>
  <si>
    <t>The CAC resolves collective disputes through adjudication for trade union recognition as well as other jurisdictions, disclosure of information, Information and Consultation and EWC jurisdictions.</t>
  </si>
  <si>
    <t>Stephen Redmond</t>
  </si>
  <si>
    <t>One day per week</t>
  </si>
  <si>
    <t>No but hearings on cases are open to the public</t>
  </si>
  <si>
    <t>No but decisions made in cases are posted on website</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</si>
  <si>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</si>
  <si>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</si>
  <si>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Sonia Phippard, Director General, Marine, Natural Environment &amp; Rural</t>
  </si>
  <si>
    <t>Jane Smallman</t>
  </si>
  <si>
    <t>Charity Commission for England and Wales</t>
  </si>
  <si>
    <t>Non-Ministerial Department</t>
  </si>
  <si>
    <t>The Charity Commission is the registrar and regulator of charities in England and Wales. It is an independent, non-ministerial government department accountable to Parliament. It is also accountable for the exercise of its powers to the First-tier Tribunal and the High Court.</t>
  </si>
  <si>
    <t xml:space="preserve">David Knott, Director of the Office for Civil Society (OCS), Department for Digital, Culture Media and Sport (DCMS). </t>
  </si>
  <si>
    <t>The Rt Hon Baroness Stowell of Beeston MBE 
(Tina Stowell)</t>
  </si>
  <si>
    <t>Children and Family Court Advisory and Support Service</t>
  </si>
  <si>
    <t>To make sure that children's voices are heard in the family courts and that decisions are taken in their best interests.</t>
  </si>
  <si>
    <t>Mark Sweeney, Director General, Policy, Analysis and Communications group</t>
  </si>
  <si>
    <t>Edward Timpson CBE</t>
  </si>
  <si>
    <t>A maximum of 80 days per year</t>
  </si>
  <si>
    <t>Civil Justice Council</t>
  </si>
  <si>
    <t>The Civil Justice Council is a Statutory Non-Departmental Public Body which; keeps the civil justice system under review;  considers how to make it more accessible, fair and efficient; advises the Lord Chancellor and the Judiciary on the civil justice system and civil procedure rules.</t>
  </si>
  <si>
    <t xml:space="preserve">Christina Pride, Deputy Director Head of Judicial Private Offices, Judicial Office
</t>
  </si>
  <si>
    <t>The Rt Hon Sir Terence Etherton</t>
  </si>
  <si>
    <t>Ex-officio</t>
  </si>
  <si>
    <t>Five days per year</t>
  </si>
  <si>
    <t>Civil Nuclear Police Authority</t>
  </si>
  <si>
    <t>The CNPA oversees the Civil Nuclear Constabulary (CNC) and must ensure that their policing meets the need of the nuclear operating companies.</t>
  </si>
  <si>
    <t>Joanna Whittington</t>
  </si>
  <si>
    <t>Vic Emery OBE</t>
  </si>
  <si>
    <t xml:space="preserve">Three days a week </t>
  </si>
  <si>
    <t>Independent Office for Police Conduct (for England &amp; Wales)
Police Investigations &amp; Review Commissioner (for Scotland)</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</si>
  <si>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</si>
  <si>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</si>
  <si>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 xml:space="preserve">Mark Sweeney, Director General, Communications and Analysis Group, Ministry of Justice </t>
  </si>
  <si>
    <t>Rt Hon Lord Justice Coulson - Deputy Head of Civil Justice</t>
  </si>
  <si>
    <t>Nine meetings per year plus reading and other commitments</t>
  </si>
  <si>
    <t>Civil Service Commission</t>
  </si>
  <si>
    <t>Regulates recruitment to the Civil Service.</t>
  </si>
  <si>
    <t>There have been Civil Service Commissioners since 1855 working under the Royal Prerogative. The Constitutional Reform and Governance Act 2010 established the Civil Service Commission on a statutory basis.</t>
  </si>
  <si>
    <t>Ian Watmore</t>
  </si>
  <si>
    <t xml:space="preserve">Seven traditional board meeting, two strategic board meetings however the role itself works out to two days a week on average </t>
  </si>
  <si>
    <t>The 1,530 figure relates to CSC only and does not include OCPA expenditure of 233</t>
  </si>
  <si>
    <t>Coal Authority</t>
  </si>
  <si>
    <t>The Coal Authority manages the effects of past coal mining, including subsidence damage claims which are not the responsibility of licensed coal mine operators.</t>
  </si>
  <si>
    <t>Stephen Dingle</t>
  </si>
  <si>
    <t>Five days per month</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</si>
  <si>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</si>
  <si>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</si>
  <si>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Liz Woodeson, Director of Medicine and Pharmacy and Industry</t>
  </si>
  <si>
    <t>Professor Stuart Ralston</t>
  </si>
  <si>
    <t>30 days per year, including 11 meetings</t>
  </si>
  <si>
    <t>Commissioners for the Reduction of the National Debt</t>
  </si>
  <si>
    <t xml:space="preserve">Her Majesty's Treasury </t>
  </si>
  <si>
    <t>The Commissioners for the Reduction of the National Debt (CRND)'s statutory function is the investment of specified funds, including the National Insurance Fund Investment Account, the National Lottery Distribution Fund Investment Account and the Court Funds Investment Account.</t>
  </si>
  <si>
    <t>The origins of the CRND can be traced back to the National Debt Reduction Act of 1786. There are ten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 CRND itself is not audited, but the report and accounts for the individual funds managed by CRND are audited by the NAO.  The DMO is also audited by the NAO.</t>
  </si>
  <si>
    <t>crnd@dmo.gov.uk</t>
  </si>
  <si>
    <t>-</t>
  </si>
  <si>
    <t>Committee on Climate Change</t>
  </si>
  <si>
    <t>The CCC was established under the Climate Change Act 2008 to advise the UK Government and Devolved Administrations on emissions targets, and report to Parliament on progress made in reducing greenhouse gas emissions and preparing for climate change.</t>
  </si>
  <si>
    <t>Julian Critchlow</t>
  </si>
  <si>
    <t>Rt. Hon John Gummer, Lord Deben</t>
  </si>
  <si>
    <t>36 days per year</t>
  </si>
  <si>
    <t>Committee on Fuel Poverty</t>
  </si>
  <si>
    <t>The CFP advises on the effectiveness of policies aimed at reducing fuel poverty, and encourages greater co-ordination across organisations working to reduce fuel poverty.</t>
  </si>
  <si>
    <t>Jullian Critchlow</t>
  </si>
  <si>
    <t>David Blakemore</t>
  </si>
  <si>
    <t>2/3 days per month (this usually includes the bi-monthly CFP mts around 7-8 per year)</t>
  </si>
  <si>
    <t>Government funding included within Acas allocation</t>
  </si>
  <si>
    <t>Committee on Mutagenicity of Chemicals in Food, Consumer Products and the Environment</t>
  </si>
  <si>
    <t>To assess and advise on the mutagenic risk to man of substances in food, consumer products and the environment.</t>
  </si>
  <si>
    <t>Ailsa Wight, Deputy Director,Emergency Preparedness and Health Protection Policy Directorate</t>
  </si>
  <si>
    <t>Dr David Lovell</t>
  </si>
  <si>
    <t>Meetings three days per year for COM, Ex-Officio member for COC - three meetings per year   Meetings with DHSC as requested</t>
  </si>
  <si>
    <t>Committee on Radioactive Waste Management</t>
  </si>
  <si>
    <t>CoRWM provides independent scrutiny and advice to the UK governments on the long-term management of higher activity radioactive wastes.</t>
  </si>
  <si>
    <t>Nigel Thrift</t>
  </si>
  <si>
    <t>78 days per year</t>
  </si>
  <si>
    <t>Committee on Standards in Public Life, excluding political appointments</t>
  </si>
  <si>
    <t>The Committee examines standards of ethical conduct among public office holders in the UK and makes recommendations to the government as to any changes in present arrangements, including those relating to party funding.</t>
  </si>
  <si>
    <t>Lord Evans of Weardale</t>
  </si>
  <si>
    <t>5-6 days per month</t>
  </si>
  <si>
    <t>Committee on Toxicity of Chemicals in Food, Consumer Products and the Environment</t>
  </si>
  <si>
    <t>Provides risk assessment advice to the Food Standards Agency and other Government Department on chemicals in food, consumer products and the environment.</t>
  </si>
  <si>
    <t>Professor Alan Boobis</t>
  </si>
  <si>
    <t>Approx. 14 days per year</t>
  </si>
  <si>
    <t>Commonwealth Scholarship Commission</t>
  </si>
  <si>
    <t xml:space="preserve">Department for International Development </t>
  </si>
  <si>
    <t>The Commonwealth Scholarship Commission in the UK (CSC) provides the main UK government scholarship scheme led by international development objectives. The CSC is an executive Non-Departmental Public Body, sponsored by the Department for International Development (DFID). The CSC do not employ any staff.</t>
  </si>
  <si>
    <t xml:space="preserve">Caroline Read, Director International Relations </t>
  </si>
  <si>
    <t>Mr Richard Middleton</t>
  </si>
  <si>
    <t>1 day per week</t>
  </si>
  <si>
    <t>Companies House</t>
  </si>
  <si>
    <t>Incorporates and dissolves limited companies, registers the information companies are legally required to supply, and makes that information available to the public.</t>
  </si>
  <si>
    <t>Lesley Cowley</t>
  </si>
  <si>
    <t>48 days per Year</t>
  </si>
  <si>
    <t>Competition and Markets Authority</t>
  </si>
  <si>
    <t>The CMA works to promote competition for the benefit of consumers, both within and outside the UK. Its aim is to make markets work well for consumers, businesses and the economy.</t>
  </si>
  <si>
    <t>Erik Wilson, Executive Director, Corporate &amp; Support Services</t>
  </si>
  <si>
    <t>The Rt Hon Lord Andrew Tyrie</t>
  </si>
  <si>
    <t>£125,000 - £130,000</t>
  </si>
  <si>
    <t>3 days per week</t>
  </si>
  <si>
    <t>Competition Appeal Tribunal</t>
  </si>
  <si>
    <t>The Competition Appeal Tribunal is a specialist judicial body with cross-disciplinary expertise in law, economics, business and accountancy, its principle functions involve hearing and deciding appeals on decisions taken by the Competition and Markets Authority (CMA) and other economic regulators concerning infringement of competition law.</t>
  </si>
  <si>
    <t>Sir Peter Roth, President</t>
  </si>
  <si>
    <t>£180,000 - £185,000</t>
  </si>
  <si>
    <t>170 days per year</t>
  </si>
  <si>
    <t>Competition Service</t>
  </si>
  <si>
    <t>The CS funds and provide support services to the CAT and with the resources necessary to perform its judicial functions. Support services covers everything necessary to facilitate the carrying out by the CAT of its statutory functions and includes, for example, administrative staff, accommodation and office equipment.</t>
  </si>
  <si>
    <t>Susan Scholefield</t>
  </si>
  <si>
    <t xml:space="preserve">8-12 days per year </t>
  </si>
  <si>
    <t>Construction Industry Training Board</t>
  </si>
  <si>
    <t>Department for Education</t>
  </si>
  <si>
    <t>Training for employment in the construction industry.</t>
  </si>
  <si>
    <t>Gillian Hillier OBE
Director, Careers &amp; FE
Directorate</t>
  </si>
  <si>
    <t>Peter Lauener</t>
  </si>
  <si>
    <t>Per year</t>
  </si>
  <si>
    <t>One day a week</t>
  </si>
  <si>
    <t>Consumer Council for Water</t>
  </si>
  <si>
    <t>To represent consumers of water and sewerage services in England &amp; Wales.</t>
  </si>
  <si>
    <t>Sarah Hendry, Director, 
Water and Flood Risk Management</t>
  </si>
  <si>
    <t xml:space="preserve">Robert Light </t>
  </si>
  <si>
    <t xml:space="preserve">Three days per week </t>
  </si>
  <si>
    <t>Copyright Tribunal</t>
  </si>
  <si>
    <t xml:space="preserve">The Copyright Tribunal’s primary purpose is to resolve commercial licensing disputes between copyright owners or their agents (collecting societies) and people who use copyrighted material in their business. </t>
  </si>
  <si>
    <t>Jo Shanmugalingam</t>
  </si>
  <si>
    <t>His Honour Judge Hacon (Richard Hacon)</t>
  </si>
  <si>
    <t>Depends on case load</t>
  </si>
  <si>
    <t>Criminal Cases Review Commission</t>
  </si>
  <si>
    <t>To review possible miscarriages of justice in the criminal courts of England, Wales and to refer appropriate cases to the appeal courts.</t>
  </si>
  <si>
    <t>Mark Sweeney, Director General, 
Justice Policy, Strategy and Communications Group</t>
  </si>
  <si>
    <t>Helen Pitcher. OBE</t>
  </si>
  <si>
    <t>10 days per month</t>
  </si>
  <si>
    <t>Criminal Injuries Compensation Authority</t>
  </si>
  <si>
    <t>A government organisation that can pay money (compensation) to people who have been physically or mentally injured because they were the victim of a violent crime.</t>
  </si>
  <si>
    <t>http://www.justice.gov.uk/contacts/?a=68536</t>
  </si>
  <si>
    <t>https://www.gov.uk/government/organisations/criminal-injuries-compensation-authority</t>
  </si>
  <si>
    <t xml:space="preserve">Mark Sweeney, Director General, Policy, Analysis and Communications Group. </t>
  </si>
  <si>
    <t>Criminal Procedure Rule Committee</t>
  </si>
  <si>
    <t xml:space="preserve">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 </t>
  </si>
  <si>
    <t>Mark Sweeney, Director General Policy Communications and Analysis Group</t>
  </si>
  <si>
    <t>The Rt Hon. Lord Burnett of Maldon</t>
  </si>
  <si>
    <t>Crown Commercial Service, The</t>
  </si>
  <si>
    <t>CCS is an executive agency and trading fund responsible for improving government commercial and procurement activity.</t>
  </si>
  <si>
    <t>Gareth Rhys Williams</t>
  </si>
  <si>
    <t>Tony Van Kralingen</t>
  </si>
  <si>
    <t>3 days per month</t>
  </si>
  <si>
    <t>CCS is a Trading Fund and these categories of expenditure do not apply.  They have, therefore, been aligned to capital and resource, as appropriate.  The Income in column AE includes the government funding in column AF.  The expenditure in column AH excludes £934k of Depreciation/Amortisation</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</si>
  <si>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</si>
  <si>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</si>
  <si>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Max Hill QC, Director of Public Prosecutions</t>
  </si>
  <si>
    <t>Max Hill QC</t>
  </si>
  <si>
    <t>Full time</t>
  </si>
  <si>
    <t>Defence Electronics and Components Agency</t>
  </si>
  <si>
    <t>Maintenance, repair, overhaul, upgrade and obsolescence management for a range of Defence electronics and components.</t>
  </si>
  <si>
    <t>David Goldstone, MOD Chief operating Officer</t>
  </si>
  <si>
    <t>Alex Jablonowski</t>
  </si>
  <si>
    <t>30 days per year</t>
  </si>
  <si>
    <t xml:space="preserve">Income is Total Operating Income in audited Financial Statements. RDEL expenditure is a balancing figure to reconcile Income to Comprehensive Net Expenditure per audited Financial Statements. In line with MOD's internal charging policy, Dstl can only recover cash costs from MOD customers, and therefore when non-cash RDEL costs, primarily depreciation, are included the statutory accounts show an apparent operating loss.  </t>
  </si>
  <si>
    <t>Defence Nuclear Safety Committee</t>
  </si>
  <si>
    <t>Providing unbiased, independent, expert advice to the Secretary of State for Defence and senior officials on all safety matters pertaining to the defence nuclear programme (and security and environmental issues, where such issues have the potential to impact upon nuclear safety).</t>
  </si>
  <si>
    <t>https://www.gov.uk/government/organisations/defence-nuclear-safety-committee</t>
  </si>
  <si>
    <t xml:space="preserve">Dr Paul Hollinshead, DNO Director Warhead </t>
  </si>
  <si>
    <t>Professor Laurence Williams OBE FREng FIMechE FNuc</t>
  </si>
  <si>
    <t>Approx. 25 per year</t>
  </si>
  <si>
    <t>Defence Science and Technology Laboratory</t>
  </si>
  <si>
    <t>To deliver high-impact science and technology for the UK's defence, security and prosperity.</t>
  </si>
  <si>
    <t>Gary Aitkenhead</t>
  </si>
  <si>
    <t>Sir Daid Pepper (as at 31 Mar 19).  Adrian Belton (wef 1 Aug 19)</t>
  </si>
  <si>
    <t>Maximum 30 days per year</t>
  </si>
  <si>
    <t>Directly Operated Railways Ltd</t>
  </si>
  <si>
    <t>Directly Operated Railways Limited (DOR) managed the East Coast rail franchise until it was re-let to a new private operator in March 2015. The company is currently being wound down.</t>
  </si>
  <si>
    <t>No current Chair or Board members</t>
  </si>
  <si>
    <t>dor.enquiries@dft.gsi.gov.uk</t>
  </si>
  <si>
    <t>https://webarchive.nationalarchives.gov.uk/20151215172524/http://www.directlyoperatedrailways.co.uk/html/index.php</t>
  </si>
  <si>
    <t>Company is no longer operating.</t>
  </si>
  <si>
    <t>Disclosure and Barring Service</t>
  </si>
  <si>
    <t>DBS are responsible for delivering Disclosure and Barring on behalf of the Government and operate Disclosure functions for England, Wales, Jersey, Guernsey and the Isle of Man. We also deliver Barring functions for England, Wales and Northern Ireland.</t>
  </si>
  <si>
    <t>Susan Young</t>
  </si>
  <si>
    <t xml:space="preserve">Dr Gillian Fairfield </t>
  </si>
  <si>
    <t xml:space="preserve">DBS continues to operate as a self-funding arms-length body of the HO, on a full cost recovery basis.  </t>
  </si>
  <si>
    <t>Driver and Vehicle Licensing Agency (DVLA)</t>
  </si>
  <si>
    <t>The DVLA's core responsibilities are to maintain over 48 million driver records, over 40 million vehicle records and to collect Vehicle Excise Duty (VED), currently around £6 billion a year.</t>
  </si>
  <si>
    <t>84 days per year</t>
  </si>
  <si>
    <t>Driver and Vehicle Standards Agency (DVSA)</t>
  </si>
  <si>
    <t>The DVSA carry out driving tests, approve people to be driving instructors and MOT testers, carry out tests to make sure lorries and buses are safe to drive, carry out roadside checks on drivers and vehicles, and monitor vehicle recalls.</t>
  </si>
  <si>
    <t>Tricia Hayes, Director General Roads, Places and Environment</t>
  </si>
  <si>
    <t>Bridget Rosewell</t>
  </si>
  <si>
    <t>East West Rail Company</t>
  </si>
  <si>
    <t>The East West Railway Company is a non-departmental public arm’s length body set up by the government to accelerate the East West Rail project – a new rail link between Cambridge and Oxford.</t>
  </si>
  <si>
    <t>Clive Maxwell, Director General High Speed Rail and Major Projects</t>
  </si>
  <si>
    <t>Rob Brighouse</t>
  </si>
  <si>
    <t>One and half days per week</t>
  </si>
  <si>
    <t>Ebbsfleet Development Corporation</t>
  </si>
  <si>
    <t>Local development control powers for development corporation area.</t>
  </si>
  <si>
    <t>Cathy Francis</t>
  </si>
  <si>
    <t>Michael Cassidy</t>
  </si>
  <si>
    <t>Two days a week</t>
  </si>
  <si>
    <t>Education and Skills Funding Agency</t>
  </si>
  <si>
    <t xml:space="preserve">The ESFA has responsibility, on behalf of the Secretary of State for Education (“the Secretary of State”), to oversee and be accountable for the funding of all 3 to 16 education as well as post-16 education and training for young people, apprenticeships and funding for adult education in England, excluding higher education. </t>
  </si>
  <si>
    <t>Jonathan Slater - Permanent Secretary for the Department for Education</t>
  </si>
  <si>
    <t>Irene Lucas CBE</t>
  </si>
  <si>
    <t>As defined by DfE Board Contract</t>
  </si>
  <si>
    <t>Engineering Construction Industry Training Board</t>
  </si>
  <si>
    <t>Training for employment in the engineering instruction industry.</t>
  </si>
  <si>
    <t>Lynda Armstrong OBE</t>
  </si>
  <si>
    <t>Environment Agency</t>
  </si>
  <si>
    <t>The Environment Agency is an Executive NDPB responsible to the Secretary of State for Environment, Food and Rural Affairs. Its principal aims are to protect and improve the environment and to promote sustainable development. It plays a central role in delivering the environmental priorities of Central Government including Flood and Coastal Erosion Risk Management, Climate Change Adaptation and Mitigation, Water Quality and Waste Management.</t>
  </si>
  <si>
    <t>Sarah Hendry, Director, Water and Flood Risk Management</t>
  </si>
  <si>
    <t xml:space="preserve">Emma Howard Boyd </t>
  </si>
  <si>
    <t>PHSO
Local Government and Social Care Ombudsman</t>
  </si>
  <si>
    <t>Equality and Human Rights Commission</t>
  </si>
  <si>
    <t>GB Equality &amp; Diversity and Human Rights regulator, National Human Rights Institution.</t>
  </si>
  <si>
    <t>www.equalityhumanrights.com</t>
  </si>
  <si>
    <t xml:space="preserve">Hilary Spencer, Director, Government Equalities Office </t>
  </si>
  <si>
    <t>David Isaac CBE</t>
  </si>
  <si>
    <t>1-2 days per week up to 100 days per year. (£50K P.A.)</t>
  </si>
  <si>
    <t>RAME figure not used/ calculated.</t>
  </si>
  <si>
    <t>Family Justice Council</t>
  </si>
  <si>
    <t>The Family Justice Council (FJC)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</si>
  <si>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Catherine Lee, Director General Law and Access to Justice Group</t>
  </si>
  <si>
    <t>Sir Andrew McFarlane</t>
  </si>
  <si>
    <t>Quarterly meetings and pre-meetings, two conferences per annum.  Reading papers before each meeting/event and other ad hoc work that may arise. Approx two days per month.</t>
  </si>
  <si>
    <t>Family Procedure Rule Committee</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</si>
  <si>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</si>
  <si>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Mark Sweeney, Director General, Justice and Courts Policy Group</t>
  </si>
  <si>
    <t>Sir Andrew McFarlane, The President of the Family Division</t>
  </si>
  <si>
    <t>10 hours per month</t>
  </si>
  <si>
    <t>FCO Services</t>
  </si>
  <si>
    <t>A Trading Fund which provides a range of integrated secure services worldwide to the FCO, other UK public bodies and foreign governments and international organisations closely linked to the UK.</t>
  </si>
  <si>
    <t>Executive Agency; Trading Fund established in 2008</t>
  </si>
  <si>
    <t>Danny Payne, CEO and Accounting Officer</t>
  </si>
  <si>
    <t>Sir Simon Gass</t>
  </si>
  <si>
    <t>£30,000-£35,000</t>
  </si>
  <si>
    <t xml:space="preserve">FCO Services Board meets bi-monthly; Nominations Committee meets bi-annually </t>
  </si>
  <si>
    <t>Income and costs are connected to service line delivery, supported by both direct and indirect overheads.  The numbers also include the National Technical Authority under NACE for which no public funding is received.</t>
  </si>
  <si>
    <t>Film Industry Training Board</t>
  </si>
  <si>
    <t>To ensure the quantity and quality of training provision is adequate to meet the current and future skills needs of the film industry.</t>
  </si>
  <si>
    <t>Gillian Hillier</t>
  </si>
  <si>
    <t>The Board ensures we fulfil our legal obligations so that all decisions or actions consider scientific advice and the interests of consumer.</t>
  </si>
  <si>
    <t>Emily Miles, Chief Executive</t>
  </si>
  <si>
    <t>Heather Hancock</t>
  </si>
  <si>
    <t>2-3 days per week</t>
  </si>
  <si>
    <t>Commissioner for Public Appointments</t>
  </si>
  <si>
    <t>Forest Enterprise England</t>
  </si>
  <si>
    <t>Forestry Commission</t>
  </si>
  <si>
    <t>Forest Research</t>
  </si>
  <si>
    <t>Great Britain's principal organisation for forestry and tree related research.</t>
  </si>
  <si>
    <t>Ian Gambles, Chief Executive Officer</t>
  </si>
  <si>
    <t>The Forestry Commission is a Non-Ministerial Department responsible for the delivery of forestry policy and management of the public forest estate in England, through the Agency Forestry England, a Public Coporation.</t>
  </si>
  <si>
    <t>Sir Harry Studholme</t>
  </si>
  <si>
    <t>Gambling Commission</t>
  </si>
  <si>
    <t>Independent regulator for all commercial gambling in Great Britain (except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</si>
  <si>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http://www.gamblingcommission.gov.uk/</t>
  </si>
  <si>
    <t>Neil McArthur</t>
  </si>
  <si>
    <t>William Moyes</t>
  </si>
  <si>
    <t>Gangmasters and Labour Abuse Authority</t>
  </si>
  <si>
    <t>Licensing gangmasters in regulated sectors and protecting vulnerable workers.</t>
  </si>
  <si>
    <t>Becky Kirby, Director</t>
  </si>
  <si>
    <t>Margaret Beels</t>
  </si>
  <si>
    <t>7-8 days per month</t>
  </si>
  <si>
    <t>These figures have been taken from 18-19 ARA but have not yet been audited</t>
  </si>
  <si>
    <t>Geffrye Museum</t>
  </si>
  <si>
    <t>To encourage people to learn from and enjoy the Museum’s collections, buildings and gardens, to promote the study of English homes and gardens.</t>
  </si>
  <si>
    <t>http://www.geffrye-museum.org.uk/</t>
  </si>
  <si>
    <t>Dr Samir Shah</t>
  </si>
  <si>
    <t>Government Actuary's Department</t>
  </si>
  <si>
    <t>Government Actuary's Department provides actuarial analysis and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insurance; investment, risk and modelling.</t>
  </si>
  <si>
    <t>Martin Clarke, Government Actuary</t>
  </si>
  <si>
    <t>Geoffrey Podger</t>
  </si>
  <si>
    <t>Non-ministerial</t>
  </si>
  <si>
    <t>£10,000 - £15,000</t>
  </si>
  <si>
    <t>Government Internal Audit Agency (GIAA)</t>
  </si>
  <si>
    <t>The Government Internal Audit Agency (GIAA) helps government departments to manage public money effectively by developing better governance, risk management and internal controls. We offer three broad categories of service: (i) Assurance work: This provides an independent and objective evaluation of management activities to give a view on an organisation's effectiveness in relation to governance, risk management and internal controls. (ii) Advisory work: This helps to identify where the control framework should be improved. (iii) Counter fraud and investigation work: We provide advice and support to customers on counter fraud strategies, fraud risk assessments, and measures to prevent, deter and detect fraud. Where commissioned, we investigate suspicions of internal or supplier fraud or malpractice.</t>
  </si>
  <si>
    <t>https://www.gov.uk/government/organisations/government-internal-audit-agency</t>
  </si>
  <si>
    <t>James Bowler, DG, Public Spending, HM Treasury</t>
  </si>
  <si>
    <t>Steve Burnett</t>
  </si>
  <si>
    <t xml:space="preserve">Non-Ministerial </t>
  </si>
  <si>
    <t>Government Legal Department</t>
  </si>
  <si>
    <t>Attorney General's Office</t>
  </si>
  <si>
    <t>The GLD provides legal services to Government departments and other publicly funded bodies in England and Wales. It also administers the estates of people who die intestate with no known kin and the beneficial assets of dissolved companies.</t>
  </si>
  <si>
    <t>GLD is an executive agency as noted in the 'date established' column. The position of Chair of the Board and Chief Executive are held by the same person, so the Chair information has been left blank with only the Chief Executive information listed. There are 3 non-executive appointments to the Board. The Government Legal Department (formerly the Treasury Solicitor's Department) is a non-ministerial department and was established as an executive agency on 1 April 1996. The office of the Solicitor for the affairs of Her Majesty's Treasury (the Treasury Solicitor) was incorporated as a corporation sole  by the Treasury Solicitor Act 1876.  The name Treasury Solicitor's Department was established in 1975.</t>
  </si>
  <si>
    <t>Sir Jonathan Jones QC</t>
  </si>
  <si>
    <t>£165,000 - £170,000</t>
  </si>
  <si>
    <t>Great Britain-China Centre</t>
  </si>
  <si>
    <t>Supporting UK-China relations through partnerships, dialogue and exchange.</t>
  </si>
  <si>
    <t>Alex Pinfield, Director of East Asia, Asia -Pacific, FCO</t>
  </si>
  <si>
    <t xml:space="preserve">Sir Martin Davidson KCMG </t>
  </si>
  <si>
    <t xml:space="preserve">The Board meets an average of four times a year in London, and the Chairperson also heads the Personnel and Appointments Committee which meets three to four times a year. </t>
  </si>
  <si>
    <t>Health and Safety Executive</t>
  </si>
  <si>
    <t>Department for Work and Pensions</t>
  </si>
  <si>
    <t>The mission for HSE is the prevention of death, injury and ill health to those at work and those affected by work activities.</t>
  </si>
  <si>
    <t>Established in 2008 (as a new unitary body) following HSE's original establishment in 1975</t>
  </si>
  <si>
    <t>Jamey Johnson, Deputy Director of ALB Partnership Division, DWP</t>
  </si>
  <si>
    <t>Martin Temple</t>
  </si>
  <si>
    <t>Minimum of three days per week</t>
  </si>
  <si>
    <t>Income is £91.460m, Government funding is £129m split between £122m RDEL and £7m CDEL</t>
  </si>
  <si>
    <t>Health and Social Care Information Centre (NHS Digital)</t>
  </si>
  <si>
    <t>NHS Digital delivers national IT systems, infrastructure and services and collects, analyses and publishes national data and statistical information to support the health and care system in England.</t>
  </si>
  <si>
    <t>Katie Farrington, Director of Digital, Data and Primary Care</t>
  </si>
  <si>
    <t>Noel Gordon</t>
  </si>
  <si>
    <t>Health Education England</t>
  </si>
  <si>
    <t>Health Education England (HEE) exists for one reason only: to help improve the quality of care patients receive. To do this we spend nearly £5bn a year on undergraduate and postgraduate education and training to ensure that the whole health and healthcare sector in England, including the NHS, the independent sector and public health have the most highly qualified new professionals in the world. We are an executive non department public body to the Department of Health, providing system-wide leadership and oversight of workforce planning, education and training across England.</t>
  </si>
  <si>
    <t>HEE became an Executive NDPB on 1 April 2015, it was previously a SpHA.</t>
  </si>
  <si>
    <t>Gavin Larner, Director of Workforce</t>
  </si>
  <si>
    <t>Sir David Behan</t>
  </si>
  <si>
    <t>£60,000 - £65,000</t>
  </si>
  <si>
    <t>Health Research Authority</t>
  </si>
  <si>
    <t>The HRA’s core purpose is to protect and promote the interests of patients and the public in health and social care research. In order to achieve this we: make sure research is ethically reviewed and approved; promote transparency in research; oversee a range of committees and services; provide independent recommendations on the processing of identifiable patient information where it is not always practical to obtain consent, for research and non-research projects.</t>
  </si>
  <si>
    <t>The HRA became an Executive NDPB on 1 January 2015, it was previously a SpHA.</t>
  </si>
  <si>
    <t>Dr Louise Wood, Director of Science, Research &amp; Evidence</t>
  </si>
  <si>
    <t>Professor Jonathan Montgomery</t>
  </si>
  <si>
    <t>2 days per week</t>
  </si>
  <si>
    <t>Her Majesty's Courts and Tribunals Service</t>
  </si>
  <si>
    <t>To run an efficient and effective courts and tribunals system, which enables the rule of law to be upheld and provides access to justice for all.</t>
  </si>
  <si>
    <t>https://www.gov.uk/government/organisations/hm-courts-and-tribunals-service</t>
  </si>
  <si>
    <t>Richard Heaton, Permanent Secretary Ministry of Justice</t>
  </si>
  <si>
    <t>Tim Parker</t>
  </si>
  <si>
    <t>Approx. 25 days per year</t>
  </si>
  <si>
    <t>Her Majesty's Land Registry</t>
  </si>
  <si>
    <t>HM Land Registry registers the ownership and interests in land and property in England and Wales.  We keep and maintain the Land Register, where more than 25 million titles (the evidence of ownership) are documented. We also maintain a register of Land Charges, Agricultural Credits and Local Land Charges.</t>
  </si>
  <si>
    <t>HM Land Registry is a Non Ministerial Department, Executive Agency of BEIS and a trading fund. The intention is for HMLR to be removed from the trading fund and become and non-minsterial department alone with a voted budget as from 1 April 2020.</t>
  </si>
  <si>
    <t>Alex Chisholm, BEIS Permanent Secretary</t>
  </si>
  <si>
    <t>Michael Mire</t>
  </si>
  <si>
    <t>Parliamentary and Health Service Ombudsman
Independent Complaints Reviewer (internal)</t>
  </si>
  <si>
    <t>N/a as within a trading fund</t>
  </si>
  <si>
    <t>Her Majesty's Prison and Probation Service (HMPPS)</t>
  </si>
  <si>
    <t>Her Majesty’s Prison and Probation Service (HMPPS) is an Executive Agency of the Ministry of Justice (MoJ). Our role is to commission, provide and regulate the delivery of offender management services in the community and in custody ensuring best value for money from public resources. We work to protect the public and reduce reoffending by delivering the punishment and orders of the courts and supporting rehabilitation by helping offenders to reform their lives.</t>
  </si>
  <si>
    <t xml:space="preserve">Established 2008 as the National Offender Management Service - renamed Her Majesty's Prison and Probation Service in April 2017. The arrangements for the governance, accountability, financing, staffing and operation of HMPPS, are set out in the Agency framework agreement and agreed between the Secretary of State and the Chief Executive, and approved by the Chief Secretary to the Treasury - this was last updated April 2017. </t>
  </si>
  <si>
    <t>Approx. 10 to 20 days per year</t>
  </si>
  <si>
    <t>Prisons and Probation Ombudsman</t>
  </si>
  <si>
    <t>Her Majesty's Revenue and Customs</t>
  </si>
  <si>
    <t>HMRC collects tax and duties from individuals and businesses and supports families and children with Tax credits and Child Benefit.</t>
  </si>
  <si>
    <t>foi.request@hmrc.gov.uk</t>
  </si>
  <si>
    <t>https://www.gov.uk/government/organisations/hm-revenue-customs</t>
  </si>
  <si>
    <t>Sir Jonathan Thompson  - Chief Executive and Permanent Secretary of HM Revenue and Customs</t>
  </si>
  <si>
    <t>Mervyn Walker</t>
  </si>
  <si>
    <t>£20,000 - £25,000</t>
  </si>
  <si>
    <t>25 days per year</t>
  </si>
  <si>
    <t>High Speed 2 Ltd (HS2)</t>
  </si>
  <si>
    <t>High Speed Two (HS2) Limited is the company responsible for developing and promoting the UK’s new high speed rail network.</t>
  </si>
  <si>
    <t>Nick Joyce, Director General Resources and Strategy Group</t>
  </si>
  <si>
    <t>Allan Cook</t>
  </si>
  <si>
    <t>Queried</t>
  </si>
  <si>
    <t>Historic Buildings and Monuments Commission for England</t>
  </si>
  <si>
    <t>To promote the preservation of ancient monuments, historic buildings and conservation areas and to promote public understanding and enjoyment of the historic environment.</t>
  </si>
  <si>
    <t>Established 1984 as English Heritage. This was separated into two organisations from 1 April 2015. A new charity - The English Heritage Trust - took on responsibility for running the National Heritage Collection (NHC) of historic sites and monuments under the terms of a licence agreement, which runs for an initial period of eight years. The public body changed is name to Historic England, and retains the statutory responsibilities of the former English Heritage.</t>
  </si>
  <si>
    <t>http://www.historicengland.org.uk/</t>
  </si>
  <si>
    <t>Giles Smith</t>
  </si>
  <si>
    <t>Sir Laurie Magnus</t>
  </si>
  <si>
    <t>10-25 days per year</t>
  </si>
  <si>
    <t>Homes England</t>
  </si>
  <si>
    <t xml:space="preserve">Homes England is the government's national housing delivery agency, operating across England, but largely outside of London where responsibility sits with the Mayor of London. </t>
  </si>
  <si>
    <t>Homes England is an Executive NDPB. It is established in statute as the Homes and Communities Agency but has been operating under the name Homes England since January 2018</t>
  </si>
  <si>
    <t xml:space="preserve">https://www.gov.uk/government/organisations/homes-england
</t>
  </si>
  <si>
    <t>Jeremy Pocklington</t>
  </si>
  <si>
    <t>Sir Edward Lister</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</si>
  <si>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</si>
  <si>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</si>
  <si>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http://www.horniman.ac.uk/</t>
  </si>
  <si>
    <t>Rebecca Stockbridge Head of Museum Sponsorship</t>
  </si>
  <si>
    <t>Eve Salomon</t>
  </si>
  <si>
    <t>One day per month</t>
  </si>
  <si>
    <t>Horserace Betting Levy Board</t>
  </si>
  <si>
    <t>To assess and collect from bookmakers a statutory levy from the British horseracing betting business of bookmakers and the Tote successor company, which it then distributes for the improvement of horseracing and breeds of horses and for the advancement of veterinary science and education.</t>
  </si>
  <si>
    <t>http://www.hblb.org.uk/</t>
  </si>
  <si>
    <t xml:space="preserve">Julie Carney </t>
  </si>
  <si>
    <t>Paul Lee</t>
  </si>
  <si>
    <t xml:space="preserve">5-6 days per month </t>
  </si>
  <si>
    <t>House of Lords Appointment Commission, excluding political members</t>
  </si>
  <si>
    <t>The Commission's role is to select new independent members of the House of Lords and to vet party-political nominations put forward by the political parties.</t>
  </si>
  <si>
    <t>Trisatan Pedelty, Director for Public Bodies, Public Appointments and Propriety &amp; Ethics</t>
  </si>
  <si>
    <t>Lord Bew</t>
  </si>
  <si>
    <t>1-2 days per month</t>
  </si>
  <si>
    <t>underspend against original budget</t>
  </si>
  <si>
    <t>Human Fertilisation and Embryology Authority</t>
  </si>
  <si>
    <t>Licensing and inspection of fertility clinics and research projects involving human embryos. Holder and provider of information for the public, patients, donor conceived people and donors. Sets policy framework for fertility issues.</t>
  </si>
  <si>
    <t>Mark Davies, Director of Population Health</t>
  </si>
  <si>
    <t>Sally Cheshire</t>
  </si>
  <si>
    <t>Human Tissue Authority</t>
  </si>
  <si>
    <t>The Human Tissue Authority (HTA) aims to maintain public and professional confidence by ensuring that human tissue and organs are used safely and ethically and with proper consent. We regulate organisations that remove, store and use human tissue and organs for research, medical treatment, post-mortem examination, transplantation, teaching and display in public. We also give approval for organ and bone marrow donations from living people.</t>
  </si>
  <si>
    <t>William Horne</t>
  </si>
  <si>
    <t>Imperial War Museum</t>
  </si>
  <si>
    <t>The Imperial War Museum is a global authority on conflict and its impact, from the First World War to the present day, in Britain, its former Empire and Commonwealth.</t>
  </si>
  <si>
    <t>http://www.iwm.org.uk/</t>
  </si>
  <si>
    <t>Sir Stuart Peach</t>
  </si>
  <si>
    <t>One day a month</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</si>
  <si>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</si>
  <si>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deaths in custody.</t>
  </si>
  <si>
    <t>Nick Poyntz, Deputy Director, Prison Safety and Security Policy</t>
  </si>
  <si>
    <t>Juliet Lyon</t>
  </si>
  <si>
    <t>Independent Agricultural Appeals Panel</t>
  </si>
  <si>
    <t>Panel for appeals lodged with the Rural Payments Agency.</t>
  </si>
  <si>
    <t>There is no fixed Chair. Three Panel Members will sit at each hearing with one being nominated as Chair. The IAAP does not have any formal structure and is administered by a team in the Rural Payments Agency.</t>
  </si>
  <si>
    <t>Andy King, Customer Director,
Rural Payments Agency</t>
  </si>
  <si>
    <t xml:space="preserve">There is no fixed Chair. Three Panel Members will sit at each hearing with one being nominated as Chair. The chair is paid the same as panel members </t>
  </si>
  <si>
    <t>Independent Commission for Aid Impact</t>
  </si>
  <si>
    <t>To scrutinise overseas development assistance (ODA) spent by the UK Government.</t>
  </si>
  <si>
    <t xml:space="preserve">Emma Stewart </t>
  </si>
  <si>
    <t>Dr Tamsyn Barton</t>
  </si>
  <si>
    <t>Independent Commission on Civil Aviation Noise</t>
  </si>
  <si>
    <t>ICCAN is a non-statutory, advisory body created to provide independent, impartial advice to government, regulators and the UK aviation industry.</t>
  </si>
  <si>
    <t>Gareth Davies, Director General International and Security Group</t>
  </si>
  <si>
    <t>Rob Light</t>
  </si>
  <si>
    <t>120 days per year</t>
  </si>
  <si>
    <t>Independent Medical Expert Group</t>
  </si>
  <si>
    <t>The Independent Medical Expert Group advises the Minister for Defence People and Veterans on medical and scientific aspects of Armed Forces Compensation Scheme (AFCS) and related matters.</t>
  </si>
  <si>
    <t>Helen Helliwell - Dir Armed Forces People Policy</t>
  </si>
  <si>
    <t>Professor Sir Anthony Newman Taylor</t>
  </si>
  <si>
    <t>16-20 days per year including four meetings a year</t>
  </si>
  <si>
    <t>Independent Office for Police Conduct</t>
  </si>
  <si>
    <t>The Independent Office for Police Conduct (IOPC) oversees the police complaints system in England and Wales. They investigate the most serious matters, including deaths following police contact, and set the standards by which the police should handle complaints. They use learning from their work to influence changes in policing. They are independent, and make their decisions entirely independently of the police and government.</t>
  </si>
  <si>
    <t>enquiries@policeconduct.gov.uk</t>
  </si>
  <si>
    <t>Scott McPherson - DG Crime, Policing &amp; Fire Group</t>
  </si>
  <si>
    <t>Michael Lockwood. Director General</t>
  </si>
  <si>
    <t>RDEL for 19/20 is £76,665,00
of which:
Programme Near Cash = £70,645,000
Non Cash (depreciation) = £6,020,000
Income = £300,000
Total capital = £715,000</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</si>
  <si>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</si>
  <si>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</si>
  <si>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Lee McDonough, Director General - Acute Care and Workforce</t>
  </si>
  <si>
    <t>Bernard Ribeiro</t>
  </si>
  <si>
    <t xml:space="preserve">Two days per week </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</si>
  <si>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</si>
  <si>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</si>
  <si>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 xml:space="preserve">iiac@dwp.gov.uk </t>
  </si>
  <si>
    <t>Jamey Johnson, Deputy Director, ALB Partnership Division, DWP</t>
  </si>
  <si>
    <t>Doctor  Lesley Rushton</t>
  </si>
  <si>
    <t>Minimum average time commitment of 60 days per year (including time preparing for meetings and travelling time).</t>
  </si>
  <si>
    <t>Information Commissioner's Office</t>
  </si>
  <si>
    <t>The Information Commissioner’s Office is the UK’s independent authority set up to uphold information rights in the public interest, promoting openness by public bodies and data privacy for individuals.</t>
  </si>
  <si>
    <t>http://www.ico.org.uk/</t>
  </si>
  <si>
    <t>James Snook</t>
  </si>
  <si>
    <t>Elizabeth Denham</t>
  </si>
  <si>
    <t>First-tier tribunal (Information Rights) (for Freedom of Information decisions)
Parliamentary and Health Service Ombudsman (all other matters)</t>
  </si>
  <si>
    <t>Insolvency Rules Committee</t>
  </si>
  <si>
    <t>The Insolvency Rules Committee considers amendments to the rules arising out of a review of secondary insolvency legislation, giving their recommendations to the Lord Chancellor.</t>
  </si>
  <si>
    <t>policy.unit@insolvency.gov.uk  
The IRC itself does not have an email address but may be contacted through InsS</t>
  </si>
  <si>
    <t>Paul Bannister, Head of Policy, InsS</t>
  </si>
  <si>
    <t>Mr Justice Zacaroli</t>
  </si>
  <si>
    <t xml:space="preserve">Variable but on average three weeks per year.  </t>
  </si>
  <si>
    <t>Insolvency Service</t>
  </si>
  <si>
    <t>IS helps to deliver economic confidence by supporting those in financial distress, tackling financial wrongdoing and maximising returns to creditors.</t>
  </si>
  <si>
    <t>Stephen Allinson</t>
  </si>
  <si>
    <t>£15,000 - £20,000</t>
  </si>
  <si>
    <t>Not stated</t>
  </si>
  <si>
    <t>Institute for Apprenticeships</t>
  </si>
  <si>
    <t>The Institute for Apprenticeships and Technical Education works with employer groups called trailblazers to oversee the development, approval and publication of apprenticeship standards and assessment plans and makes recommendations on funding bands to the Department for Education for each standard. It also oversees the occupational maps for T Levels and apprenticeships. The Institute is responsible for Technical Qualifications, which is the main, classroom-based element of the T Level. T Levels are two-year technical study programmes that will become one of three major options for students to study at level 3 alongside apprenticeships and A levels. The Institute also has a role overseeing External Quality Assurance (EQA) across all EQA providers to ensure quality, consistency and credibility. The Institute leads work through the Quality Alliance to develop and maintain the Apprenticeship Quality Strategy.</t>
  </si>
  <si>
    <t>Sir Gerry Berragan, Chief Executive</t>
  </si>
  <si>
    <t>Antony Jenkins</t>
  </si>
  <si>
    <t>Government funding in £000s figure provided is the IfATE delegated budget for 18-19</t>
  </si>
  <si>
    <t>Intellectual Property Office</t>
  </si>
  <si>
    <t>The IPO is the official UK government body responsible for intellectual property (IP) rights including patents, designs, trade marks and copyright.</t>
  </si>
  <si>
    <t>Established 1852, Intellectual Property Office became the operating name of the Patent Office in April 2007.</t>
  </si>
  <si>
    <t>Tim Suter</t>
  </si>
  <si>
    <t>22 days per year</t>
  </si>
  <si>
    <t>IPO is a Trading Fund and its expenditure is not classified as RDEL, CDEL or RAME. All of its costs are covered by income.</t>
  </si>
  <si>
    <t>Investigatory Powers Tribunal</t>
  </si>
  <si>
    <t>Tribunal NDPB</t>
  </si>
  <si>
    <t xml:space="preserve">The Investigatory Powers Tribunal (IPT) is a judicial body established in October 2000 under Part IV of RIPA. </t>
  </si>
  <si>
    <t>Chloe Squires - Director of National Security Directorate</t>
  </si>
  <si>
    <t>The Rt. Hon. Lord Justice Singh</t>
  </si>
  <si>
    <t>The Chair has not been allocated any time to perform his functions on the Tribunal. The day to day running of the Tribunal is led by the Vice President. He has been allocated one day a week for Tribunal work.</t>
  </si>
  <si>
    <t>Joint Nature Conservation Committee</t>
  </si>
  <si>
    <t>JNCC is the public body that advises the UK Government and devolved administrations on UK-wide and international nature conservation</t>
  </si>
  <si>
    <t xml:space="preserve">Edward Barker, Director,
Natural Environment </t>
  </si>
  <si>
    <t>Chris Gilligan</t>
  </si>
  <si>
    <t>Dr Richard Jarvis</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</si>
  <si>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</si>
  <si>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</si>
  <si>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jaas@judicialappointments.gov.uk</t>
  </si>
  <si>
    <t>www.judicialappointments.gov.uk</t>
  </si>
  <si>
    <t>Director General, Justice and Courts Policy Group</t>
  </si>
  <si>
    <t>Lord Kakkar</t>
  </si>
  <si>
    <t xml:space="preserve">£55,000 ‑ £60,000 </t>
  </si>
  <si>
    <t>Judicial Appointments and Conduct Ombudsman</t>
  </si>
  <si>
    <t>Land Registration Rule Committee</t>
  </si>
  <si>
    <t>The LRRC advises and assists in the making of Land Registration Rules and Land Registration Fee Orders and draft amendments for the Secretary of State under the Land Registration Act 2002.</t>
  </si>
  <si>
    <t>Mr Justice Morgan</t>
  </si>
  <si>
    <t>Law Commission</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</si>
  <si>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</si>
  <si>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Mark Sweeney, Director General 
Justice Policy, Strategy and Communications Group</t>
  </si>
  <si>
    <t>Sir Nicholas Green</t>
  </si>
  <si>
    <t>Leasehold Advisory Service (LEASE)</t>
  </si>
  <si>
    <t>To provide free, high quality and impartial advice to leaseholders and park home owners, and to Government on all aspects of residential leasehold and park home law in England and Wales.</t>
  </si>
  <si>
    <t>Anne Frost, Director, Leasehold and Private Rented Sector</t>
  </si>
  <si>
    <t>Wanda Goldwag</t>
  </si>
  <si>
    <t>4 days per month</t>
  </si>
  <si>
    <t>Legal Aid Agency</t>
  </si>
  <si>
    <t>Review Panel of practising solicitors and barristers considers appeals against some of the LAA's decisions on legal aid applications and costs.</t>
  </si>
  <si>
    <t>Shaun McNally</t>
  </si>
  <si>
    <t>Jane Harbottle</t>
  </si>
  <si>
    <t>Legal Services Board</t>
  </si>
  <si>
    <t>The Legal Services Board (LSB) oversees the regulation of legal services in England and Wales. It does this through its oversight of eleven bodies, the approved regulators, who themselves regulate directly the circa 167,000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</si>
  <si>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Dr Helen Phillips</t>
  </si>
  <si>
    <t>Minimum 70 days per year</t>
  </si>
  <si>
    <t>LocatEd Property Limited</t>
  </si>
  <si>
    <t>LocatED Property Limited (LocatED) has a vital role in supporting the department to meet the Government’s commitment to an ambitious free schools programme that aims to deliver choice, innovation and higher standards for parents.  One of England’s largest purchasers of land, we provide the commercial and property market expertise to secure the required sites more quickly, and at better value for the department. LocatED manages sites and schools held by the department and free school trusts, that are not in use, to identify and implement enhanced value. It also disposes of sites that are no longer needed and provides specialist property advice to the department, including the Education and Skills Funding Agency, and where relevant, to other bodies in relation to education provision.</t>
  </si>
  <si>
    <t>Rory Kennedy, Director of Capital</t>
  </si>
  <si>
    <t>Michael Strong</t>
  </si>
  <si>
    <t>Information collated from LocatED internal reporting as the formal accounts have not yet been signed off.</t>
  </si>
  <si>
    <t>Low Pay Commission</t>
  </si>
  <si>
    <t>The LPC advises the government about the National Living Wage and the National Minimum Wage.</t>
  </si>
  <si>
    <t>Bryan Sanderson</t>
  </si>
  <si>
    <t>16 days per year</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</si>
  <si>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</si>
  <si>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</si>
  <si>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Neil Hornby, Director, Marine and Fisheries</t>
  </si>
  <si>
    <t>Hilary Florek</t>
  </si>
  <si>
    <t>Eight days per month</t>
  </si>
  <si>
    <t>Maritime and Coastguard Agency (MCA)</t>
  </si>
  <si>
    <t>The Maritime and Coastguard Agency (MCA) provides a 24-hour maritime search and rescue service; enforces ship safety, prevents pollution, promotes seafarer health, safety and welfare standards by survey and inspection; registers and certificates ships and seafarers; and manages pollution prevention and response.</t>
  </si>
  <si>
    <t>Michael Parker</t>
  </si>
  <si>
    <t>110 days per year</t>
  </si>
  <si>
    <t>Marshall Aid Commemoration Commission</t>
  </si>
  <si>
    <t>Awarding scholarships to students from the US.</t>
  </si>
  <si>
    <t>Helen Bower-Easton, Communication Director, FCO</t>
  </si>
  <si>
    <t>Christopher Fisher</t>
  </si>
  <si>
    <t>Medicines and Healthcare Products Regulatory Agency</t>
  </si>
  <si>
    <t xml:space="preserve">The Medicines and Healthcare products Regulatory Agency regulates medicines, medical devices and blood components for transfusion in the UK. Recognised globally as an authority in its field, the agency plays a leading role in protecting and improving public health and supports innovation through scientific research and development. </t>
  </si>
  <si>
    <t>Trading Fund.  There are ten non-executive members of the Board (one chairman and nine non executive directors) and two executive members (Chief Executive and Chief Operating Officer)</t>
  </si>
  <si>
    <t>Liz Woodeson, Director of Medicines and Pharmacy</t>
  </si>
  <si>
    <t>Sir Michael Rawlins</t>
  </si>
  <si>
    <t>Met Office</t>
  </si>
  <si>
    <t>Met Office, through world leading research, 24/7 operations and technology, provides weather and climate services to government, the Armed Forces, the public, civil aviation, shipping, industry, agriculture and commerce and it is also responsible for the UK's National Severe Weather Warning Service.</t>
  </si>
  <si>
    <t>Rob Woodward</t>
  </si>
  <si>
    <t>27-36 days per year</t>
  </si>
  <si>
    <t>Please note the income line for each entity, reflects the actual income that is reported in their annual accounts.
2. The total Government funding line represent the total DEL each entity has received from government departments including BEIS, as well as other external source to Government.
3. CDEL relates to the total Science R&amp;D expenditure BEIS provides to the Met Office of which is included in the total funding it received from government</t>
  </si>
  <si>
    <t>Migration Advisory Committee</t>
  </si>
  <si>
    <t>Advisory Body on Migration Issues, building evidence base for migration policy.</t>
  </si>
  <si>
    <t xml:space="preserve">Professor Alan Manning </t>
  </si>
  <si>
    <t>National Archives, The</t>
  </si>
  <si>
    <t>As the Government's national archive and publisher for England, Wales and the United Kingdom, we hold over 1,000 years of the nation's records for everyone to discover and use.</t>
  </si>
  <si>
    <t>Jeff James</t>
  </si>
  <si>
    <t>Lesley Cowley OBE</t>
  </si>
  <si>
    <t>More Information regrding remunerations can be found: https://www.nationalarchives.gov.uk/documents/the-national-archives-annual-report-and-accounts-2018-19.pdf, p.55</t>
  </si>
  <si>
    <t>National Army Museum</t>
  </si>
  <si>
    <t>The National Army Museum (NAM) was established by Royal Charter in 1960 to collect, preserve and exhibit objects and records relating to the Regular and Auxiliary forces of the British Army and of the Commonwealth, and to encourage research into their history and traditions. Devolved status was accorded to the Museum u nder the terms of the National Heritage Act 1983.  The Grant-in-Aid, made through the Ministry of Defence (MOD), is administered by the Director General of the Museum on behalf of the governing body, the Council of the NAM.</t>
  </si>
  <si>
    <t>David Stephens, D Res Army HQ</t>
  </si>
  <si>
    <t>General Sir Richard Shirreff KCB CBE</t>
  </si>
  <si>
    <t>National Audtit Office
Charity Commission</t>
  </si>
  <si>
    <t>National Citizen Service Trust</t>
  </si>
  <si>
    <t>Purpose is to provide or arrange for the provision of programmes for young people in England with the purpose of making society a more fairer, kinder and compassionate place.</t>
  </si>
  <si>
    <t>Mark Gifford</t>
  </si>
  <si>
    <t>Brett Wigdortz</t>
  </si>
  <si>
    <t xml:space="preserve">1-2 days per week </t>
  </si>
  <si>
    <t xml:space="preserve">N/A </t>
  </si>
  <si>
    <t>For columns AH - AJ, answer is N/A as RDEL / CDEL distinction not valid until 1 December 2018 as we were a grant receiving body (Community Interest Company)</t>
  </si>
  <si>
    <t>National Crime Agency Remuneration Review Body</t>
  </si>
  <si>
    <t>The National Crime Agency Remuneration Review Body makes independent recommendations to the government on the pay and allowances of National Crime Agency officers designated with operational powers.</t>
  </si>
  <si>
    <t>anne.miller@beis.gov.uk</t>
  </si>
  <si>
    <t>Gabrielle Kann</t>
  </si>
  <si>
    <t>Anita Bharucha</t>
  </si>
  <si>
    <t>Approx. 16 days a year (for the PRRB and NCARRB in total) for visits and meetings plus time for preparation and ad hoc meetings and calls.</t>
  </si>
  <si>
    <t>National Crime Agency</t>
  </si>
  <si>
    <t>The mission of the National Crime Agency (NCA) is to lead the UK's fight to cut serious and organised crime.</t>
  </si>
  <si>
    <t>Lynne Owens</t>
  </si>
  <si>
    <t xml:space="preserve">Her Majesty's Inspectorate of Constabulary and Fire &amp; Rescure Services
Independent Police Complaints Commission
Police Investigations and Review Commissioner 
Police Ombudsman of Northern Ireland
 </t>
  </si>
  <si>
    <t>National Gallery</t>
  </si>
  <si>
    <t>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t>
  </si>
  <si>
    <t>Trustees Ministerial; Chair appointed by Trustees from among their number</t>
  </si>
  <si>
    <t>http://www.nationalgallery.org.uk/</t>
  </si>
  <si>
    <t>Hannah Rothschild</t>
  </si>
  <si>
    <t>Two days per month</t>
  </si>
  <si>
    <t>National Heritage Memorial Fund/Heritage Lottery Fund</t>
  </si>
  <si>
    <t>An organisation that makes grants to heritage from both Government and Lottery funding.</t>
  </si>
  <si>
    <t>http://www.hlf.org.uk/</t>
  </si>
  <si>
    <t>Sir Peter Luff</t>
  </si>
  <si>
    <t>National Infrastructure Commission</t>
  </si>
  <si>
    <t xml:space="preserve">The National Infrastructure Commission (NIC) has been established to provide impartial, expert advice and make indepenedent recommendations to the government on economic infrastructure. It operates independently, at arm's length from government. Its objectives are to support sustainable economic growth across all regions of the UK; improve competitiveness; improve quality of life. The Commission advises the government on all sectors of economic infrastructure, defined as follows: energy, transport, water and wastewater (drainage and sewerage), waste, flood risk management and digital communications. The Commission will also consider the potential interactions between its infrastructure recommendations and housing supply. In carrying out its role, the Commission will produce the following: (i) a National Infrastructure Assessment; (ii) specific studies on pressing infrastructure challenges; (iii) an annual monitoring report, taking stock of the government's progress in areas where it has committed to taking forward the NIC's recommendations. </t>
  </si>
  <si>
    <t>Charles Roxburgh, 2nd Permanent Secretary, HM Treasury</t>
  </si>
  <si>
    <t>Sir John Armitt</t>
  </si>
  <si>
    <t>yes</t>
  </si>
  <si>
    <t>year</t>
  </si>
  <si>
    <t>National Institute for Health and Care Excellence</t>
  </si>
  <si>
    <t>National Institute for Health and Care Excellence (NICE) provides guidance, standards and information to help health, public health and social care professionals deliver the best possible care based on the best available evidence.</t>
  </si>
  <si>
    <t>Sir David Haslam</t>
  </si>
  <si>
    <t>National Museum of the Royal Navy</t>
  </si>
  <si>
    <t>To promote public understanding of the history, deeds and traditions of the Naval Service and its auxiliaries. To promote and enhance military efficiency by assisting in recruitment and retention and fostering esprit de corps. To commemorate and remember those who have died on active service.</t>
  </si>
  <si>
    <t>Dr Caroline Williams</t>
  </si>
  <si>
    <t>Board of Trustees meets four times a year.  The Chair aslo acts as ambassador for the National Museum, attending fundraising events, opening new exhibitions and meetings with the Royal Navy/MOD or other key partners and stakeholders as required.</t>
  </si>
  <si>
    <t>National Museums Liverpool</t>
  </si>
  <si>
    <t>National Museums Liverpool aims to use its collections and other assets to provide the widest possible educational benefit and to promote the public enjoyment and understanding of art, history and science.</t>
  </si>
  <si>
    <t>http://www.liverpoolmuseums.org.uk/</t>
  </si>
  <si>
    <t>Sir David Henshaw</t>
  </si>
  <si>
    <t>1 to 2 days per month time commitment in addition to Chairing 5 Board meetings per year</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</si>
  <si>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</si>
  <si>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</si>
  <si>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http://www.npg.org.uk/</t>
  </si>
  <si>
    <t>David Ross</t>
  </si>
  <si>
    <t>National Savings and Investments (NS&amp;I)</t>
  </si>
  <si>
    <t>NS&amp;I's mission is to provide cost-effective financing for government and the public good; offer trusted savings and investments propositions; deliver valued services for the Government; and support a fair and competitive market by balancing the interests of its savers, taxpayers and the market.</t>
  </si>
  <si>
    <t xml:space="preserve">NS&amp;I is both a Non-Ministerial Department and Executive Agency (NS&amp;I has dual status). </t>
  </si>
  <si>
    <t>Ian Ackerley</t>
  </si>
  <si>
    <t>Ed Anderson</t>
  </si>
  <si>
    <t>144 hours per year</t>
  </si>
  <si>
    <t>Financial Ombudsman Service</t>
  </si>
  <si>
    <t>Natural England</t>
  </si>
  <si>
    <t>Natural England is the government’s advisor on the natural environment. It provides practical advice, grounded in science, on how best to safeguard England’s natural wealth for the benefit of everyone.</t>
  </si>
  <si>
    <t>Andrea Ledward, Director, Natural Environment Directorate</t>
  </si>
  <si>
    <t>Tony Juniper</t>
  </si>
  <si>
    <t>Three days a week in first year 
Total £85,500 based on
£546 day rate then rounded up to nearest £500</t>
  </si>
  <si>
    <t>Natural History Museum</t>
  </si>
  <si>
    <t>The Natural History Museum challenges the way people think about the natural world - its past, present and future.</t>
  </si>
  <si>
    <t>http://www.nhm.ac.uk/</t>
  </si>
  <si>
    <t>Lord Stephen Green</t>
  </si>
  <si>
    <t xml:space="preserve">One day per month </t>
  </si>
  <si>
    <t>NHS Business Services Authority</t>
  </si>
  <si>
    <t>Provides central services to NHS bodies, patients and the public for: NHS Pension Scheme; Overseas Health; Presciption and Dental Charges,  Help for Health Costs; NHS Electronic Staff Record; NHS Jobs;  England Infected Blood Support Scheme; Healthy Food Scheme; and Child Migrant Payment Scheme.</t>
  </si>
  <si>
    <t>Steve Oldfield, Chief Commercial Officer</t>
  </si>
  <si>
    <t>Silla Maizey</t>
  </si>
  <si>
    <t>NHS England</t>
  </si>
  <si>
    <t>From 1 April 2019, NHS England and NHS Improvement come together to act as a single organisation with the aim of better supporting the NHS to improve care for patients. The organisation is responsible for system leadership of the NHS and ensuring that national policy and funding aligns with the needs of regional health economies in order to deliver more efficient and joined up services. The organisation is also responsible for delivering the NHS Long Term Plan and achieving the goals set out in the multiyear funding settlement for the next five years.</t>
  </si>
  <si>
    <t>The NHS Commissioning Board (NHS CB) was established on 1 October 2012 as an executive non-departmental public body. Since 1 April 2013, the NHS Commissioning Board has used the name NHS England for operational purposes.  Prior to this, the NHS Commissioning Board Special Health Authority, in existence from October 2011 to 30 September 2012, was established to design the proposed commissioning landscape and develop its business functions.
Section 2 of the Health Service Commissioners Act 1992 gives the bodies subject to investigation by the Health Service Commissioner for England.</t>
  </si>
  <si>
    <t>Lord David Prior</t>
  </si>
  <si>
    <t>Yes - jointly with NHS Improvement's Board</t>
  </si>
  <si>
    <t xml:space="preserve">NHS Improvement </t>
  </si>
  <si>
    <t xml:space="preserve">NHS Improvement is responsible for overseeing foundation trusts and NHS trusts, as well as independent providers that provide NHS-funded care. We offer the support these providers need to give patients consistently safe, high quality, compassionate care within local health systems that are financially sustainable. By holding providers to account and, where necessary, intervening, we help the NHS to meet its short-term challenges and secure its future. </t>
  </si>
  <si>
    <t>NHS Improvement is responsible for overseeing NHS foundation trusts, NHS trusts and independent providers. We offer the support these providers need to give patients consistently safe, high quality, compassionate care within local health systems that are financially sustainable. By holding providers to account and, where necessary, intervening, we help the NHS to meet its short-term challenges and secure its future. NHS Improvement is the operational name for the organisation that brings together Monitor, NHS Trust Development Authority (NHS TDA), Patient Safety including the National Reporting and Learning System, the Advancing Change team and the Intensive Support Teams.</t>
  </si>
  <si>
    <t>Lee McDonough , Director General of Acute Care and Workforce</t>
  </si>
  <si>
    <t>Baroness Dido Harding</t>
  </si>
  <si>
    <t>Yes - jointly with NHS England's Board</t>
  </si>
  <si>
    <t>NHS Pay Review Body</t>
  </si>
  <si>
    <t>To make recommendations on the remuneration of all staff paid under Agenda for Change and employed in the NHS.</t>
  </si>
  <si>
    <t>Phillippa Hird</t>
  </si>
  <si>
    <t>15 days per year</t>
  </si>
  <si>
    <t>Northern Ireland Human Rights Commission</t>
  </si>
  <si>
    <t>To promote and protect the human rights of everyone in Northern Ireland.</t>
  </si>
  <si>
    <t xml:space="preserve">info@nihrc.org 
</t>
  </si>
  <si>
    <t>www.nihrc.org</t>
  </si>
  <si>
    <t>Les Allamby</t>
  </si>
  <si>
    <t>Northern Lighthouse Board (Commissioners of Northern Lighthouses)</t>
  </si>
  <si>
    <t>The Commissioners of Northern Lighthouses (operating as the Northern Lighthouse Board) have various powers and responsibilities in connection with the provision, maintenance, alteration, inspection and control of lighthouses, buoys and beacons. The NLB's area of responsibility are the waters and coastline of Scotland and the Isle of Man.</t>
  </si>
  <si>
    <t>Mike Brew</t>
  </si>
  <si>
    <t>Nuclear Decommissioning Authority</t>
  </si>
  <si>
    <t>The NDA ensures the safe and efficient clean-up of the UK’s nuclear legacy.</t>
  </si>
  <si>
    <t>Tom Smith</t>
  </si>
  <si>
    <t>Nuclear Research Advisory Council</t>
  </si>
  <si>
    <t>NRAC advises upon the UK’s ability to design, certify, manufacture and support an effective and reliable nuclear stockpile in the context of the Comprehensive Test Ban Treaty (CTBT) and Non-Proliferation Treaty (NPT). This includes assessments of effectiveness, resilience and efficiency in terms of: The UK Warhead programme: The technical capabilities and resources required to support warhead-related activities; Strategic arrangements and planning and Collaboration with industry, academia, government and international allies.</t>
  </si>
  <si>
    <t>The name of the Chair and Members of NRAC are not published due to the nature of the work they undertake.</t>
  </si>
  <si>
    <t>https://www.gov.uk/government/organisations/nuclear-research-advisory-council</t>
  </si>
  <si>
    <t>Dr Paul Hollinshead, DNO Director Warhead; Professor Robin Grimes, (CSA(N))</t>
  </si>
  <si>
    <t>Office for Budget Responsibility</t>
  </si>
  <si>
    <t>The Office for Budget Responsibility (OBR) provides independent and authoritative analysis of the UK’s public finances. The main duty of the OBR is to examine and report on the sustainability of the public finances. In carrying out this duty, the OBR has six main responsibilities: the production of the fiscal and economic forecasts, including independent scrutiny of the impact of policy measures; an assessment of whether the Government’s fiscal mandate is being met; an assessment of the accuracy of the previous fiscal and economic forecasts; an analysis of the sustainability of the public finances; a report on trends in welfare spending and an assessment of the Government's performance against the welfare cap; and, once every two years, production of a dedicated report on fiscal risks.</t>
  </si>
  <si>
    <t>www.obr.uk</t>
  </si>
  <si>
    <t>Clare Lombardelli, DG,  Chief Economic Advisor, HM Treasury</t>
  </si>
  <si>
    <t>Robert Chote</t>
  </si>
  <si>
    <t>Office for Standards in Education, Children’s Services and Skills (OFSTED)</t>
  </si>
  <si>
    <t>Ofsted is the Office for Standards in Education, Children’s Services and Skills. We inspect services providing education and skills for learners of all ages. We also inspect and regulate services that care for children and young people. Ofsted’s role is to make sure that organisations providing education, training and care services in England do so to a high standard for children and students. Every week, we carry out hundreds of inspections and regulatory visits throughout England and publish the results online. We report directly to Parliament and we are independent and impartial.</t>
  </si>
  <si>
    <t xml:space="preserve">Chris Jones, Director Corporate Strategy </t>
  </si>
  <si>
    <t>Julius Weinberg</t>
  </si>
  <si>
    <t>Office for Students</t>
  </si>
  <si>
    <t>Regulator for higher education in England.</t>
  </si>
  <si>
    <t>info@officeforstudents.org.uk</t>
  </si>
  <si>
    <t>Ian Coates</t>
  </si>
  <si>
    <t>Sir Michael Barber</t>
  </si>
  <si>
    <t>Eight days per  month</t>
  </si>
  <si>
    <t>Office of Gas and Electricity Markets (Ofgem)</t>
  </si>
  <si>
    <t>Ofgem is the Office of Gas and Electricity Markets. We are a non-ministerial government department and an independent National Regulatory Authority, recognised by EU Directives. We have a number of statutory roles and duties. Our principal objective when carrying out the vast majority of our functions is to protect the interests of existing and future electricity and gas consumers.</t>
  </si>
  <si>
    <t>Dermot Nolan, Chief Executive Officer</t>
  </si>
  <si>
    <t xml:space="preserve">Martin Cave  </t>
  </si>
  <si>
    <t>Four days per week</t>
  </si>
  <si>
    <t>Office of Qualifications and Examinations Regulation (OFQUAL)</t>
  </si>
  <si>
    <t>Ofqual is the regulator of qualifications, examinations and assessments in England. We’re responsible for making sure that regulated qualifications reliably indicate the knowledge, skills and understanding students have demonstrated, that assessments and exams show what a student has achieved, that people have confidence in the qualifications that we regulate and that students and teachers have information on the full range of qualifications that we regulate.</t>
  </si>
  <si>
    <t>http://ofqual.gov.uk/</t>
  </si>
  <si>
    <t>Sally Collier</t>
  </si>
  <si>
    <t>Roger Taylor</t>
  </si>
  <si>
    <t>Office of Rail and Road</t>
  </si>
  <si>
    <t xml:space="preserve">ORR, as the combined economic and safety regulator, is responsible for railway health and safety matters and the regulation of access to railways and promotion of competition in the provision of rail services. It is also responsible for promoting efficiency and economy for those providing railway services and protecting the interests of railway service users. ORR is responsible for monitoring Highways England's management and operation of the strategic road network. ORR acts as the appeal body, controls the network statement, monitors the competitive situation of rail services, and oversees the efficient management and fair and non-discriminatory use of rail infrastructure for Northern Ireland. </t>
  </si>
  <si>
    <t>Freya Guinness - Director Corporate Operations
and Organisational Development</t>
  </si>
  <si>
    <t>Declan Collier</t>
  </si>
  <si>
    <t>All rail related costs are funded via licence fees and safety levy.Highways monitoring costs are funded via a DfT grant. We have a token vote of £3k from HM Treasury.</t>
  </si>
  <si>
    <t>Office of the Children’s Commissioner, The</t>
  </si>
  <si>
    <t>Promoting and protecting the rights of children in England and promoting awareness of the views and interests of Children in England.</t>
  </si>
  <si>
    <t>Christina Bankes/Katy Weeks</t>
  </si>
  <si>
    <t>Office of the Immigration Services Commissioner</t>
  </si>
  <si>
    <t xml:space="preserve">It regulates the provision of immigration advice and services throughout the UK. </t>
  </si>
  <si>
    <t xml:space="preserve">There is no chair. OISC is led by a commissioner, assisted by the Chair of ARAC. </t>
  </si>
  <si>
    <t>Simon Bond</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</si>
  <si>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</si>
  <si>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</si>
  <si>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t>Mike Driver, Chief Financial Officer, CFO Group, MoJ</t>
  </si>
  <si>
    <t>Alan Eccles</t>
  </si>
  <si>
    <t>Full</t>
  </si>
  <si>
    <t>The Water Services Regulation Authority (OFWAT)</t>
  </si>
  <si>
    <t>Ofwat promotes the consumer interest, whilst ensuring that efficient companies in the sector can access capital markets.  Ofwat's principal tools include  the setting of price limits for monopoly companies, the enforcement of licences, the determination of disputes, and market monitoring.</t>
  </si>
  <si>
    <t>Rachel Fletcher</t>
  </si>
  <si>
    <t>Jonson Cox</t>
  </si>
  <si>
    <t>Parades Commission for Northern Ireland</t>
  </si>
  <si>
    <t>Under the Public Processions (NI) Act 1998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</si>
  <si>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 xml:space="preserve">info@paradescommissionni.org </t>
  </si>
  <si>
    <t>www.paradescommission.org</t>
  </si>
  <si>
    <t>Mark Larmour, NIO Director</t>
  </si>
  <si>
    <t>Anne Henderson</t>
  </si>
  <si>
    <t>Month</t>
  </si>
  <si>
    <t>Parole Board for England and Wales with the exception of judicial members</t>
  </si>
  <si>
    <t>The Parole Board is an independent body that works with its criminal justice partners to protect the public by risk assessing prisoners to decide whether they can be safely released into the community.</t>
  </si>
  <si>
    <t>Caroline Corby</t>
  </si>
  <si>
    <t>Pensions Ombudsman</t>
  </si>
  <si>
    <t>To investigate and decide on complaints and disputes concerning occupational and personal pension schemes. The Ombudsman is completely independent and acts as an impartial adjudicator.</t>
  </si>
  <si>
    <t>enquiries@pensions-ombudsman.org.uk</t>
  </si>
  <si>
    <t>http://www.pensions-ombudsman.org.uk/</t>
  </si>
  <si>
    <t>Pensions Regulator</t>
  </si>
  <si>
    <t>To protect the benefits of members of occupational pension schemes , to protect the benefits of members of personal pension schemes (where there is a direct payment arrangement), to promote, and to improve understanding of the good administration of work-based pension schemes, to reduce the risk of situations arising which may lead to compensation being payable from the Pension Protection Fund (PPF), to maximise employer compliance with employer duties and the employment safeguards introduced by the Pensions Act 2008, to minimise any adverse impact on the sustainable growth of an employer (in relation to the exercise of the regulator’s functions under Part 3 of the Pensions Act 2004 only). Our new objective on sustainable growth came into force on 14 July 2014.</t>
  </si>
  <si>
    <t>Mark  Boyle</t>
  </si>
  <si>
    <t>DEL Expenditure slightly higher than Grants mainly due to depreciation</t>
  </si>
  <si>
    <t>Planning Inspectorate</t>
  </si>
  <si>
    <t>The Planning Inspectorate deals with planning appeals, national infrastructure planning applications, examinations of local plans and other planning-related and specialist casework in England and Wales.The Planning Inspectorate is an executive agency, sponsored by the Ministry of Housing, Communities &amp; Local Government and the Welsh Government. </t>
  </si>
  <si>
    <t xml:space="preserve">Joint executive agency of MHCLG and Welsh Government. </t>
  </si>
  <si>
    <t>Simon Gallagher</t>
  </si>
  <si>
    <t>Trudi Elliot</t>
  </si>
  <si>
    <t xml:space="preserve">Expected to attend a minimum number of meetings (about 12 a year) of the Board, and as required, ad hoc Board Meetings. Also expected to attedn the Planning Inspectorates Customer, Quality and Professional Standards Committee, People Committee and Audit and Risk Assurance Committee, all of which meet quarterly. </t>
  </si>
  <si>
    <t>Plant Varieties and Seeds Tribunal</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</si>
  <si>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</si>
  <si>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 xml:space="preserve">Tribunal has not sat since 1984. </t>
  </si>
  <si>
    <t>Prof Nicola Spence, Chief
 Plant Health Officer and Deputy Director, Plant Health, Bee Health and Seeds</t>
  </si>
  <si>
    <t>Police Discipline Appeals Tribunal</t>
  </si>
  <si>
    <t>Hears appeals against the findings of internal disciplinary proceedings brought against members of the police force.</t>
  </si>
  <si>
    <t>There is no single Chair of the NDPB, no board and no staff.</t>
  </si>
  <si>
    <t>Rachel Watson - Policing Director 
Zoe Wilkinson - Head of Sponsorship Unit</t>
  </si>
  <si>
    <t>N/A - each member is a practising lawyer who can be called on by PCCs. There is no chair of the ALB or a senior member leading it.</t>
  </si>
  <si>
    <t>Ad-hoc, as long as needed for each tribunal.</t>
  </si>
  <si>
    <t xml:space="preserve">Judicial Appointments and Conduct Ombudsman </t>
  </si>
  <si>
    <t>No budget, chair's fees are paid by the PCC who convenes the appeal.</t>
  </si>
  <si>
    <t>Police Remuneration Review Body</t>
  </si>
  <si>
    <t>Provides independent advice to the government on pay and conditions for police officers, including Chief Constables.</t>
  </si>
  <si>
    <t>gabrielle.kann@beis.gov.uk</t>
  </si>
  <si>
    <t>Approx. 25-27 days per year</t>
  </si>
  <si>
    <t>No budget, Chair's fees and expenses paid from CPFG directorate budget as part of business as usual.</t>
  </si>
  <si>
    <t>Prison Service Pay Review Body</t>
  </si>
  <si>
    <t>To provide independent advice on the remuneration of governing governors and operational managers, prison officers and support grades in the England and Wales Prison Service. The Prison Services Pay Review Body (PSPRB) also provides independent advice on the remuneration of prison governors, prison officers and support grades in the Northern Ireland Prison Service.</t>
  </si>
  <si>
    <t>https://www.gov.uk/government/organisations/prison-services-pay-review-body</t>
  </si>
  <si>
    <t>Martin Williams, Director, Office of Manpower Economics</t>
  </si>
  <si>
    <t>Tim Flesher</t>
  </si>
  <si>
    <t>Public Health England</t>
  </si>
  <si>
    <t xml:space="preserve">PHE exists to protect and improve the nation’s health and wellbeing, and reduce health inequalities. It does this through world-class science, knowledge and intelligence, advocacy, partnerships and the delivery of specialist public health services. </t>
  </si>
  <si>
    <t>Dame Julia Goodfellow</t>
  </si>
  <si>
    <t>Maximum 6 days per month</t>
  </si>
  <si>
    <t>Queen Elizabeth II Conference Centre</t>
  </si>
  <si>
    <t>QEII Centre is the largest Central London Conference Centre, which attracts both national and international events.</t>
  </si>
  <si>
    <t>QEII is a Trading Fund</t>
  </si>
  <si>
    <t>Andy Hobart</t>
  </si>
  <si>
    <t>Regional Advisory Committees / Forestry and Woodlands Advisory Committees (x9)</t>
  </si>
  <si>
    <t>To advise the Forestry Commissioners on the performance of the Forestry Commissioners' functions under Section 1(3) and Part II of the Forestry Act 1967, and on such other functions as the Forestry Commissioners may from time to time determine.</t>
  </si>
  <si>
    <t xml:space="preserve">Ian Gambles </t>
  </si>
  <si>
    <t>Regulator of Social Housing</t>
  </si>
  <si>
    <t xml:space="preserve">The objectives of the Regulator are set out in the Housing and Regeneration Act 2008. RSH regulates private registered providers of social housing to promote a viable, efficient and well-governed social housing sector able to deliver homes that meet a range of needs. They perform their functions in a way that minimises interference and is proportionate, consistent, transparent and accountable. </t>
  </si>
  <si>
    <t>Shayne Coulson</t>
  </si>
  <si>
    <t>Simon Dow</t>
  </si>
  <si>
    <t>Regulatory Policy Committee</t>
  </si>
  <si>
    <t>RPC provides the government with external, independent scrutiny of new regulatory and deregulatory proposals.</t>
  </si>
  <si>
    <t>Anthony Browne</t>
  </si>
  <si>
    <t>54 days per year</t>
  </si>
  <si>
    <t>Review Body on Doctors' and Dentists' Remuneration</t>
  </si>
  <si>
    <t>To make recommendations on the remuneration of doctors and dentists involved in the NHS.</t>
  </si>
  <si>
    <t>Professor Sir Paul Curran</t>
  </si>
  <si>
    <t>Reviewing Committee on the Export of Works of Art and Objects of Cultural Interest</t>
  </si>
  <si>
    <t>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t>
  </si>
  <si>
    <t>http://www.artscouncil.org.uk/what-we-do/supporting-museums/cultural-property/export-controls/reviewing-committee/</t>
  </si>
  <si>
    <t>Helen Whitehouse, Deputy Director, Museums and Cultural Property</t>
  </si>
  <si>
    <t>Sir Hayden Phillips</t>
  </si>
  <si>
    <t xml:space="preserve">Two days per month </t>
  </si>
  <si>
    <t>Royal Air Force Museum</t>
  </si>
  <si>
    <t xml:space="preserve">The Royal Air Force Museum is a National Museum, a Government non-departmental public body (NDPB) and a registered charity. Their Vision is to inspire everyone with the RAF Story, the people who shape it and it place in our lives. To share the story of the Royal Air Force, past, present and future - using the stories of its people and their collections in order to engage, inspire and encourage learning. Their collection is central to everything they are and do and comprises around 1.3m objects which we hold in trust for the people of the UK. </t>
  </si>
  <si>
    <t>Director of Resources, HQ Air Command</t>
  </si>
  <si>
    <t>Sir Andrew Pulford GCB CBE ADC</t>
  </si>
  <si>
    <t>20 days per Year</t>
  </si>
  <si>
    <t>Royal Armouries</t>
  </si>
  <si>
    <t>Maintaining and exhibiting a national collection of arms, armour, and associated objects, and maintaining a record relating to arms and armour and to the Tower of London.</t>
  </si>
  <si>
    <t>John Procter</t>
  </si>
  <si>
    <t>Four days a month</t>
  </si>
  <si>
    <t>Royal Botanic Gardens, Kew</t>
  </si>
  <si>
    <t>To be the global resource for plant and fungal knowledge, building an understanding of the world's plants and fungi upon which all our lives depend.</t>
  </si>
  <si>
    <t>Shirley Trundle, Director,
 Natural Environment Policy</t>
  </si>
  <si>
    <t>Marcus Agius</t>
  </si>
  <si>
    <t>Maximum four days per month</t>
  </si>
  <si>
    <t>Royal Mint Advisory Committee on the Design of Coins, Medals, Seals and Decorations</t>
  </si>
  <si>
    <t>The Committee provides government departments with design advice on coins, official medals, seals and decorations. Every official medal issued since 1922 has been processed through the Committee.</t>
  </si>
  <si>
    <t>kevin.clancy@royalmintmuseum.org.uk</t>
  </si>
  <si>
    <t>Dr Kevin Clancy</t>
  </si>
  <si>
    <t>Lord  Waldegrave of North Hill</t>
  </si>
  <si>
    <t>20 hours per year</t>
  </si>
  <si>
    <t>Royal Museums Greenwich</t>
  </si>
  <si>
    <t>To enrich people's understanding of the sea, the exploration of space, and Britain's role in world history.</t>
  </si>
  <si>
    <t>Sir Charles Dunstone</t>
  </si>
  <si>
    <t>Board of Trustees meets five times a year – four quarterly meetings taking place in February, May, September and November. These plenary meetings last from 0900-1630. There is also a single strategy day in March.</t>
  </si>
  <si>
    <t>Rural Payments Agency</t>
  </si>
  <si>
    <t>RPA's work helps the Department for Environment, Food and Rural Affairs to encourage a thriving farming and food sector and strong rural communities. It is the accredited paying agency for all CAP schemes in England.</t>
  </si>
  <si>
    <t>David Kennedy, Director General, 
Food, Farming, Animal and Plant Health</t>
  </si>
  <si>
    <t>Elizabeth Passey</t>
  </si>
  <si>
    <t>18 days per year</t>
  </si>
  <si>
    <t>School Teachers’ Review Body</t>
  </si>
  <si>
    <t>Independent Pay Review Body</t>
  </si>
  <si>
    <t>Ilona.Kokle@beis.gov.uk</t>
  </si>
  <si>
    <t>Stephen Baker</t>
  </si>
  <si>
    <t>Dr Patricia Rice</t>
  </si>
  <si>
    <t>Science Advisory Committee on the Medical Implications of Less-Lethal Weapons</t>
  </si>
  <si>
    <t>Provides independent advice to UK government departments and organisations on the biophysical, biomechanical, pathological and clinical aspects of less-lethal weapon systems.</t>
  </si>
  <si>
    <t xml:space="preserve">Air Vice Marshall Alastair Reid </t>
  </si>
  <si>
    <t>Science Advisory Council</t>
  </si>
  <si>
    <t>The SAC challenges and supports the Department’s Chief Scientific Adviser (CSA) in independently assuring and challenging the evidence underpinning Defra policies and ensuring that the evidence programme meets Defra’s needs.</t>
  </si>
  <si>
    <t>Dr Iain Williams, Deputy Chief Scientific Adviser</t>
  </si>
  <si>
    <t>Charles Godfray</t>
  </si>
  <si>
    <t>12 days per year</t>
  </si>
  <si>
    <t>Science Museum Group</t>
  </si>
  <si>
    <t>To care for, preserve and add to the objects in the collections, to ensure that objects are exhibited to the public and to promote the public’s enjoyment and understanding of science and technology.</t>
  </si>
  <si>
    <t>http://www.sciencemuseum.org.uk/about_us/smg.aspx</t>
  </si>
  <si>
    <t>Dame Mary Archer</t>
  </si>
  <si>
    <t>Two-three days a month of average but can vary month by month.</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</si>
  <si>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</si>
  <si>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</si>
  <si>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Neil Hornby, Director,
Marine and Fisheries</t>
  </si>
  <si>
    <t>Brian Young</t>
  </si>
  <si>
    <t>Security Industry Authority</t>
  </si>
  <si>
    <t>Regulator of the private security inductry</t>
  </si>
  <si>
    <t>elizabeth.france@sia.gov.uk</t>
  </si>
  <si>
    <t>Sue Young, Director, Public Protection   Elizabeth France CBE</t>
  </si>
  <si>
    <t>Elizabeth France</t>
  </si>
  <si>
    <t>Two and a half  days per week</t>
  </si>
  <si>
    <t xml:space="preserve">Capital funded by grant in aid. </t>
  </si>
  <si>
    <t>Security Vetting Appeals Panel</t>
  </si>
  <si>
    <t>To hear appeals against the refusal or withdrawal of security clearance and to make recommendations to the appropriate head of department.</t>
  </si>
  <si>
    <t>Tom Bramley</t>
  </si>
  <si>
    <t>Heather Hallet</t>
  </si>
  <si>
    <t>15-20 days per year</t>
  </si>
  <si>
    <t>All rail related costs are funded via licence fees and safety levy. Highways monitoring costs are funded via a DfT grant. We have a token vote of £3k from HM Treasury.</t>
  </si>
  <si>
    <t>Senior Salaries Review Body</t>
  </si>
  <si>
    <t>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t>
  </si>
  <si>
    <t>Rupert McNeil, Chief People Officer</t>
  </si>
  <si>
    <t>Dr Martin Read</t>
  </si>
  <si>
    <t xml:space="preserve">The Secretariat is provided by the Office of Manpower Economics who are staffed from BEIS. OME produce a stewardship report every year which sets out staffing levels and staff expenditure. </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</si>
  <si>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</si>
  <si>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</si>
  <si>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The Right Honourable Lord Justice Holroyde</t>
  </si>
  <si>
    <t>Approx. eight days per month</t>
  </si>
  <si>
    <t>Serious Fraud Office</t>
  </si>
  <si>
    <t xml:space="preserve">The Serious Fraud Office is an independent government department, operating under the superintendence of the Attorney General.  Its purpose is to protect society by investigating and, if appropriate, prosecuting those who commit serious or complex fraud, bribery and corruption and pursuing them and others for the proceeds of their crime.  It operates in line with its statutory purpose and policies.  </t>
  </si>
  <si>
    <t>Lisa Osofsky</t>
  </si>
  <si>
    <t>The underspend on Resource DEL was £1,676k, of this the outturn for ring fenced depreciation was £818k lower than the estimate while non-ring fenced DEL outturn was £858k or 2% of non-ring fenced expenditure. The underspend of £2,136k on AME was due to its unpredictable nature. It is very difficult to estimate spend within AME and in 2018-19 the anticipated requirement for cover for new provisions has not materialised.</t>
  </si>
  <si>
    <t>Single Financial Guidance Body</t>
  </si>
  <si>
    <t>Other please specify in Column H</t>
  </si>
  <si>
    <t xml:space="preserve">SFGB was set up under the Financial Guidance and Claims Act 2018 and became a legal entity on 1 October on 2018. It began performing its statutory functions on 1 January 2019, combining the functions of the three previous legacy organisations; The Pension Advisory Service, the Money Advice Service and Pension Wise. It is sometimes referred to as MaPS (Money and Pensions Service). </t>
  </si>
  <si>
    <t>SFGB has not yet produced its first set of annual reports and accounts under the new body (ie as MaPS - Money and Pension Service). 
Once these have been published, the body will be formally classified.</t>
  </si>
  <si>
    <t>contact@maps.org.uk</t>
  </si>
  <si>
    <t>https://singlefinancialguidancebody.org.uk/</t>
  </si>
  <si>
    <t>Sir Hector Sants</t>
  </si>
  <si>
    <t>As SFGB started performing its statutory duties on 1 January 2019, it has not yet produced its first set of annual reports and accounts therefore the financial information is not yet provided until these have first been published.</t>
  </si>
  <si>
    <t>Single Source Regulations Office</t>
  </si>
  <si>
    <t xml:space="preserve">The Single Source Regulations Office plays a key role in the regulation of single source ot non-competitive defence contracts.  In undertaing this statutory function it aims to ensure:  good value for money is obtained in government expenditure on qualifying defence contracts, and persons or parties to qualifying defence contracts are paid a fair and reasonable price under those contracts. </t>
  </si>
  <si>
    <t>Charly Wason, Head of SSAT</t>
  </si>
  <si>
    <t>George Jenkins OBE</t>
  </si>
  <si>
    <t>Sir John Soane's Museum</t>
  </si>
  <si>
    <t>This is the House, Museum and Collections of the architect Sir John Soane, who died in 1837. The Collections comprise works of art, paintings, books, manuscripts and architectural models and drawings.</t>
  </si>
  <si>
    <t>Helen Whitehouse</t>
  </si>
  <si>
    <t>Guy Elliott</t>
  </si>
  <si>
    <t>Two and a half days per month</t>
  </si>
  <si>
    <t>Small Business Commissioner</t>
  </si>
  <si>
    <t>The Office of the Small Business Commissioner ensures fair payment practices for Britain's small businesses, and supports them in resolving their payment disputes with larger businesses and bring about culture change.</t>
  </si>
  <si>
    <t>Rannia Leontaridi</t>
  </si>
  <si>
    <t xml:space="preserve">Paul Uppal </t>
  </si>
  <si>
    <t>42 hours per week</t>
  </si>
  <si>
    <t>Social Mobility Commission</t>
  </si>
  <si>
    <t>Producing an Annual Report on assessing progess in improving social mobility in the UK and promoting social mobility in England</t>
  </si>
  <si>
    <t>Robert Arnott, Director of Strategy, 
Social Mobility and Disadvantage</t>
  </si>
  <si>
    <t>Dame Martina Milburn</t>
  </si>
  <si>
    <t>Social Security Advisory Committee</t>
  </si>
  <si>
    <t>Provides advice to the Secretary of State on proposals for the amendment of secondary legislation and on general social security matters.</t>
  </si>
  <si>
    <t xml:space="preserve">ssac@ssac.gov.uk </t>
  </si>
  <si>
    <t>Sir Ian Diamond</t>
  </si>
  <si>
    <t xml:space="preserve">Minimum average time commitment of five days per month, including preparation for meetings. </t>
  </si>
  <si>
    <t>The Chair usually attracts a fee of £22,000 p/yr. Member fees are paid per day worked (to attend meetings and preparation time). Expenditure includes £225,000 for secretariat costs. Secretariat seconded from DWP</t>
  </si>
  <si>
    <t>Social Work England</t>
  </si>
  <si>
    <t>Regulator of Social Work in England</t>
  </si>
  <si>
    <t>Samantha Olsen</t>
  </si>
  <si>
    <t>Lord Patel</t>
  </si>
  <si>
    <t>Maximum 12 days per month</t>
  </si>
  <si>
    <t>Sport England</t>
  </si>
  <si>
    <t>Sport England wants everyone in England regardless of age, background, or level of ability to feel able to engage in sport and physical acitivity</t>
  </si>
  <si>
    <t>http://www.sportengland.org/</t>
  </si>
  <si>
    <t>Anna Deignan, Deputy Director</t>
  </si>
  <si>
    <t>Nick Bitel</t>
  </si>
  <si>
    <t>Two days per week in addition to chairing around seven board meetings each year, meetings typically run to half a day. Additional time will be required for preparatory work.</t>
  </si>
  <si>
    <t>Sports Grounds Safety Authority</t>
  </si>
  <si>
    <t>The Sports Grounds Safety Authority is the UK Government's advisor on safety at sports grounds.</t>
  </si>
  <si>
    <t>Alan Coppin</t>
  </si>
  <si>
    <t>The total time commitment is likely to be approximately four days per month on average.</t>
  </si>
  <si>
    <t>Standards and Testing Agency</t>
  </si>
  <si>
    <t>STA sets the tests to assess children in education from early years to the end of key stage 2.</t>
  </si>
  <si>
    <t>Una Bennett</t>
  </si>
  <si>
    <t>Student Loans Company Ltd</t>
  </si>
  <si>
    <t>provide loans and grants to students in universities and colleges in the UK.  Terms of reference : https://assets.publishing.service.gov.uk/government/uploads/system/uploads/attachment_data/file/790468/slc-framework-document.pdf</t>
  </si>
  <si>
    <t>Ben Connah - Head of Student Loans Company Sponsorship &amp; Strategy</t>
  </si>
  <si>
    <t>Chris Brodie</t>
  </si>
  <si>
    <t>Information collated from SLC 18/19 annual report. Ring Fenced and Non-Ring Fenced could not be split from source data.</t>
  </si>
  <si>
    <t>Submarine Delivery Agency</t>
  </si>
  <si>
    <t>SDA oversees the procurement, in-service support and disposal of the UK's nuclear submarine capability</t>
  </si>
  <si>
    <t xml:space="preserve">Nicole Kett, Director, Resources and Policy, Defence Nuclear Organisation </t>
  </si>
  <si>
    <t>Rob Holden</t>
  </si>
  <si>
    <t>£163,963 Direct Programme Costs (deemed cash); The following are non cash £10,429k communicated costs from other MOD Orgs; £125k Auditors Remuneration; The following is AME £905k Provision</t>
  </si>
  <si>
    <t>Tate</t>
  </si>
  <si>
    <t>To increase the public’s understanding and enjoyment of British art from the 16th century to the present day and of international modern and contemporary art.</t>
  </si>
  <si>
    <t>http://www.tate.org.uk/</t>
  </si>
  <si>
    <t>Lionel Barber</t>
  </si>
  <si>
    <t>Technical Advisory Board (for the Regulation of Investigatory Powers Act 2000), with the exception of Agency Members</t>
  </si>
  <si>
    <t>The Technical Advisory Board (TAB) is a non-departmental public body whose members are appointed by the Secretary of State under the Investigatory Powers Act 2016 (IP Act). The IP Act allows the Government to place an obligation on a telecommunications operators to maintain technical capabilities for the interception of communications, equipment interference, and communications data, as well as to give data retention and national security notices. The purpose of these various capabilities is to ensure that companies can be required to retain data, support national security objectives, and when a warrant is served, give effect to it securely and quickly. There is a process in the Act by which an operator may seek a review by the Secretary of State of such a notice and as part of such a review, the Secretary of State must consult the TAB as to those matters. The TAB considers the reasonableness of obligations imposed by a notice on cost and technical feasibility grounds.</t>
  </si>
  <si>
    <t>Head of Unit, IPU, Office of Security and Counter Terrorism, Home Office</t>
  </si>
  <si>
    <t>Jonathan Hoyle</t>
  </si>
  <si>
    <t>To date, the TAB has never been required to fulfil its statutory role under either framework. This reflects the fact that domestic telecommunications operators are broadly compliant, the close consultation between the Home Office and a company before an obligation is imposed, and the financial reimbursement arrangements in place. The TAB met on a general basis in May 2018, but meetings are infrequent and the chair's time comittment is very low.</t>
  </si>
  <si>
    <t>TAB has no budget. Any costs incurred (e.g recruitment campaigns) are funded by sponsor unit (OSCT-IPU)</t>
  </si>
  <si>
    <t>The Advisory Council on National Records and Archives</t>
  </si>
  <si>
    <t>The Advisory Council on National Records and Archives is an independent body. It advises the Secretary of State for Digital, Culture, Media and Sport on issues relating to access to public records and represents the public interest in deciding what records should be open or closed.</t>
  </si>
  <si>
    <t>Sir Terence Etherton, Master of the Rolls</t>
  </si>
  <si>
    <t>Judicial Appointment</t>
  </si>
  <si>
    <t xml:space="preserve">20 days per year </t>
  </si>
  <si>
    <t>The Housing Ombudsman</t>
  </si>
  <si>
    <t>Administers the Housing Ombudsman Scheme and enables tenants and other individuals to have complaints about member landlords investigated in accordance with the Scheme approved by the Secretary of State</t>
  </si>
  <si>
    <t xml:space="preserve">https://www.housing-ombudsman.org.uk/
</t>
  </si>
  <si>
    <t>Josh Goodman</t>
  </si>
  <si>
    <t>The Teaching Regulation Agency (TRA)</t>
  </si>
  <si>
    <t>The TRA take disciplinary action against teaching professionals, and act as the Competent Authority for teaching in England.</t>
  </si>
  <si>
    <t>Please contact via website</t>
  </si>
  <si>
    <t>Sarah Lewis</t>
  </si>
  <si>
    <t>Theatres Trust</t>
  </si>
  <si>
    <t>The Trust was established to promote the protection of theatres for the benefit of the nation. It is also a statutory consultee in the Planning system. Its remit covers England, Scotland and Wales.</t>
  </si>
  <si>
    <t>Cecilia Rossler</t>
  </si>
  <si>
    <t>Tim Eyles</t>
  </si>
  <si>
    <t>4 Council Meetings and an optional four Executive Committee Meetings per year, a presence at the Annual Conference, the annual Theatre Buildings At Risk Register announcement.</t>
  </si>
  <si>
    <t>Parliamentary and Health Service Ombudsman &amp; Scottish Public Services Ombudsman</t>
  </si>
  <si>
    <t>Traffic Commissioners for Great Britain</t>
  </si>
  <si>
    <t>The eight Traffic Commissioners are appointed by the Secretary of State for Transport and have responsibility for: the licensing of the operators of heavy goods vehicles (HGVs) and of buses and coaches; the registration of local bus services and taking action against drivers of HGVs and (PSVs) public service vehicles in certain circumstances.</t>
  </si>
  <si>
    <t>Richard Turfitt</t>
  </si>
  <si>
    <t>Transport Focus</t>
  </si>
  <si>
    <t>Transport Focus (officially the Passengers’ Council) is the independent transport user watchdog, whose mission is to get the best deal for passengers and road users. Transport Focus represents rail passengers in England, Scotland and Wales, bus and tram passengers in England (outside London) passengers on scheduled domestic coach services, and users of the strategic road network in England.</t>
  </si>
  <si>
    <t>Jeff Halliwell</t>
  </si>
  <si>
    <t>Treasure Valuation Committee</t>
  </si>
  <si>
    <t>To recommend to the Secretary of State valuations for the items brought before it and to provide advice to the Secretary of State in cases where there is grounds for dispute (Treasure Act 1996 Code of Practice, para. 65-85).</t>
  </si>
  <si>
    <t>http://finds.org.uk/treasure</t>
  </si>
  <si>
    <t>Lord Renfrew of Kaimsthorn</t>
  </si>
  <si>
    <t>Tribunal Procedure Committee</t>
  </si>
  <si>
    <t xml:space="preserve">The Tribunal Procedure Committee makes rules governing the practice and procedure in the First-tier Tribunal and the Upper Tribunal. 
</t>
  </si>
  <si>
    <t>Vijay Parkash - Ministry Of Justice</t>
  </si>
  <si>
    <t>Mr Justice Peter Roth</t>
  </si>
  <si>
    <t>Chairs nine committee meeting per year</t>
  </si>
  <si>
    <t>Trinity House</t>
  </si>
  <si>
    <t>Trinity House has powers and responsibilities in connection with the provision, maintenance, alteration, inspection and control of lighthouses, buoys and beacons for England and Wales, the Channel Islands, and at Gibraltar. Trinity House carries out a number of Maritime Charitable activities which are outside of its statutory functions.</t>
  </si>
  <si>
    <t>Captain Ian McNaught</t>
  </si>
  <si>
    <t>UK Atomic Energy Authority</t>
  </si>
  <si>
    <t>UKAEA researches fusion energy and related technologies, with the aim of positioning the UK as a leader in sustainable nuclear energy.</t>
  </si>
  <si>
    <t>David Gann</t>
  </si>
  <si>
    <t>UK Debt Management Office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</si>
  <si>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</si>
  <si>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pressofficer@dmo.gov.uk</t>
  </si>
  <si>
    <t>http://www.dmo.gov.uk/</t>
  </si>
  <si>
    <t>Tom Scholar, Permanent Secretary, HM Treasury</t>
  </si>
  <si>
    <t>UK Hydrographic Office</t>
  </si>
  <si>
    <t>To meet national, Defence and civil requirements for marine geospatial, navigational and other hydrographic information, products and services in the most efficient manner.</t>
  </si>
  <si>
    <t>Adam Singer</t>
  </si>
  <si>
    <t>UK Research and Innovation</t>
  </si>
  <si>
    <t>UKRI works in partnership with universities, research organisations, businesses, charities and government to create the best possible environment for research and innovation to flourish</t>
  </si>
  <si>
    <t>Sir John Kingman</t>
  </si>
  <si>
    <t xml:space="preserve">One day per week </t>
  </si>
  <si>
    <t>UK Space Agency</t>
  </si>
  <si>
    <t>UKSA is responsible for all strategic decisions on the UK civil space programme and provides a clear, single voice for UK space ambitions.</t>
  </si>
  <si>
    <t>Dr Sally Howes</t>
  </si>
  <si>
    <t>24 days per year</t>
  </si>
  <si>
    <t>UK Sports Council</t>
  </si>
  <si>
    <t>UK Sport is responsible for working in partnership with the home country sports councils and other agencies to lead the UK to world class success in Olympic and Paralympic sports and secure hosting sporting events in the UK.</t>
  </si>
  <si>
    <t>http://www.uksport.gov.uk/</t>
  </si>
  <si>
    <t>Anna Deignan</t>
  </si>
  <si>
    <t>Dame Katherine Grainger</t>
  </si>
  <si>
    <t>UK Statistics Authority</t>
  </si>
  <si>
    <t>The UK Statistics Authority is an independent body at arm’s length from Government, which reports directly to the UK Parliament, the Scottish Parliament, the National Assembly for Wales and the Northern Ireland Assembly.  The Authority undertakes the statutory objective of “promoting and safeguarding the production and publication of official statistics that serve the public good”.</t>
  </si>
  <si>
    <t>The increase of staff is a result of the build up of Census related resources, this will increase again during 2019/20 during the rehearsal period and dramatically increase during the Census delivery period which spans two financial years.</t>
  </si>
  <si>
    <t>John Pullinger CB Stat, National Statistician</t>
  </si>
  <si>
    <t xml:space="preserve">Sir David Norgrove </t>
  </si>
  <si>
    <t>Full Time</t>
  </si>
  <si>
    <t>Supreme Court of the United Kingdom</t>
  </si>
  <si>
    <t xml:space="preserve">The Court hears appeals of significant public importance and is the highest court of the UK </t>
  </si>
  <si>
    <t xml:space="preserve">Mark Ormerod </t>
  </si>
  <si>
    <t>United Kingdom Anti-Doping Ltd</t>
  </si>
  <si>
    <t>UK Anti-Doping is the national organisation dedicated to helping athletes to understand and follow the rules of anti-doping.</t>
  </si>
  <si>
    <t>https://www.ukad.org.uk/</t>
  </si>
  <si>
    <t>Trevor Pearce</t>
  </si>
  <si>
    <t xml:space="preserve">Two or three days per week </t>
  </si>
  <si>
    <t>Valuation Office Agency</t>
  </si>
  <si>
    <t>Valuation Tribunal for England</t>
  </si>
  <si>
    <t xml:space="preserve">The VTE is the judicial arm of the Valuation Tribunal. </t>
  </si>
  <si>
    <t xml:space="preserve">Alex Skinner, Director of Local Government Finance 
</t>
  </si>
  <si>
    <t xml:space="preserve">Gary Garland (Not chair, but president of the VTE)
</t>
  </si>
  <si>
    <t>£65,000-£69,000</t>
  </si>
  <si>
    <t>No income</t>
  </si>
  <si>
    <t>Valuation Tribunal Service</t>
  </si>
  <si>
    <t>To act as the administrative function of the Valuation Tribunal for England which hears appeals against council tax and business rate valuations.</t>
  </si>
  <si>
    <t>Alex Skinner, Director of Local Government Finance </t>
  </si>
  <si>
    <t>Robin Evans</t>
  </si>
  <si>
    <t>RDEL includes the cost of sales (£1,856,000) plus overhead (£10,649,000) plus dividend (£1,900,00)</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</si>
  <si>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</si>
  <si>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</si>
  <si>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Clive Scrivener</t>
  </si>
  <si>
    <t>Veterans Advisory and Pensions Committees</t>
  </si>
  <si>
    <t>Veterans Advisory and Pensions Committees (VAPC) play a central role in promoting the interests and welfare of veterans by: raising awareness of schemes administered by DBS Veterans UK; welfare pathways; advising and signposting veterans; and providing a consultative body able to engage with the MOD.</t>
  </si>
  <si>
    <t xml:space="preserve">Andy Dowds, DBS Vets-Head </t>
  </si>
  <si>
    <t>Minimum five days per year</t>
  </si>
  <si>
    <t>Veterinary Medicines Directorate</t>
  </si>
  <si>
    <t>To protect public health, animal health, the environment, and to promote animal welfare by assuring the safety, quality, and efficacy of veterinary medicines.</t>
  </si>
  <si>
    <t>Julia Drown</t>
  </si>
  <si>
    <t>Four days per year</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</si>
  <si>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</si>
  <si>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 and applicants in relation to granting, refusal or revocation of a marketing authorisation or animal test certificate.</t>
  </si>
  <si>
    <t>Paul Green, Director of Operations
, VMD</t>
  </si>
  <si>
    <t>Prof Malcolm Bennett</t>
  </si>
  <si>
    <t>Victoria and Albert Museum</t>
  </si>
  <si>
    <t>As the world’s leading museum of art and design, the V&amp;A enriches people’s lives by promoting the practice of design and increasing knowledge, and an understanding and enjoyment of the designed world.</t>
  </si>
  <si>
    <t>http://www.vam.ac.uk/</t>
  </si>
  <si>
    <t>Helen Whitehouse, Deputy Director, Museums</t>
  </si>
  <si>
    <t>Nicholas Coleridge CBE</t>
  </si>
  <si>
    <t>The total time commitment is likely to be not less than one day per month.</t>
  </si>
  <si>
    <t>VisitBritain</t>
  </si>
  <si>
    <t>VisitBritain is the national tourism agency responsible for marketing Britain worldwide and developing Britain's visitor economy. VisitBritain works with partners in the UK and overseas to ensure Britain is marketed in an inspirational and relevant way around the world.</t>
  </si>
  <si>
    <t>https://www.visitbritain.org/feedback-form</t>
  </si>
  <si>
    <t>Sally Balcombe</t>
  </si>
  <si>
    <t>Steve Ridgway CBE</t>
  </si>
  <si>
    <t>VisitEngland</t>
  </si>
  <si>
    <t>VisitEngland is the national tourist board for England. It is responsible for marketing England to domestic markets and for improving England's tourism product.</t>
  </si>
  <si>
    <t>Denis Wormwell</t>
  </si>
  <si>
    <t xml:space="preserve">Maximum 4 days per month </t>
  </si>
  <si>
    <t>Wallace Collection</t>
  </si>
  <si>
    <t>To maintain and display the collection bequeathed to the nation by Lady Wallace and interpret it for the public.</t>
  </si>
  <si>
    <t>http://www.wallacecollection.org/</t>
  </si>
  <si>
    <t>António Horta-Osório</t>
  </si>
  <si>
    <t>One or two days per month</t>
  </si>
  <si>
    <t>Westminster Foundation for Democracy</t>
  </si>
  <si>
    <t>WFD strengthens democracy globally, through a grant in aid from the FCO.</t>
  </si>
  <si>
    <t>James Kariuki, Director MPD</t>
  </si>
  <si>
    <t>Richard Graham MP</t>
  </si>
  <si>
    <t>Board meets approximately 4 times per year</t>
  </si>
  <si>
    <t>Wilton Park</t>
  </si>
  <si>
    <t>Convening discreet dialogues on strategic foreign policy issues.</t>
  </si>
  <si>
    <t xml:space="preserve">Helen Bower-Eastton </t>
  </si>
  <si>
    <t>Gisela Stuart</t>
  </si>
  <si>
    <t>Four to five  days per month</t>
  </si>
  <si>
    <t>Youth Justice Board for England and Wales</t>
  </si>
  <si>
    <t>The Youth Justice Board oversees the youth justice system in England and Wales. The YJB work to prevent offending and reoffending by children and young people under the age of 18, ensures that custody for them is safe, secure, and addresses the causes of their offending behaviour.</t>
  </si>
  <si>
    <t>Charlie Taylor</t>
  </si>
  <si>
    <t>Our net expenditure of £86m in 2018/19 represents a decrease of £40.6m (32.1%) compared to 2017/18. This is primarily because of the change in secure estate accountability for functions which moved to Her Majesty’s Prison and Probation Service (HMPPS). Our expenditure included grants of £71.6m (83.4% of total net expenditure) paid to YOTs across England and Wales, which was the same as in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</si>
</sst>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quot;£&quot;#,##0"/>
    <numFmt numFmtId="166" formatCode="[$£-809]#,##0"/>
    <numFmt numFmtId="167" formatCode="&quot;£&quot;#,##0&quot; thousand&quot;;[Red]\-&quot;£&quot;#,##0&quot; thousand&quot;"/>
    <numFmt numFmtId="168" formatCode="&quot;£&quot;#,##0;[Red]\-&quot;£&quot;#,##0"/>
  </numFmts>
  <fonts count="16">
    <font>
      <sz val="10"/>
      <color rgb="FF000000"/>
      <name val="Arial"/>
    </font>
    <font>
      <b/>
      <sz val="12"/>
      <color theme="1"/>
      <name val="Calibri"/>
    </font>
    <font>
      <b/>
      <sz val="12"/>
      <color rgb="FF000000"/>
      <name val="Calibri"/>
    </font>
    <font>
      <sz val="10"/>
      <name val="Arial"/>
    </font>
    <font>
      <sz val="12"/>
      <color theme="1"/>
      <name val="Calibri"/>
    </font>
    <font>
      <sz val="12"/>
      <color rgb="FF000000"/>
      <name val="Calibri"/>
    </font>
    <font>
      <u/>
      <sz val="12"/>
      <color theme="1"/>
      <name val="Calibri"/>
    </font>
    <font>
      <u/>
      <sz val="12"/>
      <color theme="1"/>
      <name val="Calibri"/>
    </font>
    <font>
      <u/>
      <sz val="12"/>
      <color rgb="FF000000"/>
      <name val="Calibri"/>
    </font>
    <font>
      <u/>
      <sz val="12"/>
      <color theme="1"/>
      <name val="Calibri"/>
    </font>
    <font>
      <u/>
      <sz val="12"/>
      <color theme="1"/>
      <name val="Calibri"/>
    </font>
    <font>
      <sz val="12"/>
      <color rgb="FF0B0C0C"/>
      <name val="Calibri"/>
    </font>
    <font>
      <sz val="10"/>
      <color rgb="FF000000"/>
      <name val="Roboto"/>
    </font>
    <font>
      <sz val="12"/>
      <color rgb="FF0B0C0C"/>
      <name val="Arial"/>
    </font>
    <font>
      <b/>
      <sz val="14"/>
      <color rgb="FF000000"/>
      <name val="Calibri"/>
    </font>
    <font>
      <b/>
      <sz val="14"/>
      <color theme="1"/>
      <name val="Calibri"/>
    </font>
  </fonts>
  <fills count="3">
    <fill>
      <patternFill patternType="none"/>
    </fill>
    <fill>
      <patternFill patternType="gray125"/>
    </fill>
    <fill>
      <patternFill patternType="solid">
        <fgColor rgb="FFFFFFFF"/>
        <bgColor rgb="FFFFFFFF"/>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66">
    <xf numFmtId="0" fontId="0" fillId="0" borderId="0" xfId="0" applyFont="1" applyAlignment="1"/>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65" fontId="1" fillId="2" borderId="1" xfId="0" applyNumberFormat="1" applyFont="1" applyFill="1" applyBorder="1" applyAlignment="1">
      <alignment horizontal="left" vertical="top" wrapText="1"/>
    </xf>
    <xf numFmtId="166" fontId="1" fillId="2" borderId="1" xfId="0" applyNumberFormat="1"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0" xfId="0" applyFont="1" applyAlignment="1">
      <alignment horizontal="left" vertical="top" wrapText="1"/>
    </xf>
    <xf numFmtId="0" fontId="2" fillId="2" borderId="1" xfId="0"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167" fontId="2" fillId="2" borderId="1" xfId="0" applyNumberFormat="1" applyFont="1" applyFill="1" applyBorder="1" applyAlignment="1">
      <alignment horizontal="left" vertical="top" wrapText="1"/>
    </xf>
    <xf numFmtId="167" fontId="1" fillId="2" borderId="1" xfId="0" applyNumberFormat="1" applyFont="1" applyFill="1" applyBorder="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165" fontId="4" fillId="0" borderId="0" xfId="0" applyNumberFormat="1" applyFont="1" applyAlignment="1">
      <alignment horizontal="left" vertical="top" wrapText="1"/>
    </xf>
    <xf numFmtId="166" fontId="4" fillId="0" borderId="0" xfId="0" applyNumberFormat="1" applyFont="1" applyAlignment="1">
      <alignment horizontal="left" vertical="top" wrapText="1"/>
    </xf>
    <xf numFmtId="165" fontId="5" fillId="0" borderId="0" xfId="0" applyNumberFormat="1" applyFont="1" applyAlignment="1">
      <alignment horizontal="left" vertical="top" wrapText="1"/>
    </xf>
    <xf numFmtId="3" fontId="5" fillId="0" borderId="0" xfId="0" applyNumberFormat="1" applyFont="1" applyAlignment="1">
      <alignment horizontal="center" vertical="top" wrapText="1"/>
    </xf>
    <xf numFmtId="1" fontId="4" fillId="0" borderId="0" xfId="0" applyNumberFormat="1" applyFont="1" applyAlignment="1">
      <alignment horizontal="center" vertical="top" wrapText="1"/>
    </xf>
    <xf numFmtId="0" fontId="1" fillId="0" borderId="0" xfId="0" applyFont="1" applyAlignment="1">
      <alignment horizontal="left" vertical="top" wrapText="1"/>
    </xf>
    <xf numFmtId="0" fontId="0" fillId="2" borderId="1" xfId="0" applyFont="1" applyFill="1" applyBorder="1" applyAlignment="1">
      <alignment vertical="top" wrapText="1"/>
    </xf>
    <xf numFmtId="2" fontId="4" fillId="0" borderId="0" xfId="0" applyNumberFormat="1" applyFont="1" applyAlignment="1">
      <alignment horizontal="left" vertical="top" wrapText="1"/>
    </xf>
    <xf numFmtId="168" fontId="4" fillId="0" borderId="0" xfId="0" applyNumberFormat="1" applyFont="1" applyAlignment="1">
      <alignment horizontal="left" vertical="top" wrapText="1"/>
    </xf>
    <xf numFmtId="1" fontId="5" fillId="0" borderId="0" xfId="0" applyNumberFormat="1" applyFont="1" applyAlignment="1">
      <alignment horizontal="center" vertical="top" wrapText="1"/>
    </xf>
    <xf numFmtId="164" fontId="4" fillId="0" borderId="0" xfId="0" applyNumberFormat="1" applyFont="1" applyAlignment="1">
      <alignment horizontal="left" vertical="top" wrapText="1"/>
    </xf>
    <xf numFmtId="3" fontId="5" fillId="0" borderId="0" xfId="0" applyNumberFormat="1" applyFont="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49" fontId="4" fillId="0" borderId="0" xfId="0" applyNumberFormat="1" applyFont="1" applyAlignment="1">
      <alignment horizontal="left" vertical="top" wrapText="1"/>
    </xf>
    <xf numFmtId="0" fontId="8" fillId="0" borderId="0" xfId="0" applyFont="1" applyAlignment="1">
      <alignment horizontal="left" vertical="top" wrapText="1"/>
    </xf>
    <xf numFmtId="4" fontId="5" fillId="0" borderId="0" xfId="0" applyNumberFormat="1" applyFont="1" applyAlignment="1">
      <alignment horizontal="left" vertical="top" wrapText="1"/>
    </xf>
    <xf numFmtId="0" fontId="4" fillId="0" borderId="0" xfId="0" applyFont="1" applyAlignment="1">
      <alignment horizontal="center" vertical="top" wrapText="1"/>
    </xf>
    <xf numFmtId="3" fontId="5" fillId="2" borderId="1" xfId="0" applyNumberFormat="1" applyFont="1" applyFill="1" applyBorder="1" applyAlignment="1">
      <alignment horizontal="center" vertical="top" wrapText="1"/>
    </xf>
    <xf numFmtId="2" fontId="5" fillId="0" borderId="0" xfId="0" applyNumberFormat="1" applyFont="1" applyAlignment="1">
      <alignment horizontal="left" vertical="top" wrapText="1"/>
    </xf>
    <xf numFmtId="0" fontId="4" fillId="0" borderId="0" xfId="0" quotePrefix="1" applyFont="1" applyAlignment="1">
      <alignment horizontal="left" vertical="top" wrapText="1"/>
    </xf>
    <xf numFmtId="167" fontId="4" fillId="0" borderId="0" xfId="0" applyNumberFormat="1" applyFont="1" applyAlignment="1">
      <alignment horizontal="left" vertical="top" wrapText="1"/>
    </xf>
    <xf numFmtId="165" fontId="4" fillId="2" borderId="1" xfId="0" applyNumberFormat="1" applyFont="1" applyFill="1" applyBorder="1" applyAlignment="1">
      <alignment horizontal="left" vertical="top" wrapText="1"/>
    </xf>
    <xf numFmtId="0" fontId="5" fillId="2" borderId="1" xfId="0" applyFont="1" applyFill="1" applyBorder="1" applyAlignment="1">
      <alignment vertical="top" wrapText="1"/>
    </xf>
    <xf numFmtId="3" fontId="4" fillId="0" borderId="0" xfId="0" applyNumberFormat="1" applyFont="1" applyAlignment="1">
      <alignment horizontal="left" vertical="top" wrapText="1"/>
    </xf>
    <xf numFmtId="0" fontId="9"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165" fontId="10" fillId="0" borderId="0" xfId="0" applyNumberFormat="1" applyFont="1" applyAlignment="1">
      <alignment horizontal="left" vertical="top" wrapText="1"/>
    </xf>
    <xf numFmtId="165" fontId="5" fillId="2" borderId="1" xfId="0" applyNumberFormat="1" applyFont="1" applyFill="1" applyBorder="1" applyAlignment="1">
      <alignment horizontal="left" vertical="top" wrapText="1"/>
    </xf>
    <xf numFmtId="0" fontId="11" fillId="2" borderId="1" xfId="0" applyFont="1" applyFill="1" applyBorder="1" applyAlignment="1">
      <alignment vertical="top"/>
    </xf>
    <xf numFmtId="0" fontId="4" fillId="0" borderId="0" xfId="0" applyFont="1" applyAlignment="1">
      <alignment horizontal="left" vertical="top"/>
    </xf>
    <xf numFmtId="17" fontId="4" fillId="0" borderId="0" xfId="0" applyNumberFormat="1" applyFont="1" applyAlignment="1">
      <alignment horizontal="left" vertical="top" wrapText="1"/>
    </xf>
    <xf numFmtId="10" fontId="1" fillId="0" borderId="0" xfId="0" applyNumberFormat="1" applyFont="1" applyAlignment="1">
      <alignment horizontal="left" vertical="top" wrapText="1"/>
    </xf>
    <xf numFmtId="0" fontId="12" fillId="2" borderId="1" xfId="0" applyFont="1" applyFill="1" applyBorder="1" applyAlignment="1">
      <alignment wrapText="1"/>
    </xf>
    <xf numFmtId="0" fontId="13" fillId="0" borderId="0" xfId="0" applyFont="1" applyAlignment="1">
      <alignment horizontal="left" vertical="top" wrapText="1"/>
    </xf>
    <xf numFmtId="165" fontId="4" fillId="0" borderId="0" xfId="0" quotePrefix="1" applyNumberFormat="1"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wrapText="1"/>
    </xf>
    <xf numFmtId="0" fontId="11" fillId="0" borderId="0" xfId="0" applyFont="1" applyAlignment="1">
      <alignment horizontal="left" vertical="top" wrapText="1"/>
    </xf>
    <xf numFmtId="0" fontId="11" fillId="2" borderId="1" xfId="0" applyFont="1" applyFill="1" applyBorder="1" applyAlignment="1">
      <alignment vertical="top"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167" fontId="2" fillId="2" borderId="2" xfId="0" applyNumberFormat="1" applyFont="1" applyFill="1" applyBorder="1" applyAlignment="1">
      <alignment horizontal="center" vertical="top" wrapText="1"/>
    </xf>
    <xf numFmtId="0" fontId="3" fillId="0" borderId="3" xfId="0" applyFont="1" applyBorder="1"/>
    <xf numFmtId="0" fontId="3" fillId="0" borderId="4"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ov.uk/government/organisations/homes-england" TargetMode="External"/><Relationship Id="rId21" Type="http://schemas.openxmlformats.org/officeDocument/2006/relationships/hyperlink" Target="https://www.gov.uk/government/organisations/government-internal-audit-agency" TargetMode="External"/><Relationship Id="rId34" Type="http://schemas.openxmlformats.org/officeDocument/2006/relationships/hyperlink" Target="mailto:anne.miller@beis.gov.uk" TargetMode="External"/><Relationship Id="rId42" Type="http://schemas.openxmlformats.org/officeDocument/2006/relationships/hyperlink" Target="https://www.gov.uk/government/organisations/nuclear-research-advisory-council" TargetMode="External"/><Relationship Id="rId47" Type="http://schemas.openxmlformats.org/officeDocument/2006/relationships/hyperlink" Target="mailto:enquiries@pensions-ombudsman.org.uk" TargetMode="External"/><Relationship Id="rId50" Type="http://schemas.openxmlformats.org/officeDocument/2006/relationships/hyperlink" Target="mailto:kevin.clancy@royalmintmuseum.org.uk" TargetMode="External"/><Relationship Id="rId55" Type="http://schemas.openxmlformats.org/officeDocument/2006/relationships/hyperlink" Target="https://singlefinancialguidancebody.org.uk/" TargetMode="External"/><Relationship Id="rId63" Type="http://schemas.openxmlformats.org/officeDocument/2006/relationships/hyperlink" Target="http://www.uksport.gov.uk/" TargetMode="External"/><Relationship Id="rId7" Type="http://schemas.openxmlformats.org/officeDocument/2006/relationships/hyperlink" Target="mailto:contact@boundarycommission.org.uk" TargetMode="External"/><Relationship Id="rId2" Type="http://schemas.openxmlformats.org/officeDocument/2006/relationships/hyperlink" Target="mailto:tracy.sexton743@mod.gov.uk" TargetMode="External"/><Relationship Id="rId16" Type="http://schemas.openxmlformats.org/officeDocument/2006/relationships/hyperlink" Target="mailto:dor.enquiries@dft.gsi.gov.uk" TargetMode="External"/><Relationship Id="rId29" Type="http://schemas.openxmlformats.org/officeDocument/2006/relationships/hyperlink" Target="http://www.iwm.org.uk/" TargetMode="External"/><Relationship Id="rId11" Type="http://schemas.openxmlformats.org/officeDocument/2006/relationships/hyperlink" Target="https://www.bl.uk/" TargetMode="External"/><Relationship Id="rId24" Type="http://schemas.openxmlformats.org/officeDocument/2006/relationships/hyperlink" Target="https://www.gov.uk/government/organisations/hm-revenue-customs" TargetMode="External"/><Relationship Id="rId32" Type="http://schemas.openxmlformats.org/officeDocument/2006/relationships/hyperlink" Target="http://www.ico.org.uk/" TargetMode="External"/><Relationship Id="rId37" Type="http://schemas.openxmlformats.org/officeDocument/2006/relationships/hyperlink" Target="http://www.liverpoolmuseums.org.uk/" TargetMode="External"/><Relationship Id="rId40" Type="http://schemas.openxmlformats.org/officeDocument/2006/relationships/hyperlink" Target="mailto:info@nihrc.org" TargetMode="External"/><Relationship Id="rId45" Type="http://schemas.openxmlformats.org/officeDocument/2006/relationships/hyperlink" Target="mailto:info@paradescommissionni.org" TargetMode="External"/><Relationship Id="rId53" Type="http://schemas.openxmlformats.org/officeDocument/2006/relationships/hyperlink" Target="mailto:elizabeth.france@sia.gov.uk" TargetMode="External"/><Relationship Id="rId58" Type="http://schemas.openxmlformats.org/officeDocument/2006/relationships/hyperlink" Target="http://www.tate.org.uk/" TargetMode="External"/><Relationship Id="rId66" Type="http://schemas.openxmlformats.org/officeDocument/2006/relationships/hyperlink" Target="https://www.visitbritain.org/feedback-form" TargetMode="External"/><Relationship Id="rId5" Type="http://schemas.openxmlformats.org/officeDocument/2006/relationships/hyperlink" Target="https://www.gov.uk/government/organisations/armed-forces-pay-review-body" TargetMode="External"/><Relationship Id="rId61" Type="http://schemas.openxmlformats.org/officeDocument/2006/relationships/hyperlink" Target="mailto:pressofficer@dmo.gov.uk" TargetMode="External"/><Relationship Id="rId19" Type="http://schemas.openxmlformats.org/officeDocument/2006/relationships/hyperlink" Target="http://www.gamblingcommission.gov.uk/" TargetMode="External"/><Relationship Id="rId14" Type="http://schemas.openxmlformats.org/officeDocument/2006/relationships/hyperlink" Target="https://www.gov.uk/government/organisations/criminal-injuries-compensation-authority" TargetMode="External"/><Relationship Id="rId22" Type="http://schemas.openxmlformats.org/officeDocument/2006/relationships/hyperlink" Target="https://www.gov.uk/government/organisations/hm-courts-and-tribunals-service" TargetMode="External"/><Relationship Id="rId27" Type="http://schemas.openxmlformats.org/officeDocument/2006/relationships/hyperlink" Target="http://www.horniman.ac.uk/" TargetMode="External"/><Relationship Id="rId30" Type="http://schemas.openxmlformats.org/officeDocument/2006/relationships/hyperlink" Target="mailto:enquiries@policeconduct.gov.uk" TargetMode="External"/><Relationship Id="rId35" Type="http://schemas.openxmlformats.org/officeDocument/2006/relationships/hyperlink" Target="http://www.nationalgallery.org.uk/" TargetMode="External"/><Relationship Id="rId43" Type="http://schemas.openxmlformats.org/officeDocument/2006/relationships/hyperlink" Target="http://budgetresponsibility.org.uk/" TargetMode="External"/><Relationship Id="rId48" Type="http://schemas.openxmlformats.org/officeDocument/2006/relationships/hyperlink" Target="http://www.pensions-ombudsman.org.uk/" TargetMode="External"/><Relationship Id="rId56" Type="http://schemas.openxmlformats.org/officeDocument/2006/relationships/hyperlink" Target="mailto:ssac@ssac.gov.uk" TargetMode="External"/><Relationship Id="rId64" Type="http://schemas.openxmlformats.org/officeDocument/2006/relationships/hyperlink" Target="https://www.ukad.org.uk/" TargetMode="External"/><Relationship Id="rId8" Type="http://schemas.openxmlformats.org/officeDocument/2006/relationships/hyperlink" Target="http://www.boundarycommission.org.uk/" TargetMode="External"/><Relationship Id="rId51" Type="http://schemas.openxmlformats.org/officeDocument/2006/relationships/hyperlink" Target="mailto:Ilona.Kokle@beis.gov.uk" TargetMode="External"/><Relationship Id="rId3" Type="http://schemas.openxmlformats.org/officeDocument/2006/relationships/hyperlink" Target="https://www.gov.uk/government/organisations/advisory-committee-on-conscientious-objectors" TargetMode="External"/><Relationship Id="rId12" Type="http://schemas.openxmlformats.org/officeDocument/2006/relationships/hyperlink" Target="http://www.britishmuseum.org/" TargetMode="External"/><Relationship Id="rId17" Type="http://schemas.openxmlformats.org/officeDocument/2006/relationships/hyperlink" Target="https://webarchive.nationalarchives.gov.uk/20151215172524/http:/www.directlyoperatedrailways.co.uk/html/index.php" TargetMode="External"/><Relationship Id="rId25" Type="http://schemas.openxmlformats.org/officeDocument/2006/relationships/hyperlink" Target="http://www.historicengland.org.uk/" TargetMode="External"/><Relationship Id="rId33" Type="http://schemas.openxmlformats.org/officeDocument/2006/relationships/hyperlink" Target="mailto:jaas@judicialappointments.gov.uk" TargetMode="External"/><Relationship Id="rId38" Type="http://schemas.openxmlformats.org/officeDocument/2006/relationships/hyperlink" Target="http://www.npg.org.uk/" TargetMode="External"/><Relationship Id="rId46" Type="http://schemas.openxmlformats.org/officeDocument/2006/relationships/hyperlink" Target="http://www.paradescommission.org/" TargetMode="External"/><Relationship Id="rId59" Type="http://schemas.openxmlformats.org/officeDocument/2006/relationships/hyperlink" Target="https://www.housing-ombudsman.org.uk/" TargetMode="External"/><Relationship Id="rId67" Type="http://schemas.openxmlformats.org/officeDocument/2006/relationships/hyperlink" Target="http://www.wallacecollection.org/" TargetMode="External"/><Relationship Id="rId20" Type="http://schemas.openxmlformats.org/officeDocument/2006/relationships/hyperlink" Target="http://www.geffrye-museum.org.uk/" TargetMode="External"/><Relationship Id="rId41" Type="http://schemas.openxmlformats.org/officeDocument/2006/relationships/hyperlink" Target="http://www.nihrc.org/" TargetMode="External"/><Relationship Id="rId54" Type="http://schemas.openxmlformats.org/officeDocument/2006/relationships/hyperlink" Target="mailto:contact@maps.org.uk" TargetMode="External"/><Relationship Id="rId62" Type="http://schemas.openxmlformats.org/officeDocument/2006/relationships/hyperlink" Target="http://www.dmo.gov.uk/" TargetMode="External"/><Relationship Id="rId1" Type="http://schemas.openxmlformats.org/officeDocument/2006/relationships/hyperlink" Target="https://acaf.food.gov.uk/" TargetMode="External"/><Relationship Id="rId6" Type="http://schemas.openxmlformats.org/officeDocument/2006/relationships/hyperlink" Target="http://www.birmingham2022.com/" TargetMode="External"/><Relationship Id="rId15" Type="http://schemas.openxmlformats.org/officeDocument/2006/relationships/hyperlink" Target="https://www.gov.uk/government/organisations/defence-nuclear-safety-committee" TargetMode="External"/><Relationship Id="rId23" Type="http://schemas.openxmlformats.org/officeDocument/2006/relationships/hyperlink" Target="mailto:foi.request@hmrc.gov.uk" TargetMode="External"/><Relationship Id="rId28" Type="http://schemas.openxmlformats.org/officeDocument/2006/relationships/hyperlink" Target="http://www.hblb.org.uk/" TargetMode="External"/><Relationship Id="rId36" Type="http://schemas.openxmlformats.org/officeDocument/2006/relationships/hyperlink" Target="http://www.hlf.org.uk/" TargetMode="External"/><Relationship Id="rId49" Type="http://schemas.openxmlformats.org/officeDocument/2006/relationships/hyperlink" Target="http://www.artscouncil.org.uk/what-we-do/supporting-museums/cultural-property/export-controls/reviewing-committee/" TargetMode="External"/><Relationship Id="rId57" Type="http://schemas.openxmlformats.org/officeDocument/2006/relationships/hyperlink" Target="http://www.sportengland.org/" TargetMode="External"/><Relationship Id="rId10" Type="http://schemas.openxmlformats.org/officeDocument/2006/relationships/hyperlink" Target="mailto:Customer-Services@bl.uk" TargetMode="External"/><Relationship Id="rId31" Type="http://schemas.openxmlformats.org/officeDocument/2006/relationships/hyperlink" Target="mailto:iiac@dwp.gov.uk" TargetMode="External"/><Relationship Id="rId44" Type="http://schemas.openxmlformats.org/officeDocument/2006/relationships/hyperlink" Target="mailto:info@officeforstudents.org.uk" TargetMode="External"/><Relationship Id="rId52" Type="http://schemas.openxmlformats.org/officeDocument/2006/relationships/hyperlink" Target="http://www.sciencemuseum.org.uk/about_us/smg.aspx" TargetMode="External"/><Relationship Id="rId60" Type="http://schemas.openxmlformats.org/officeDocument/2006/relationships/hyperlink" Target="http://finds.org.uk/treasure" TargetMode="External"/><Relationship Id="rId65" Type="http://schemas.openxmlformats.org/officeDocument/2006/relationships/hyperlink" Target="http://www.vam.ac.uk/" TargetMode="External"/><Relationship Id="rId4" Type="http://schemas.openxmlformats.org/officeDocument/2006/relationships/hyperlink" Target="https://acmsf.food.gov.uk/" TargetMode="External"/><Relationship Id="rId9" Type="http://schemas.openxmlformats.org/officeDocument/2006/relationships/hyperlink" Target="https://www.bfi.org.uk/" TargetMode="External"/><Relationship Id="rId13" Type="http://schemas.openxmlformats.org/officeDocument/2006/relationships/hyperlink" Target="http://www.justice.gov.uk/contacts/?a=68536" TargetMode="External"/><Relationship Id="rId18" Type="http://schemas.openxmlformats.org/officeDocument/2006/relationships/hyperlink" Target="https://www.bing.com/search?q=ehrc&amp;form=EDGHPT&amp;qs=PF&amp;cvid=559dbedc842c4dcbad5952e0884191d7&amp;cc=GB&amp;setlang=en-US" TargetMode="External"/><Relationship Id="rId39" Type="http://schemas.openxmlformats.org/officeDocument/2006/relationships/hyperlink" Target="http://www.nhm.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761D"/>
    <outlinePr summaryBelow="0" summaryRight="0"/>
    <pageSetUpPr fitToPage="1"/>
  </sheetPr>
  <dimension ref="A1:AZ1002"/>
  <sheetViews>
    <sheetView tabSelected="1" workbookViewId="0"/>
  </sheetViews>
  <sheetFormatPr baseColWidth="10" defaultColWidth="14.5" defaultRowHeight="15" customHeight="1"/>
  <cols>
    <col min="1" max="1" width="48.6640625" customWidth="1"/>
    <col min="2" max="5" width="16.33203125" customWidth="1"/>
    <col min="6" max="6" width="81.83203125" customWidth="1"/>
    <col min="7" max="14" width="16.33203125" customWidth="1"/>
    <col min="15" max="15" width="17.5" customWidth="1"/>
    <col min="16" max="16" width="16.33203125" customWidth="1"/>
    <col min="17" max="17" width="16.5" customWidth="1"/>
    <col min="18" max="23" width="16.33203125" customWidth="1"/>
    <col min="24" max="24" width="20.5" customWidth="1"/>
    <col min="25" max="25" width="23.33203125" customWidth="1"/>
    <col min="26" max="26" width="20.1640625" customWidth="1"/>
    <col min="27" max="27" width="26.83203125" customWidth="1"/>
    <col min="28" max="31" width="16.33203125" customWidth="1"/>
    <col min="32" max="32" width="24.6640625" customWidth="1"/>
    <col min="33" max="52" width="16.33203125" customWidth="1"/>
  </cols>
  <sheetData>
    <row r="1" spans="1:52" ht="25.5" customHeight="1">
      <c r="A1" s="1"/>
      <c r="B1" s="1"/>
      <c r="C1" s="1"/>
      <c r="D1" s="1"/>
      <c r="E1" s="1"/>
      <c r="F1" s="1"/>
      <c r="G1" s="2"/>
      <c r="H1" s="1"/>
      <c r="I1" s="1"/>
      <c r="J1" s="1"/>
      <c r="K1" s="1"/>
      <c r="L1" s="1"/>
      <c r="M1" s="1"/>
      <c r="N1" s="3"/>
      <c r="O1" s="4"/>
      <c r="P1" s="5"/>
      <c r="Q1" s="5"/>
      <c r="R1" s="1"/>
      <c r="S1" s="1"/>
      <c r="T1" s="1"/>
      <c r="U1" s="1"/>
      <c r="V1" s="1"/>
      <c r="W1" s="1"/>
      <c r="X1" s="63" t="s">
        <v>0</v>
      </c>
      <c r="Y1" s="64"/>
      <c r="Z1" s="65"/>
      <c r="AA1" s="63" t="s">
        <v>1</v>
      </c>
      <c r="AB1" s="64"/>
      <c r="AC1" s="65"/>
      <c r="AD1" s="1"/>
      <c r="AE1" s="1"/>
      <c r="AF1" s="6"/>
      <c r="AG1" s="7"/>
      <c r="AH1" s="7"/>
      <c r="AI1" s="7"/>
      <c r="AJ1" s="7"/>
      <c r="AK1" s="7"/>
      <c r="AL1" s="7"/>
      <c r="AM1" s="7"/>
      <c r="AN1" s="7"/>
      <c r="AO1" s="7"/>
      <c r="AP1" s="7"/>
      <c r="AQ1" s="7"/>
      <c r="AR1" s="7"/>
      <c r="AS1" s="7"/>
      <c r="AT1" s="7"/>
      <c r="AU1" s="7"/>
      <c r="AV1" s="7"/>
      <c r="AW1" s="7"/>
      <c r="AX1" s="7"/>
      <c r="AY1" s="7"/>
      <c r="AZ1" s="7"/>
    </row>
    <row r="2" spans="1:52" ht="63" customHeight="1">
      <c r="A2" s="8" t="s">
        <v>2</v>
      </c>
      <c r="B2" s="1" t="s">
        <v>3</v>
      </c>
      <c r="C2" s="8" t="s">
        <v>4</v>
      </c>
      <c r="D2" s="1" t="s">
        <v>5</v>
      </c>
      <c r="E2" s="1" t="s">
        <v>6</v>
      </c>
      <c r="F2" s="1" t="s">
        <v>7</v>
      </c>
      <c r="G2" s="2" t="s">
        <v>8</v>
      </c>
      <c r="H2" s="1" t="s">
        <v>9</v>
      </c>
      <c r="I2" s="1" t="s">
        <v>10</v>
      </c>
      <c r="J2" s="1" t="s">
        <v>11</v>
      </c>
      <c r="K2" s="1" t="s">
        <v>12</v>
      </c>
      <c r="L2" s="8" t="s">
        <v>13</v>
      </c>
      <c r="M2" s="8" t="s">
        <v>14</v>
      </c>
      <c r="N2" s="9" t="s">
        <v>15</v>
      </c>
      <c r="O2" s="3" t="s">
        <v>16</v>
      </c>
      <c r="P2" s="9" t="s">
        <v>17</v>
      </c>
      <c r="Q2" s="5" t="s">
        <v>18</v>
      </c>
      <c r="R2" s="1" t="s">
        <v>19</v>
      </c>
      <c r="S2" s="1" t="s">
        <v>20</v>
      </c>
      <c r="T2" s="1" t="s">
        <v>21</v>
      </c>
      <c r="U2" s="1" t="s">
        <v>22</v>
      </c>
      <c r="V2" s="1" t="s">
        <v>23</v>
      </c>
      <c r="W2" s="1" t="s">
        <v>24</v>
      </c>
      <c r="X2" s="10" t="s">
        <v>25</v>
      </c>
      <c r="Y2" s="11" t="s">
        <v>26</v>
      </c>
      <c r="Z2" s="11" t="s">
        <v>27</v>
      </c>
      <c r="AA2" s="11" t="s">
        <v>28</v>
      </c>
      <c r="AB2" s="11" t="s">
        <v>29</v>
      </c>
      <c r="AC2" s="11" t="s">
        <v>30</v>
      </c>
      <c r="AD2" s="1" t="s">
        <v>31</v>
      </c>
      <c r="AE2" s="1" t="s">
        <v>32</v>
      </c>
      <c r="AF2" s="6" t="s">
        <v>33</v>
      </c>
      <c r="AG2" s="7"/>
      <c r="AH2" s="7"/>
      <c r="AI2" s="7"/>
      <c r="AJ2" s="7"/>
      <c r="AK2" s="7"/>
      <c r="AL2" s="7"/>
      <c r="AM2" s="7"/>
      <c r="AN2" s="7"/>
      <c r="AO2" s="7"/>
      <c r="AP2" s="7"/>
      <c r="AQ2" s="7"/>
      <c r="AR2" s="7"/>
      <c r="AS2" s="7"/>
      <c r="AT2" s="7"/>
      <c r="AU2" s="7"/>
      <c r="AV2" s="7"/>
      <c r="AW2" s="7"/>
      <c r="AX2" s="7"/>
      <c r="AY2" s="7"/>
      <c r="AZ2" s="7"/>
    </row>
    <row r="3" spans="1:52" ht="115.5" customHeight="1">
      <c r="A3" s="12" t="s">
        <v>34</v>
      </c>
      <c r="B3" s="7">
        <v>1</v>
      </c>
      <c r="C3" s="13" t="s">
        <v>35</v>
      </c>
      <c r="D3" s="7" t="s">
        <v>36</v>
      </c>
      <c r="E3" s="7" t="s">
        <v>37</v>
      </c>
      <c r="F3" s="7" t="s">
        <v>38</v>
      </c>
      <c r="G3" s="7">
        <v>1999</v>
      </c>
      <c r="H3" s="7"/>
      <c r="I3" s="14" t="str">
        <f>HYPERLINK("mailto:ACAF@food.gov.uk","ACAF@food.gov.uk")</f>
        <v>ACAF@food.gov.uk</v>
      </c>
      <c r="J3" s="14" t="s">
        <v>39</v>
      </c>
      <c r="K3" s="7" t="s">
        <v>40</v>
      </c>
      <c r="L3" s="7" t="s">
        <v>41</v>
      </c>
      <c r="M3" s="7" t="s">
        <v>42</v>
      </c>
      <c r="N3" s="15" t="s">
        <v>43</v>
      </c>
      <c r="O3" s="16">
        <v>400</v>
      </c>
      <c r="P3" s="15" t="s">
        <v>44</v>
      </c>
      <c r="Q3" s="17" t="s">
        <v>45</v>
      </c>
      <c r="R3" s="7" t="s">
        <v>43</v>
      </c>
      <c r="S3" s="7" t="s">
        <v>43</v>
      </c>
      <c r="T3" s="7" t="s">
        <v>43</v>
      </c>
      <c r="U3" s="7" t="s">
        <v>46</v>
      </c>
      <c r="V3" s="7">
        <v>2016</v>
      </c>
      <c r="W3" s="7">
        <v>1</v>
      </c>
      <c r="X3" s="18">
        <v>24</v>
      </c>
      <c r="Y3" s="18">
        <v>0</v>
      </c>
      <c r="Z3" s="18">
        <v>24</v>
      </c>
      <c r="AA3" s="19">
        <v>15</v>
      </c>
      <c r="AB3" s="19">
        <v>0</v>
      </c>
      <c r="AC3" s="19">
        <v>0</v>
      </c>
      <c r="AD3" s="7"/>
      <c r="AE3" s="7"/>
      <c r="AF3" s="7"/>
      <c r="AG3" s="7"/>
      <c r="AH3" s="7"/>
      <c r="AI3" s="7"/>
      <c r="AJ3" s="7"/>
      <c r="AK3" s="7"/>
      <c r="AL3" s="7"/>
      <c r="AM3" s="7"/>
      <c r="AN3" s="7"/>
      <c r="AO3" s="7"/>
      <c r="AP3" s="7"/>
      <c r="AQ3" s="7"/>
      <c r="AR3" s="7"/>
      <c r="AS3" s="7"/>
      <c r="AT3" s="7"/>
      <c r="AU3" s="7"/>
      <c r="AV3" s="7"/>
      <c r="AW3" s="7"/>
      <c r="AX3" s="7"/>
      <c r="AY3" s="7"/>
      <c r="AZ3" s="7"/>
    </row>
    <row r="4" spans="1:52" ht="63" customHeight="1">
      <c r="A4" s="20" t="s">
        <v>47</v>
      </c>
      <c r="B4" s="7">
        <v>1</v>
      </c>
      <c r="C4" s="7" t="s">
        <v>48</v>
      </c>
      <c r="D4" s="7" t="s">
        <v>36</v>
      </c>
      <c r="E4" s="7" t="s">
        <v>37</v>
      </c>
      <c r="F4" s="7" t="s">
        <v>49</v>
      </c>
      <c r="G4" s="7">
        <v>1975</v>
      </c>
      <c r="H4" s="7"/>
      <c r="I4" s="14" t="str">
        <f>HYPERLINK("mailto:acoba@acoba.gov.uk","acoba@acoba.gov.uk")</f>
        <v>acoba@acoba.gov.uk</v>
      </c>
      <c r="J4" s="14" t="str">
        <f>HYPERLINK("http://acoba.independent.gov.uk/","http://acoba.independent.gov.uk/")</f>
        <v>http://acoba.independent.gov.uk/</v>
      </c>
      <c r="K4" s="7" t="s">
        <v>50</v>
      </c>
      <c r="L4" s="21" t="s">
        <v>51</v>
      </c>
      <c r="M4" s="13" t="s">
        <v>42</v>
      </c>
      <c r="N4" s="15" t="s">
        <v>43</v>
      </c>
      <c r="O4" s="16">
        <v>8000</v>
      </c>
      <c r="P4" s="15" t="s">
        <v>52</v>
      </c>
      <c r="Q4" s="22" t="s">
        <v>53</v>
      </c>
      <c r="R4" s="7" t="s">
        <v>37</v>
      </c>
      <c r="S4" s="7" t="s">
        <v>43</v>
      </c>
      <c r="T4" s="7" t="s">
        <v>43</v>
      </c>
      <c r="U4" s="7" t="s">
        <v>54</v>
      </c>
      <c r="V4" s="7"/>
      <c r="W4" s="13" t="s">
        <v>55</v>
      </c>
      <c r="X4" s="18">
        <v>326</v>
      </c>
      <c r="Y4" s="18">
        <v>0</v>
      </c>
      <c r="Z4" s="18">
        <v>326</v>
      </c>
      <c r="AA4" s="19">
        <v>326</v>
      </c>
      <c r="AB4" s="19">
        <v>0</v>
      </c>
      <c r="AC4" s="19">
        <v>0</v>
      </c>
      <c r="AD4" s="7"/>
      <c r="AE4" s="13" t="s">
        <v>56</v>
      </c>
      <c r="AF4" s="7"/>
      <c r="AG4" s="7"/>
      <c r="AH4" s="7"/>
      <c r="AI4" s="7"/>
      <c r="AJ4" s="7"/>
      <c r="AK4" s="7"/>
      <c r="AL4" s="7"/>
      <c r="AM4" s="7"/>
      <c r="AN4" s="7"/>
      <c r="AO4" s="7"/>
      <c r="AP4" s="7"/>
      <c r="AQ4" s="7"/>
      <c r="AR4" s="7"/>
      <c r="AS4" s="7"/>
      <c r="AT4" s="7"/>
      <c r="AU4" s="7"/>
      <c r="AV4" s="7"/>
      <c r="AW4" s="7"/>
      <c r="AX4" s="7"/>
      <c r="AY4" s="7"/>
      <c r="AZ4" s="7"/>
    </row>
    <row r="5" spans="1:52" ht="63" customHeight="1">
      <c r="A5" s="20" t="s">
        <v>57</v>
      </c>
      <c r="B5" s="7">
        <v>1</v>
      </c>
      <c r="C5" s="7" t="s">
        <v>58</v>
      </c>
      <c r="D5" s="7" t="s">
        <v>36</v>
      </c>
      <c r="E5" s="7" t="s">
        <v>37</v>
      </c>
      <c r="F5" s="7" t="s">
        <v>59</v>
      </c>
      <c r="G5" s="7">
        <v>2004</v>
      </c>
      <c r="H5" s="6"/>
      <c r="I5" s="14" t="str">
        <f>HYPERLINK("mailto:accea@dhsc.gov.uk","accea@dhsc.gov.uk")</f>
        <v>accea@dhsc.gov.uk</v>
      </c>
      <c r="J5" s="14" t="str">
        <f>HYPERLINK("https://www.gov.uk/government/organisations/advisory-committee-on-clinical-excellence-awards","https://www.gov.uk/government/organisations/advisory-committee-on-clinical-excellence-awards")</f>
        <v>https://www.gov.uk/government/organisations/advisory-committee-on-clinical-excellence-awards</v>
      </c>
      <c r="K5" s="7" t="s">
        <v>60</v>
      </c>
      <c r="L5" s="7" t="s">
        <v>61</v>
      </c>
      <c r="M5" s="7" t="s">
        <v>42</v>
      </c>
      <c r="N5" s="15" t="s">
        <v>43</v>
      </c>
      <c r="O5" s="16">
        <v>52540</v>
      </c>
      <c r="P5" s="15" t="s">
        <v>52</v>
      </c>
      <c r="Q5" s="17" t="s">
        <v>62</v>
      </c>
      <c r="R5" s="7" t="s">
        <v>63</v>
      </c>
      <c r="S5" s="7" t="s">
        <v>56</v>
      </c>
      <c r="T5" s="7" t="s">
        <v>63</v>
      </c>
      <c r="U5" s="7" t="s">
        <v>54</v>
      </c>
      <c r="V5" s="7">
        <v>2015</v>
      </c>
      <c r="W5" s="7">
        <v>3.5</v>
      </c>
      <c r="X5" s="18">
        <v>211</v>
      </c>
      <c r="Y5" s="18">
        <v>0</v>
      </c>
      <c r="Z5" s="18">
        <v>211</v>
      </c>
      <c r="AA5" s="19">
        <v>211</v>
      </c>
      <c r="AB5" s="19">
        <v>0</v>
      </c>
      <c r="AC5" s="19">
        <v>0</v>
      </c>
      <c r="AD5" s="7"/>
      <c r="AE5" s="13" t="s">
        <v>56</v>
      </c>
      <c r="AF5" s="7"/>
      <c r="AG5" s="7"/>
      <c r="AH5" s="7"/>
      <c r="AI5" s="7"/>
      <c r="AJ5" s="7"/>
      <c r="AK5" s="7"/>
      <c r="AL5" s="7"/>
      <c r="AM5" s="7"/>
      <c r="AN5" s="7"/>
      <c r="AO5" s="7"/>
      <c r="AP5" s="7"/>
      <c r="AQ5" s="7"/>
      <c r="AR5" s="7"/>
      <c r="AS5" s="7"/>
      <c r="AT5" s="7"/>
      <c r="AU5" s="7"/>
      <c r="AV5" s="7"/>
      <c r="AW5" s="7"/>
      <c r="AX5" s="7"/>
      <c r="AY5" s="7"/>
      <c r="AZ5" s="7"/>
    </row>
    <row r="6" spans="1:52" ht="63" customHeight="1">
      <c r="A6" s="20" t="s">
        <v>64</v>
      </c>
      <c r="B6" s="7">
        <v>1</v>
      </c>
      <c r="C6" s="7" t="s">
        <v>65</v>
      </c>
      <c r="D6" s="7" t="s">
        <v>36</v>
      </c>
      <c r="E6" s="7" t="s">
        <v>63</v>
      </c>
      <c r="F6" s="7" t="s">
        <v>66</v>
      </c>
      <c r="G6" s="7">
        <v>1970</v>
      </c>
      <c r="H6" s="7"/>
      <c r="I6" s="14" t="s">
        <v>67</v>
      </c>
      <c r="J6" s="14" t="s">
        <v>68</v>
      </c>
      <c r="K6" s="7" t="s">
        <v>69</v>
      </c>
      <c r="L6" s="7" t="s">
        <v>70</v>
      </c>
      <c r="M6" s="7" t="s">
        <v>71</v>
      </c>
      <c r="N6" s="15" t="s">
        <v>37</v>
      </c>
      <c r="O6" s="16"/>
      <c r="P6" s="23"/>
      <c r="Q6" s="23"/>
      <c r="R6" s="7" t="s">
        <v>56</v>
      </c>
      <c r="S6" s="7" t="s">
        <v>56</v>
      </c>
      <c r="T6" s="7" t="s">
        <v>56</v>
      </c>
      <c r="U6" s="7" t="s">
        <v>46</v>
      </c>
      <c r="V6" s="7">
        <v>2013</v>
      </c>
      <c r="W6" s="7">
        <v>0</v>
      </c>
      <c r="X6" s="18">
        <v>0</v>
      </c>
      <c r="Y6" s="18">
        <v>0</v>
      </c>
      <c r="Z6" s="18">
        <v>0</v>
      </c>
      <c r="AA6" s="19">
        <v>0</v>
      </c>
      <c r="AB6" s="19">
        <v>0</v>
      </c>
      <c r="AC6" s="19">
        <v>0</v>
      </c>
      <c r="AD6" s="7" t="s">
        <v>72</v>
      </c>
      <c r="AE6" s="7"/>
      <c r="AG6" s="7"/>
      <c r="AH6" s="7"/>
      <c r="AI6" s="7"/>
      <c r="AJ6" s="7"/>
      <c r="AK6" s="7"/>
      <c r="AL6" s="7"/>
      <c r="AM6" s="7"/>
      <c r="AN6" s="7"/>
      <c r="AO6" s="7"/>
      <c r="AP6" s="7"/>
      <c r="AQ6" s="7"/>
      <c r="AR6" s="7"/>
      <c r="AS6" s="7"/>
      <c r="AT6" s="7"/>
      <c r="AU6" s="7"/>
      <c r="AV6" s="7"/>
      <c r="AW6" s="7"/>
      <c r="AX6" s="7"/>
      <c r="AY6" s="7"/>
      <c r="AZ6" s="7"/>
    </row>
    <row r="7" spans="1:52" ht="63" customHeight="1">
      <c r="A7" s="20" t="s">
        <v>73</v>
      </c>
      <c r="B7" s="7">
        <v>1</v>
      </c>
      <c r="C7" s="13" t="s">
        <v>35</v>
      </c>
      <c r="D7" s="7" t="s">
        <v>36</v>
      </c>
      <c r="E7" s="7" t="s">
        <v>37</v>
      </c>
      <c r="F7" s="7" t="s">
        <v>74</v>
      </c>
      <c r="G7" s="7">
        <v>1987</v>
      </c>
      <c r="H7" s="7"/>
      <c r="I7" s="14" t="str">
        <f>HYPERLINK("mailto:acnfp@food.gov.uk","acnfp@food.gov.uk")</f>
        <v>acnfp@food.gov.uk</v>
      </c>
      <c r="J7" s="14" t="str">
        <f>HYPERLINK("https://acnfp.food.gov.uk/","https//acnfp.food.gov.uk")</f>
        <v>https//acnfp.food.gov.uk</v>
      </c>
      <c r="K7" s="7" t="s">
        <v>75</v>
      </c>
      <c r="L7" s="7" t="s">
        <v>76</v>
      </c>
      <c r="M7" s="7" t="s">
        <v>71</v>
      </c>
      <c r="N7" s="15" t="s">
        <v>43</v>
      </c>
      <c r="O7" s="16">
        <v>400</v>
      </c>
      <c r="P7" s="15" t="s">
        <v>44</v>
      </c>
      <c r="Q7" s="17" t="s">
        <v>77</v>
      </c>
      <c r="R7" s="7" t="s">
        <v>37</v>
      </c>
      <c r="S7" s="7" t="s">
        <v>43</v>
      </c>
      <c r="T7" s="7" t="s">
        <v>43</v>
      </c>
      <c r="U7" s="7" t="s">
        <v>54</v>
      </c>
      <c r="V7" s="7">
        <v>2016</v>
      </c>
      <c r="W7" s="7">
        <v>1</v>
      </c>
      <c r="X7" s="18">
        <v>30</v>
      </c>
      <c r="Y7" s="18">
        <v>0</v>
      </c>
      <c r="Z7" s="18">
        <v>30</v>
      </c>
      <c r="AA7" s="19">
        <v>30</v>
      </c>
      <c r="AB7" s="19">
        <v>0</v>
      </c>
      <c r="AC7" s="19">
        <v>0</v>
      </c>
      <c r="AD7" s="7" t="s">
        <v>72</v>
      </c>
      <c r="AE7" s="7"/>
      <c r="AG7" s="7"/>
      <c r="AH7" s="7"/>
      <c r="AI7" s="7"/>
      <c r="AJ7" s="7"/>
      <c r="AK7" s="7"/>
      <c r="AL7" s="7"/>
      <c r="AM7" s="7"/>
      <c r="AN7" s="7"/>
      <c r="AO7" s="7"/>
      <c r="AP7" s="7"/>
      <c r="AQ7" s="7"/>
      <c r="AR7" s="7"/>
      <c r="AS7" s="7"/>
      <c r="AT7" s="7"/>
      <c r="AU7" s="7"/>
      <c r="AV7" s="7"/>
      <c r="AW7" s="7"/>
      <c r="AX7" s="7"/>
      <c r="AY7" s="7"/>
      <c r="AZ7" s="7"/>
    </row>
    <row r="8" spans="1:52" ht="63" customHeight="1">
      <c r="A8" s="20" t="s">
        <v>78</v>
      </c>
      <c r="B8" s="7">
        <v>1</v>
      </c>
      <c r="C8" s="7" t="s">
        <v>79</v>
      </c>
      <c r="D8" s="7" t="s">
        <v>36</v>
      </c>
      <c r="E8" s="7" t="s">
        <v>37</v>
      </c>
      <c r="F8" s="7" t="s">
        <v>80</v>
      </c>
      <c r="G8" s="7">
        <v>1993</v>
      </c>
      <c r="H8" s="7"/>
      <c r="I8" s="14" t="str">
        <f>HYPERLINK("mailto:acre.secretariat@defra.gov.uk","acre.secretariat@defra.
gov.uk")</f>
        <v>acre.secretariat@defra.
gov.uk</v>
      </c>
      <c r="J8" s="14" t="str">
        <f>HYPERLINK("https://www.gov.uk/ government/organisations/advisory-committee-on-releases-to-the-environment","https://www.gov.uk/
government/organisations/advisory-committee-on-releases-to-the-environment")</f>
        <v>https://www.gov.uk/
government/organisations/advisory-committee-on-releases-to-the-environment</v>
      </c>
      <c r="K8" s="7" t="s">
        <v>81</v>
      </c>
      <c r="L8" s="7" t="s">
        <v>82</v>
      </c>
      <c r="M8" s="13" t="s">
        <v>42</v>
      </c>
      <c r="N8" s="15" t="s">
        <v>43</v>
      </c>
      <c r="O8" s="16">
        <v>223</v>
      </c>
      <c r="P8" s="15" t="s">
        <v>44</v>
      </c>
      <c r="Q8" s="17" t="s">
        <v>83</v>
      </c>
      <c r="R8" s="7" t="s">
        <v>43</v>
      </c>
      <c r="S8" s="7" t="s">
        <v>43</v>
      </c>
      <c r="T8" s="7" t="s">
        <v>43</v>
      </c>
      <c r="U8" s="7" t="s">
        <v>54</v>
      </c>
      <c r="V8" s="7">
        <v>2015</v>
      </c>
      <c r="W8" s="7">
        <v>0.6</v>
      </c>
      <c r="X8" s="18">
        <v>0</v>
      </c>
      <c r="Y8" s="18">
        <v>0</v>
      </c>
      <c r="Z8" s="18">
        <v>0</v>
      </c>
      <c r="AA8" s="19">
        <v>0</v>
      </c>
      <c r="AB8" s="19">
        <v>0</v>
      </c>
      <c r="AC8" s="19">
        <v>0</v>
      </c>
      <c r="AD8" s="7"/>
      <c r="AE8" s="7"/>
      <c r="AF8" s="7"/>
      <c r="AG8" s="7"/>
      <c r="AH8" s="7"/>
      <c r="AI8" s="7"/>
      <c r="AJ8" s="7"/>
      <c r="AK8" s="7"/>
      <c r="AL8" s="7"/>
      <c r="AM8" s="7"/>
      <c r="AN8" s="7"/>
      <c r="AO8" s="7"/>
      <c r="AP8" s="7"/>
      <c r="AQ8" s="7"/>
      <c r="AR8" s="7"/>
      <c r="AS8" s="7"/>
      <c r="AT8" s="7"/>
      <c r="AU8" s="7"/>
      <c r="AV8" s="7"/>
      <c r="AW8" s="7"/>
      <c r="AX8" s="7"/>
      <c r="AY8" s="7"/>
      <c r="AZ8" s="7"/>
    </row>
    <row r="9" spans="1:52" ht="63" customHeight="1">
      <c r="A9" s="20" t="s">
        <v>84</v>
      </c>
      <c r="B9" s="7">
        <v>1</v>
      </c>
      <c r="C9" s="13" t="s">
        <v>35</v>
      </c>
      <c r="D9" s="7" t="s">
        <v>36</v>
      </c>
      <c r="E9" s="7" t="s">
        <v>37</v>
      </c>
      <c r="F9" s="7" t="s">
        <v>85</v>
      </c>
      <c r="G9" s="7">
        <v>1990</v>
      </c>
      <c r="H9" s="7"/>
      <c r="I9" s="14" t="str">
        <f>HYPERLINK("mailto:acmsf@food.gov.uk","acmsf@food.gov.uk")</f>
        <v>acmsf@food.gov.uk</v>
      </c>
      <c r="J9" s="14" t="s">
        <v>86</v>
      </c>
      <c r="K9" s="7" t="s">
        <v>75</v>
      </c>
      <c r="L9" s="7" t="s">
        <v>87</v>
      </c>
      <c r="M9" s="7" t="s">
        <v>71</v>
      </c>
      <c r="N9" s="15" t="s">
        <v>43</v>
      </c>
      <c r="O9" s="16">
        <v>400</v>
      </c>
      <c r="P9" s="15" t="s">
        <v>44</v>
      </c>
      <c r="Q9" s="17" t="s">
        <v>45</v>
      </c>
      <c r="R9" s="7" t="s">
        <v>43</v>
      </c>
      <c r="S9" s="7" t="s">
        <v>43</v>
      </c>
      <c r="T9" s="7" t="s">
        <v>43</v>
      </c>
      <c r="U9" s="7" t="s">
        <v>54</v>
      </c>
      <c r="V9" s="7">
        <v>2016</v>
      </c>
      <c r="W9" s="7">
        <v>3</v>
      </c>
      <c r="X9" s="18">
        <v>28</v>
      </c>
      <c r="Y9" s="18">
        <v>0</v>
      </c>
      <c r="Z9" s="18">
        <v>28</v>
      </c>
      <c r="AA9" s="19">
        <v>11</v>
      </c>
      <c r="AB9" s="19">
        <v>0</v>
      </c>
      <c r="AC9" s="19">
        <v>0</v>
      </c>
      <c r="AD9" s="7"/>
      <c r="AE9" s="7"/>
      <c r="AF9" s="7"/>
      <c r="AG9" s="7"/>
      <c r="AH9" s="7"/>
      <c r="AI9" s="7"/>
      <c r="AJ9" s="7"/>
      <c r="AK9" s="7"/>
      <c r="AL9" s="7"/>
      <c r="AM9" s="7"/>
      <c r="AN9" s="7"/>
      <c r="AO9" s="7"/>
      <c r="AP9" s="7"/>
      <c r="AQ9" s="7"/>
      <c r="AR9" s="7"/>
      <c r="AS9" s="7"/>
      <c r="AT9" s="7"/>
      <c r="AU9" s="7"/>
      <c r="AV9" s="7"/>
      <c r="AW9" s="7"/>
      <c r="AX9" s="7"/>
      <c r="AY9" s="7"/>
      <c r="AZ9" s="7"/>
    </row>
    <row r="10" spans="1:52" ht="63" customHeight="1">
      <c r="A10" s="20" t="s">
        <v>88</v>
      </c>
      <c r="B10" s="7">
        <v>44</v>
      </c>
      <c r="C10" s="7" t="s">
        <v>89</v>
      </c>
      <c r="D10" s="7" t="s">
        <v>36</v>
      </c>
      <c r="E10" s="7" t="s">
        <v>37</v>
      </c>
      <c r="F10" s="7" t="s">
        <v>90</v>
      </c>
      <c r="G10" s="7">
        <v>2003</v>
      </c>
      <c r="H10" s="7"/>
      <c r="I10" s="14" t="str">
        <f>HYPERLINK("mailto:Nadine.Davis@judiciary.uk","Nadine.Davis@judiciary.uk")</f>
        <v>Nadine.Davis@judiciary.uk</v>
      </c>
      <c r="J10" s="14" t="str">
        <f>HYPERLINK("https://www.judiciary.uk/","www.judiciary.uk")</f>
        <v>www.judiciary.uk</v>
      </c>
      <c r="K10" s="7" t="s">
        <v>91</v>
      </c>
      <c r="L10" s="7" t="s">
        <v>92</v>
      </c>
      <c r="M10" s="13" t="s">
        <v>42</v>
      </c>
      <c r="N10" s="15" t="s">
        <v>37</v>
      </c>
      <c r="O10" s="16"/>
      <c r="P10" s="15"/>
      <c r="Q10" s="15"/>
      <c r="R10" s="7" t="s">
        <v>37</v>
      </c>
      <c r="S10" s="7" t="s">
        <v>37</v>
      </c>
      <c r="T10" s="7" t="s">
        <v>43</v>
      </c>
      <c r="U10" s="7" t="s">
        <v>46</v>
      </c>
      <c r="V10" s="7">
        <v>2018</v>
      </c>
      <c r="W10" s="7">
        <v>0</v>
      </c>
      <c r="X10" s="18">
        <v>0</v>
      </c>
      <c r="Y10" s="18">
        <v>0</v>
      </c>
      <c r="Z10" s="18">
        <v>0</v>
      </c>
      <c r="AA10" s="19">
        <v>0</v>
      </c>
      <c r="AB10" s="19">
        <v>0</v>
      </c>
      <c r="AC10" s="19">
        <v>0</v>
      </c>
      <c r="AD10" s="7"/>
      <c r="AE10" s="7"/>
      <c r="AF10" s="7"/>
      <c r="AG10" s="7"/>
      <c r="AH10" s="7"/>
      <c r="AI10" s="7"/>
      <c r="AJ10" s="7"/>
      <c r="AK10" s="7"/>
      <c r="AL10" s="7"/>
      <c r="AM10" s="7"/>
      <c r="AN10" s="7"/>
      <c r="AO10" s="7"/>
      <c r="AP10" s="7"/>
      <c r="AQ10" s="7"/>
      <c r="AR10" s="7"/>
      <c r="AS10" s="7"/>
      <c r="AT10" s="7"/>
      <c r="AU10" s="7"/>
      <c r="AV10" s="7"/>
      <c r="AW10" s="7"/>
      <c r="AX10" s="7"/>
      <c r="AY10" s="7"/>
      <c r="AZ10" s="7"/>
    </row>
    <row r="11" spans="1:52" ht="63" customHeight="1">
      <c r="A11" s="20" t="s">
        <v>93</v>
      </c>
      <c r="B11" s="7">
        <v>1</v>
      </c>
      <c r="C11" s="7" t="s">
        <v>94</v>
      </c>
      <c r="D11" s="7" t="s">
        <v>95</v>
      </c>
      <c r="E11" s="7" t="s">
        <v>63</v>
      </c>
      <c r="F11" s="7" t="s">
        <v>96</v>
      </c>
      <c r="G11" s="7">
        <v>1971</v>
      </c>
      <c r="H11" s="7"/>
      <c r="I11" s="14" t="str">
        <f>HYPERLINK("mailto:secretariat@acas.org.uk","secretariat@acas.org.uk")</f>
        <v>secretariat@acas.org.uk</v>
      </c>
      <c r="J11" s="14" t="str">
        <f>HYPERLINK("http://www.acas.org.uk","http://www.acas.org.uk")</f>
        <v>http://www.acas.org.uk</v>
      </c>
      <c r="K11" s="7" t="s">
        <v>97</v>
      </c>
      <c r="L11" s="7" t="s">
        <v>98</v>
      </c>
      <c r="M11" s="7" t="s">
        <v>42</v>
      </c>
      <c r="N11" s="15" t="s">
        <v>56</v>
      </c>
      <c r="O11" s="7" t="s">
        <v>99</v>
      </c>
      <c r="P11" s="15" t="s">
        <v>52</v>
      </c>
      <c r="Q11" s="17" t="s">
        <v>100</v>
      </c>
      <c r="R11" s="7" t="s">
        <v>63</v>
      </c>
      <c r="S11" s="7" t="s">
        <v>56</v>
      </c>
      <c r="T11" s="7" t="s">
        <v>56</v>
      </c>
      <c r="U11" s="7" t="s">
        <v>54</v>
      </c>
      <c r="V11" s="7">
        <v>2013</v>
      </c>
      <c r="W11" s="7">
        <v>782</v>
      </c>
      <c r="X11" s="18">
        <v>41085</v>
      </c>
      <c r="Y11" s="18">
        <v>5598</v>
      </c>
      <c r="Z11" s="18">
        <v>46683</v>
      </c>
      <c r="AA11" s="18">
        <v>54024</v>
      </c>
      <c r="AB11" s="18">
        <v>1028</v>
      </c>
      <c r="AC11" s="24">
        <v>0</v>
      </c>
      <c r="AD11" s="13" t="s">
        <v>56</v>
      </c>
      <c r="AE11" s="7"/>
      <c r="AF11" s="7"/>
      <c r="AG11" s="7"/>
      <c r="AH11" s="7"/>
      <c r="AI11" s="7"/>
      <c r="AJ11" s="7"/>
      <c r="AK11" s="7"/>
      <c r="AL11" s="7"/>
      <c r="AM11" s="7"/>
      <c r="AN11" s="7"/>
      <c r="AO11" s="7"/>
      <c r="AP11" s="7"/>
      <c r="AQ11" s="7"/>
      <c r="AR11" s="7"/>
      <c r="AS11" s="7"/>
      <c r="AT11" s="7"/>
      <c r="AU11" s="7"/>
      <c r="AV11" s="7"/>
      <c r="AW11" s="7"/>
      <c r="AX11" s="7"/>
      <c r="AY11" s="7"/>
      <c r="AZ11" s="7"/>
    </row>
    <row r="12" spans="1:52" ht="63" customHeight="1">
      <c r="A12" s="20" t="s">
        <v>101</v>
      </c>
      <c r="B12" s="7">
        <v>1</v>
      </c>
      <c r="C12" s="7" t="s">
        <v>79</v>
      </c>
      <c r="D12" s="7" t="s">
        <v>95</v>
      </c>
      <c r="E12" s="7" t="s">
        <v>37</v>
      </c>
      <c r="F12" s="7" t="s">
        <v>102</v>
      </c>
      <c r="G12" s="7">
        <v>2008</v>
      </c>
      <c r="H12" s="7"/>
      <c r="I12" s="14" t="str">
        <f>HYPERLINK("mailto:info@ahdb.org.uk","info@ahdb.org.uk")</f>
        <v>info@ahdb.org.uk</v>
      </c>
      <c r="J12" s="14" t="str">
        <f>HYPERLINK("http://www.ahdb.org.uk/","http://www.ahdb.org.uk/")</f>
        <v>http://www.ahdb.org.uk/</v>
      </c>
      <c r="K12" s="7" t="s">
        <v>103</v>
      </c>
      <c r="L12" s="7" t="s">
        <v>104</v>
      </c>
      <c r="M12" s="13" t="s">
        <v>42</v>
      </c>
      <c r="N12" s="16" t="s">
        <v>43</v>
      </c>
      <c r="O12" s="16">
        <v>50000</v>
      </c>
      <c r="P12" s="15" t="s">
        <v>52</v>
      </c>
      <c r="Q12" s="15" t="s">
        <v>105</v>
      </c>
      <c r="R12" s="7" t="s">
        <v>37</v>
      </c>
      <c r="S12" s="7" t="s">
        <v>43</v>
      </c>
      <c r="T12" s="7" t="s">
        <v>43</v>
      </c>
      <c r="U12" s="7" t="s">
        <v>54</v>
      </c>
      <c r="V12" s="7">
        <v>2018</v>
      </c>
      <c r="W12" s="7">
        <v>543</v>
      </c>
      <c r="X12" s="18">
        <v>0</v>
      </c>
      <c r="Y12" s="18">
        <v>66236</v>
      </c>
      <c r="Z12" s="18">
        <v>66236</v>
      </c>
      <c r="AA12" s="18">
        <v>0</v>
      </c>
      <c r="AB12" s="18">
        <v>0</v>
      </c>
      <c r="AC12" s="18">
        <v>73046</v>
      </c>
      <c r="AD12" s="7" t="s">
        <v>106</v>
      </c>
      <c r="AE12" s="7"/>
      <c r="AF12" s="7"/>
      <c r="AG12" s="7"/>
      <c r="AH12" s="7"/>
      <c r="AI12" s="7"/>
      <c r="AJ12" s="7"/>
      <c r="AK12" s="7"/>
      <c r="AL12" s="7"/>
      <c r="AM12" s="7"/>
      <c r="AN12" s="7"/>
      <c r="AO12" s="7"/>
      <c r="AP12" s="7"/>
      <c r="AQ12" s="7"/>
      <c r="AR12" s="7"/>
      <c r="AS12" s="7"/>
      <c r="AT12" s="7"/>
      <c r="AU12" s="7"/>
      <c r="AV12" s="7"/>
      <c r="AW12" s="7"/>
      <c r="AX12" s="7"/>
      <c r="AY12" s="7"/>
      <c r="AZ12" s="7"/>
    </row>
    <row r="13" spans="1:52" ht="63" customHeight="1">
      <c r="A13" s="20" t="s">
        <v>107</v>
      </c>
      <c r="B13" s="7">
        <v>1</v>
      </c>
      <c r="C13" s="7" t="s">
        <v>79</v>
      </c>
      <c r="D13" s="7" t="s">
        <v>108</v>
      </c>
      <c r="E13" s="7" t="s">
        <v>43</v>
      </c>
      <c r="F13" s="7" t="s">
        <v>109</v>
      </c>
      <c r="G13" s="7">
        <v>2014</v>
      </c>
      <c r="H13" s="7"/>
      <c r="I13" s="14" t="str">
        <f>HYPERLINK("apha.corporatecorrespondence@apha.gov.uk.","apha.corporatecorrespondence@apha.gov.uk.")</f>
        <v>apha.corporatecorrespondence@apha.gov.uk.</v>
      </c>
      <c r="J13" s="14" t="str">
        <f>HYPERLINK("https://www.gov.uk/government/organisations/animal-and-plant-health-agency","http://www.defra.gov.uk
/apha-en/")</f>
        <v>http://www.defra.gov.uk
/apha-en/</v>
      </c>
      <c r="K13" s="7" t="s">
        <v>110</v>
      </c>
      <c r="L13" s="7" t="s">
        <v>111</v>
      </c>
      <c r="M13" s="7" t="s">
        <v>42</v>
      </c>
      <c r="N13" s="15" t="s">
        <v>43</v>
      </c>
      <c r="O13" s="16">
        <v>500</v>
      </c>
      <c r="P13" s="15" t="s">
        <v>44</v>
      </c>
      <c r="Q13" s="15" t="s">
        <v>112</v>
      </c>
      <c r="R13" s="7" t="s">
        <v>37</v>
      </c>
      <c r="S13" s="7" t="s">
        <v>37</v>
      </c>
      <c r="T13" s="7" t="s">
        <v>43</v>
      </c>
      <c r="U13" s="7" t="s">
        <v>54</v>
      </c>
      <c r="V13" s="25"/>
      <c r="W13" s="26">
        <v>2243</v>
      </c>
      <c r="X13" s="18">
        <v>75236</v>
      </c>
      <c r="Y13" s="18">
        <v>65644</v>
      </c>
      <c r="Z13" s="18">
        <v>140880</v>
      </c>
      <c r="AA13" s="18">
        <v>150922</v>
      </c>
      <c r="AB13" s="18">
        <v>1501</v>
      </c>
      <c r="AC13" s="18">
        <v>0</v>
      </c>
      <c r="AD13" s="7" t="s">
        <v>113</v>
      </c>
      <c r="AE13" s="7"/>
      <c r="AG13" s="7"/>
      <c r="AH13" s="7"/>
      <c r="AI13" s="7"/>
      <c r="AJ13" s="7"/>
      <c r="AK13" s="7"/>
      <c r="AL13" s="7"/>
      <c r="AM13" s="7"/>
      <c r="AN13" s="7"/>
      <c r="AO13" s="7"/>
      <c r="AP13" s="7"/>
      <c r="AQ13" s="7"/>
      <c r="AR13" s="7"/>
      <c r="AS13" s="7"/>
      <c r="AT13" s="7"/>
      <c r="AU13" s="7"/>
      <c r="AV13" s="7"/>
      <c r="AW13" s="7"/>
      <c r="AX13" s="7"/>
      <c r="AY13" s="7"/>
      <c r="AZ13" s="7"/>
    </row>
    <row r="14" spans="1:52" ht="63" customHeight="1">
      <c r="A14" s="20" t="s">
        <v>114</v>
      </c>
      <c r="B14" s="7">
        <v>1</v>
      </c>
      <c r="C14" s="7" t="s">
        <v>65</v>
      </c>
      <c r="D14" s="7" t="s">
        <v>36</v>
      </c>
      <c r="E14" s="7" t="s">
        <v>37</v>
      </c>
      <c r="F14" s="7" t="s">
        <v>115</v>
      </c>
      <c r="G14" s="7">
        <v>1971</v>
      </c>
      <c r="H14" s="7"/>
      <c r="I14" s="14" t="str">
        <f>HYPERLINK("mailto:sharon.corder@100mod.gov.uk","sharon.corder@100mod.gov.uk")</f>
        <v>sharon.corder@100mod.gov.uk</v>
      </c>
      <c r="J14" s="14" t="s">
        <v>116</v>
      </c>
      <c r="K14" s="7" t="s">
        <v>117</v>
      </c>
      <c r="L14" s="27" t="s">
        <v>118</v>
      </c>
      <c r="M14" s="13" t="s">
        <v>42</v>
      </c>
      <c r="N14" s="15" t="s">
        <v>43</v>
      </c>
      <c r="O14" s="16">
        <v>16000</v>
      </c>
      <c r="P14" s="15" t="s">
        <v>52</v>
      </c>
      <c r="Q14" s="17" t="s">
        <v>119</v>
      </c>
      <c r="R14" s="7" t="s">
        <v>37</v>
      </c>
      <c r="S14" s="7" t="s">
        <v>37</v>
      </c>
      <c r="T14" s="7" t="s">
        <v>43</v>
      </c>
      <c r="U14" s="7"/>
      <c r="V14" s="7"/>
      <c r="W14" s="7">
        <v>4</v>
      </c>
      <c r="X14" s="18">
        <v>100</v>
      </c>
      <c r="Y14" s="18">
        <v>0</v>
      </c>
      <c r="Z14" s="18">
        <v>100</v>
      </c>
      <c r="AA14" s="24">
        <v>100</v>
      </c>
      <c r="AB14" s="24">
        <v>0</v>
      </c>
      <c r="AC14" s="24">
        <v>0</v>
      </c>
      <c r="AD14" s="7" t="s">
        <v>120</v>
      </c>
      <c r="AE14" s="13" t="s">
        <v>56</v>
      </c>
      <c r="AG14" s="7"/>
      <c r="AH14" s="7"/>
      <c r="AI14" s="7"/>
      <c r="AJ14" s="7"/>
      <c r="AK14" s="7"/>
      <c r="AL14" s="7"/>
      <c r="AM14" s="7"/>
      <c r="AN14" s="7"/>
      <c r="AO14" s="7"/>
      <c r="AP14" s="7"/>
      <c r="AQ14" s="7"/>
      <c r="AR14" s="7"/>
      <c r="AS14" s="7"/>
      <c r="AT14" s="7"/>
      <c r="AU14" s="7"/>
      <c r="AV14" s="7"/>
      <c r="AW14" s="7"/>
      <c r="AX14" s="7"/>
      <c r="AY14" s="7"/>
      <c r="AZ14" s="7"/>
    </row>
    <row r="15" spans="1:52" ht="63" customHeight="1">
      <c r="A15" s="20" t="s">
        <v>121</v>
      </c>
      <c r="B15" s="7">
        <v>1</v>
      </c>
      <c r="C15" s="7" t="s">
        <v>122</v>
      </c>
      <c r="D15" s="7" t="s">
        <v>95</v>
      </c>
      <c r="E15" s="7" t="s">
        <v>37</v>
      </c>
      <c r="F15" s="7" t="s">
        <v>123</v>
      </c>
      <c r="G15" s="7">
        <v>1946</v>
      </c>
      <c r="H15" s="7"/>
      <c r="I15" s="28" t="str">
        <f>HYPERLINK("enquiries@artscouncil.org.uk ","enquiries@artscouncil.org.uk ")</f>
        <v xml:space="preserve">enquiries@artscouncil.org.uk </v>
      </c>
      <c r="J15" s="14" t="str">
        <f>HYPERLINK("https://www.artscouncil.org.uk/","www.artscouncil.org.uk")</f>
        <v>www.artscouncil.org.uk</v>
      </c>
      <c r="K15" s="27" t="s">
        <v>124</v>
      </c>
      <c r="L15" s="7" t="s">
        <v>125</v>
      </c>
      <c r="M15" s="7" t="s">
        <v>42</v>
      </c>
      <c r="N15" s="15" t="s">
        <v>43</v>
      </c>
      <c r="O15" s="16">
        <v>40000</v>
      </c>
      <c r="P15" s="15" t="s">
        <v>52</v>
      </c>
      <c r="Q15" s="13" t="s">
        <v>126</v>
      </c>
      <c r="R15" s="7" t="s">
        <v>37</v>
      </c>
      <c r="S15" s="7" t="s">
        <v>43</v>
      </c>
      <c r="T15" s="7" t="s">
        <v>43</v>
      </c>
      <c r="U15" s="7" t="s">
        <v>54</v>
      </c>
      <c r="V15" s="7">
        <v>2017</v>
      </c>
      <c r="W15" s="13">
        <v>541.20000000000005</v>
      </c>
      <c r="X15" s="18">
        <v>486914</v>
      </c>
      <c r="Y15" s="18">
        <v>243267</v>
      </c>
      <c r="Z15" s="18">
        <v>730181</v>
      </c>
      <c r="AA15" s="18">
        <v>453240</v>
      </c>
      <c r="AB15" s="18">
        <v>34398</v>
      </c>
      <c r="AC15" s="18">
        <v>146781</v>
      </c>
      <c r="AD15" s="7"/>
      <c r="AE15" s="7"/>
      <c r="AF15" s="7"/>
      <c r="AG15" s="7"/>
      <c r="AH15" s="7"/>
      <c r="AI15" s="7"/>
      <c r="AJ15" s="7"/>
      <c r="AK15" s="7"/>
      <c r="AL15" s="7"/>
      <c r="AM15" s="7"/>
      <c r="AN15" s="7"/>
      <c r="AO15" s="7"/>
      <c r="AP15" s="7"/>
      <c r="AQ15" s="7"/>
      <c r="AR15" s="7"/>
      <c r="AS15" s="7"/>
      <c r="AT15" s="7"/>
      <c r="AU15" s="7"/>
      <c r="AV15" s="7"/>
      <c r="AW15" s="7"/>
      <c r="AX15" s="7"/>
      <c r="AY15" s="7"/>
      <c r="AZ15" s="7"/>
    </row>
    <row r="16" spans="1:52" ht="63" customHeight="1">
      <c r="A16" s="12" t="s">
        <v>127</v>
      </c>
      <c r="B16" s="7">
        <v>1</v>
      </c>
      <c r="C16" s="7" t="s">
        <v>122</v>
      </c>
      <c r="D16" s="7" t="s">
        <v>95</v>
      </c>
      <c r="E16" s="7" t="s">
        <v>37</v>
      </c>
      <c r="F16" s="7" t="s">
        <v>128</v>
      </c>
      <c r="G16" s="7">
        <v>2004</v>
      </c>
      <c r="H16" s="7"/>
      <c r="I16" s="14" t="str">
        <f>HYPERLINK("mailto:general.enquiries@tnlcommunityfund.org.uk","general.enquiries@tnlcommunityfund.org.uk")</f>
        <v>general.enquiries@tnlcommunityfund.org.uk</v>
      </c>
      <c r="J16" s="14" t="str">
        <f>HYPERLINK("https://www.tnlcommunityfund.org.uk/","www.tnlcommunityfund.org.uk")</f>
        <v>www.tnlcommunityfund.org.uk</v>
      </c>
      <c r="K16" s="7" t="s">
        <v>129</v>
      </c>
      <c r="L16" s="7" t="s">
        <v>130</v>
      </c>
      <c r="M16" s="7" t="s">
        <v>42</v>
      </c>
      <c r="N16" s="15" t="s">
        <v>43</v>
      </c>
      <c r="O16" s="16">
        <v>40000</v>
      </c>
      <c r="P16" s="15" t="s">
        <v>52</v>
      </c>
      <c r="Q16" s="13" t="s">
        <v>131</v>
      </c>
      <c r="R16" s="7" t="s">
        <v>37</v>
      </c>
      <c r="S16" s="7" t="s">
        <v>43</v>
      </c>
      <c r="T16" s="7" t="s">
        <v>43</v>
      </c>
      <c r="U16" s="7" t="s">
        <v>54</v>
      </c>
      <c r="V16" s="7">
        <v>2014</v>
      </c>
      <c r="W16" s="7">
        <v>824</v>
      </c>
      <c r="X16" s="18">
        <v>722502</v>
      </c>
      <c r="Y16" s="18">
        <v>0</v>
      </c>
      <c r="Z16" s="18">
        <v>722502</v>
      </c>
      <c r="AA16" s="18">
        <v>0</v>
      </c>
      <c r="AB16" s="18">
        <v>0</v>
      </c>
      <c r="AC16" s="18">
        <v>618881</v>
      </c>
      <c r="AD16" s="7"/>
      <c r="AE16" s="7"/>
      <c r="AF16" s="7"/>
      <c r="AG16" s="7"/>
      <c r="AH16" s="7"/>
      <c r="AI16" s="7"/>
      <c r="AJ16" s="7"/>
      <c r="AK16" s="7"/>
      <c r="AL16" s="7"/>
      <c r="AM16" s="7"/>
      <c r="AN16" s="7"/>
      <c r="AO16" s="7"/>
      <c r="AP16" s="7"/>
      <c r="AQ16" s="7"/>
      <c r="AR16" s="7"/>
      <c r="AS16" s="7"/>
      <c r="AT16" s="7"/>
      <c r="AU16" s="7"/>
      <c r="AV16" s="7"/>
      <c r="AW16" s="7"/>
      <c r="AX16" s="7"/>
      <c r="AY16" s="7"/>
      <c r="AZ16" s="7"/>
    </row>
    <row r="17" spans="1:52" ht="63" customHeight="1">
      <c r="A17" s="20" t="s">
        <v>132</v>
      </c>
      <c r="B17" s="7">
        <v>1</v>
      </c>
      <c r="C17" s="7" t="s">
        <v>133</v>
      </c>
      <c r="D17" s="7" t="s">
        <v>36</v>
      </c>
      <c r="E17" s="7" t="s">
        <v>37</v>
      </c>
      <c r="F17" s="7" t="s">
        <v>134</v>
      </c>
      <c r="G17" s="7">
        <v>2007</v>
      </c>
      <c r="H17" s="7"/>
      <c r="I17" s="14" t="str">
        <f>HYPERLINK("mailto:BFEG@homeoffice.gov.uk","BFEG@homeoffice.gov.uk")</f>
        <v>BFEG@homeoffice.gov.uk</v>
      </c>
      <c r="J17" s="14" t="str">
        <f>HYPERLINK("https://www.gov.uk/government/organisations/biometrics-and-forensics-ethics-group","https://www.gov.uk/government/organisations/biometrics-and-forensics-ethics-group")</f>
        <v>https://www.gov.uk/government/organisations/biometrics-and-forensics-ethics-group</v>
      </c>
      <c r="K17" s="7" t="s">
        <v>135</v>
      </c>
      <c r="L17" s="7" t="s">
        <v>136</v>
      </c>
      <c r="M17" s="7" t="s">
        <v>42</v>
      </c>
      <c r="N17" s="15" t="s">
        <v>37</v>
      </c>
      <c r="O17" s="16"/>
      <c r="P17" s="15"/>
      <c r="Q17" s="17" t="s">
        <v>137</v>
      </c>
      <c r="R17" s="7" t="s">
        <v>37</v>
      </c>
      <c r="S17" s="7" t="s">
        <v>43</v>
      </c>
      <c r="T17" s="7" t="s">
        <v>43</v>
      </c>
      <c r="U17" s="7" t="s">
        <v>46</v>
      </c>
      <c r="V17" s="7">
        <v>2017</v>
      </c>
      <c r="W17" s="7">
        <v>2</v>
      </c>
      <c r="X17" s="18">
        <v>0</v>
      </c>
      <c r="Y17" s="18">
        <v>0</v>
      </c>
      <c r="Z17" s="18">
        <v>0</v>
      </c>
      <c r="AA17" s="18">
        <v>0</v>
      </c>
      <c r="AB17" s="18">
        <v>0</v>
      </c>
      <c r="AC17" s="18">
        <v>0</v>
      </c>
      <c r="AD17" s="29" t="s">
        <v>138</v>
      </c>
      <c r="AE17" s="13" t="s">
        <v>56</v>
      </c>
      <c r="AF17" s="7"/>
      <c r="AG17" s="7"/>
      <c r="AH17" s="7"/>
      <c r="AI17" s="7"/>
      <c r="AJ17" s="7"/>
      <c r="AK17" s="7"/>
      <c r="AL17" s="7"/>
      <c r="AM17" s="7"/>
      <c r="AN17" s="7"/>
      <c r="AO17" s="7"/>
      <c r="AP17" s="7"/>
      <c r="AQ17" s="7"/>
      <c r="AR17" s="7"/>
      <c r="AS17" s="7"/>
      <c r="AT17" s="7"/>
      <c r="AU17" s="7"/>
      <c r="AV17" s="7"/>
      <c r="AW17" s="7"/>
      <c r="AX17" s="7"/>
      <c r="AY17" s="7"/>
      <c r="AZ17" s="7"/>
    </row>
    <row r="18" spans="1:52" ht="63" customHeight="1">
      <c r="A18" s="20" t="s">
        <v>139</v>
      </c>
      <c r="B18" s="7">
        <v>1</v>
      </c>
      <c r="C18" s="7" t="s">
        <v>122</v>
      </c>
      <c r="D18" s="7" t="s">
        <v>95</v>
      </c>
      <c r="E18" s="7" t="s">
        <v>37</v>
      </c>
      <c r="F18" s="7" t="s">
        <v>140</v>
      </c>
      <c r="G18" s="7">
        <v>2017</v>
      </c>
      <c r="H18" s="7"/>
      <c r="I18" s="14" t="str">
        <f>HYPERLINK("mailto:generalenquiries@birmingham2022.com","generalenquiries@birmingham2022.com")</f>
        <v>generalenquiries@birmingham2022.com</v>
      </c>
      <c r="J18" s="14" t="s">
        <v>141</v>
      </c>
      <c r="K18" s="7" t="s">
        <v>142</v>
      </c>
      <c r="L18" s="7" t="s">
        <v>143</v>
      </c>
      <c r="M18" s="13" t="s">
        <v>42</v>
      </c>
      <c r="N18" s="15" t="s">
        <v>43</v>
      </c>
      <c r="O18" s="16">
        <v>20000</v>
      </c>
      <c r="P18" s="15" t="s">
        <v>52</v>
      </c>
      <c r="Q18" s="13" t="s">
        <v>144</v>
      </c>
      <c r="R18" s="7" t="s">
        <v>37</v>
      </c>
      <c r="S18" s="7" t="s">
        <v>43</v>
      </c>
      <c r="T18" s="7" t="s">
        <v>43</v>
      </c>
      <c r="U18" s="7" t="s">
        <v>46</v>
      </c>
      <c r="V18" s="7"/>
      <c r="W18" s="7">
        <v>18</v>
      </c>
      <c r="X18" s="18">
        <v>22351</v>
      </c>
      <c r="Y18" s="18">
        <v>2156</v>
      </c>
      <c r="Z18" s="18">
        <v>24507</v>
      </c>
      <c r="AA18" s="18">
        <v>24506</v>
      </c>
      <c r="AB18" s="18">
        <v>0</v>
      </c>
      <c r="AC18" s="18">
        <v>0</v>
      </c>
      <c r="AD18" s="7"/>
      <c r="AE18" s="7"/>
      <c r="AF18" s="7"/>
      <c r="AG18" s="7"/>
      <c r="AH18" s="7"/>
      <c r="AI18" s="7"/>
      <c r="AJ18" s="7"/>
      <c r="AK18" s="7"/>
      <c r="AL18" s="7"/>
      <c r="AM18" s="7"/>
      <c r="AN18" s="7"/>
      <c r="AO18" s="7"/>
      <c r="AP18" s="7"/>
      <c r="AQ18" s="7"/>
      <c r="AR18" s="7"/>
      <c r="AS18" s="7"/>
      <c r="AT18" s="7"/>
      <c r="AU18" s="7"/>
      <c r="AV18" s="7"/>
      <c r="AW18" s="7"/>
      <c r="AX18" s="7"/>
      <c r="AY18" s="7"/>
      <c r="AZ18" s="7"/>
    </row>
    <row r="19" spans="1:52" ht="63" customHeight="1">
      <c r="A19" s="20" t="s">
        <v>145</v>
      </c>
      <c r="B19" s="7">
        <v>1</v>
      </c>
      <c r="C19" s="7" t="s">
        <v>48</v>
      </c>
      <c r="D19" s="7" t="s">
        <v>36</v>
      </c>
      <c r="E19" s="7" t="s">
        <v>37</v>
      </c>
      <c r="F19" s="7" t="s">
        <v>146</v>
      </c>
      <c r="G19" s="7">
        <v>1955</v>
      </c>
      <c r="H19" s="7" t="s">
        <v>147</v>
      </c>
      <c r="I19" s="14" t="str">
        <f>HYPERLINK("mailto:information@boundarycommissionengland.gov.uk","information@boundarycommissionengland.gov.uk")</f>
        <v>information@boundarycommissionengland.gov.uk</v>
      </c>
      <c r="J19" s="14" t="str">
        <f>HYPERLINK("http://boundarycommissionforengland.independent.gov.uk/","http://boundarycommissionforengland.independent.gov.uk/")</f>
        <v>http://boundarycommissionforengland.independent.gov.uk/</v>
      </c>
      <c r="K19" s="7" t="s">
        <v>148</v>
      </c>
      <c r="L19" s="27" t="s">
        <v>149</v>
      </c>
      <c r="M19" s="13" t="s">
        <v>42</v>
      </c>
      <c r="N19" s="17" t="s">
        <v>37</v>
      </c>
      <c r="O19" s="16"/>
      <c r="P19" s="15"/>
      <c r="Q19" s="22"/>
      <c r="R19" s="7" t="s">
        <v>37</v>
      </c>
      <c r="S19" s="7" t="s">
        <v>43</v>
      </c>
      <c r="T19" s="7" t="s">
        <v>43</v>
      </c>
      <c r="U19" s="7" t="s">
        <v>54</v>
      </c>
      <c r="V19" s="7">
        <v>2015</v>
      </c>
      <c r="W19" s="7">
        <v>1.4</v>
      </c>
      <c r="X19" s="18">
        <v>580</v>
      </c>
      <c r="Y19" s="18">
        <v>0</v>
      </c>
      <c r="Z19" s="18">
        <v>580</v>
      </c>
      <c r="AA19" s="18">
        <v>543</v>
      </c>
      <c r="AB19" s="18">
        <v>0</v>
      </c>
      <c r="AC19" s="18">
        <v>0</v>
      </c>
      <c r="AD19" s="7"/>
      <c r="AE19" s="13" t="s">
        <v>56</v>
      </c>
      <c r="AF19" s="7"/>
      <c r="AG19" s="7"/>
      <c r="AH19" s="7"/>
      <c r="AI19" s="7"/>
      <c r="AJ19" s="7"/>
      <c r="AK19" s="7"/>
      <c r="AL19" s="7"/>
      <c r="AM19" s="7"/>
      <c r="AN19" s="7"/>
      <c r="AO19" s="7"/>
      <c r="AP19" s="7"/>
      <c r="AQ19" s="7"/>
      <c r="AR19" s="7"/>
      <c r="AS19" s="7"/>
      <c r="AT19" s="7"/>
      <c r="AU19" s="7"/>
      <c r="AV19" s="7"/>
      <c r="AW19" s="7"/>
      <c r="AX19" s="7"/>
      <c r="AY19" s="7"/>
      <c r="AZ19" s="7"/>
    </row>
    <row r="20" spans="1:52" ht="63" customHeight="1">
      <c r="A20" s="20" t="s">
        <v>150</v>
      </c>
      <c r="B20" s="7">
        <v>1</v>
      </c>
      <c r="C20" s="7" t="s">
        <v>151</v>
      </c>
      <c r="D20" s="7" t="s">
        <v>36</v>
      </c>
      <c r="E20" s="7" t="s">
        <v>37</v>
      </c>
      <c r="F20" s="7" t="s">
        <v>152</v>
      </c>
      <c r="G20" s="7">
        <v>1986</v>
      </c>
      <c r="H20" s="7" t="s">
        <v>153</v>
      </c>
      <c r="I20" s="14" t="s">
        <v>154</v>
      </c>
      <c r="J20" s="30" t="s">
        <v>155</v>
      </c>
      <c r="K20" s="7" t="s">
        <v>156</v>
      </c>
      <c r="L20" s="13" t="s">
        <v>157</v>
      </c>
      <c r="M20" s="13" t="s">
        <v>71</v>
      </c>
      <c r="N20" s="17" t="s">
        <v>37</v>
      </c>
      <c r="O20" s="16"/>
      <c r="P20" s="15"/>
      <c r="Q20" s="15" t="s">
        <v>158</v>
      </c>
      <c r="R20" s="7" t="s">
        <v>37</v>
      </c>
      <c r="S20" s="7" t="s">
        <v>37</v>
      </c>
      <c r="T20" s="7" t="s">
        <v>43</v>
      </c>
      <c r="U20" s="7" t="s">
        <v>54</v>
      </c>
      <c r="V20" s="7">
        <v>2016</v>
      </c>
      <c r="W20" s="7">
        <v>1</v>
      </c>
      <c r="X20" s="18">
        <v>196</v>
      </c>
      <c r="Y20" s="18">
        <v>0</v>
      </c>
      <c r="Z20" s="18">
        <v>196</v>
      </c>
      <c r="AA20" s="24">
        <v>196</v>
      </c>
      <c r="AB20" s="24">
        <v>0</v>
      </c>
      <c r="AC20" s="24">
        <v>0</v>
      </c>
      <c r="AD20" s="7"/>
      <c r="AE20" s="7"/>
      <c r="AF20" s="7"/>
      <c r="AG20" s="7"/>
      <c r="AH20" s="7"/>
      <c r="AI20" s="7"/>
      <c r="AJ20" s="7"/>
      <c r="AK20" s="7"/>
      <c r="AL20" s="7"/>
      <c r="AM20" s="7"/>
      <c r="AN20" s="7"/>
      <c r="AO20" s="7"/>
      <c r="AP20" s="7"/>
      <c r="AQ20" s="7"/>
      <c r="AR20" s="7"/>
      <c r="AS20" s="7"/>
      <c r="AT20" s="7"/>
      <c r="AU20" s="7"/>
      <c r="AV20" s="7"/>
      <c r="AW20" s="7"/>
      <c r="AX20" s="7"/>
      <c r="AY20" s="7"/>
      <c r="AZ20" s="7"/>
    </row>
    <row r="21" spans="1:52" ht="63" customHeight="1">
      <c r="A21" s="20" t="s">
        <v>159</v>
      </c>
      <c r="B21" s="7">
        <v>1</v>
      </c>
      <c r="C21" s="7" t="s">
        <v>160</v>
      </c>
      <c r="D21" s="7" t="s">
        <v>36</v>
      </c>
      <c r="E21" s="7" t="s">
        <v>63</v>
      </c>
      <c r="F21" s="7" t="s">
        <v>161</v>
      </c>
      <c r="G21" s="7">
        <v>1944</v>
      </c>
      <c r="H21" s="7" t="s">
        <v>162</v>
      </c>
      <c r="I21" s="14" t="str">
        <f>HYPERLINK("mailto:bcs@scottishboundaries.gov.uk","bcs@scottishboundaries.gov.uk")</f>
        <v>bcs@scottishboundaries.gov.uk</v>
      </c>
      <c r="J21" s="14" t="str">
        <f>HYPERLINK("http://www.bcomm-scotland.independent.gov.uk/","http://www.bcomm-scotland.independent.gov.uk/")</f>
        <v>http://www.bcomm-scotland.independent.gov.uk/</v>
      </c>
      <c r="K21" s="7" t="s">
        <v>163</v>
      </c>
      <c r="L21" s="13" t="s">
        <v>164</v>
      </c>
      <c r="M21" s="7" t="s">
        <v>71</v>
      </c>
      <c r="N21" s="17" t="s">
        <v>37</v>
      </c>
      <c r="O21" s="16"/>
      <c r="P21" s="23"/>
      <c r="Q21" s="23"/>
      <c r="R21" s="7" t="s">
        <v>56</v>
      </c>
      <c r="S21" s="7" t="s">
        <v>56</v>
      </c>
      <c r="T21" s="7" t="s">
        <v>56</v>
      </c>
      <c r="U21" s="7" t="s">
        <v>54</v>
      </c>
      <c r="V21" s="7">
        <v>2016</v>
      </c>
      <c r="W21" s="7">
        <v>6</v>
      </c>
      <c r="X21" s="18">
        <v>400</v>
      </c>
      <c r="Y21" s="18">
        <v>0</v>
      </c>
      <c r="Z21" s="18">
        <v>400</v>
      </c>
      <c r="AA21" s="19">
        <v>400</v>
      </c>
      <c r="AB21" s="24">
        <v>0</v>
      </c>
      <c r="AC21" s="24">
        <v>0</v>
      </c>
      <c r="AD21" s="7"/>
      <c r="AE21" s="7"/>
      <c r="AF21" s="7"/>
      <c r="AG21" s="7"/>
      <c r="AH21" s="7"/>
      <c r="AI21" s="7"/>
      <c r="AJ21" s="7"/>
      <c r="AK21" s="7"/>
      <c r="AL21" s="7"/>
      <c r="AM21" s="7"/>
      <c r="AN21" s="7"/>
      <c r="AO21" s="7"/>
      <c r="AP21" s="7"/>
      <c r="AQ21" s="7"/>
      <c r="AR21" s="7"/>
      <c r="AS21" s="7"/>
      <c r="AT21" s="7"/>
      <c r="AU21" s="7"/>
      <c r="AV21" s="7"/>
      <c r="AW21" s="7"/>
      <c r="AX21" s="7"/>
      <c r="AY21" s="7"/>
      <c r="AZ21" s="7"/>
    </row>
    <row r="22" spans="1:52" ht="63" customHeight="1">
      <c r="A22" s="20" t="s">
        <v>165</v>
      </c>
      <c r="B22" s="7">
        <v>1</v>
      </c>
      <c r="C22" s="7" t="s">
        <v>48</v>
      </c>
      <c r="D22" s="7" t="s">
        <v>36</v>
      </c>
      <c r="E22" s="7" t="s">
        <v>37</v>
      </c>
      <c r="F22" s="7" t="s">
        <v>166</v>
      </c>
      <c r="G22" s="7">
        <v>1944</v>
      </c>
      <c r="H22" s="7" t="s">
        <v>147</v>
      </c>
      <c r="I22" s="14" t="str">
        <f>HYPERLINK("bcomm.wales@gov.wales","bcomm.wales@gov.wales")</f>
        <v>bcomm.wales@gov.wales</v>
      </c>
      <c r="J22" s="14" t="str">
        <f>HYPERLINK("http://bcomm-wales.gov.uk","http://bcomm-wales.gov.uk")</f>
        <v>http://bcomm-wales.gov.uk</v>
      </c>
      <c r="K22" s="7" t="s">
        <v>148</v>
      </c>
      <c r="L22" s="27" t="s">
        <v>167</v>
      </c>
      <c r="M22" s="13" t="s">
        <v>42</v>
      </c>
      <c r="N22" s="17" t="s">
        <v>37</v>
      </c>
      <c r="O22" s="16"/>
      <c r="P22" s="15"/>
      <c r="Q22" s="22"/>
      <c r="R22" s="7" t="s">
        <v>37</v>
      </c>
      <c r="S22" s="7" t="s">
        <v>43</v>
      </c>
      <c r="T22" s="7" t="s">
        <v>43</v>
      </c>
      <c r="U22" s="7" t="s">
        <v>54</v>
      </c>
      <c r="V22" s="7">
        <v>2015</v>
      </c>
      <c r="W22" s="7">
        <v>3</v>
      </c>
      <c r="X22" s="18">
        <v>140</v>
      </c>
      <c r="Y22" s="18">
        <v>0</v>
      </c>
      <c r="Z22" s="18">
        <v>140</v>
      </c>
      <c r="AA22" s="24">
        <v>130</v>
      </c>
      <c r="AB22" s="24">
        <v>0</v>
      </c>
      <c r="AC22" s="24">
        <v>0</v>
      </c>
      <c r="AD22" s="29" t="s">
        <v>168</v>
      </c>
      <c r="AE22" s="13" t="s">
        <v>56</v>
      </c>
      <c r="AF22" s="7"/>
      <c r="AG22" s="7"/>
      <c r="AH22" s="7"/>
      <c r="AI22" s="7"/>
      <c r="AJ22" s="7"/>
      <c r="AK22" s="7"/>
      <c r="AL22" s="7"/>
      <c r="AM22" s="7"/>
      <c r="AN22" s="7"/>
      <c r="AO22" s="7"/>
      <c r="AP22" s="7"/>
      <c r="AQ22" s="7"/>
      <c r="AR22" s="7"/>
      <c r="AS22" s="7"/>
      <c r="AT22" s="7"/>
      <c r="AU22" s="7"/>
      <c r="AV22" s="7"/>
      <c r="AW22" s="7"/>
      <c r="AX22" s="7"/>
      <c r="AY22" s="7"/>
      <c r="AZ22" s="7"/>
    </row>
    <row r="23" spans="1:52" ht="63" customHeight="1">
      <c r="A23" s="20" t="s">
        <v>169</v>
      </c>
      <c r="B23" s="7">
        <v>1</v>
      </c>
      <c r="C23" s="7" t="s">
        <v>170</v>
      </c>
      <c r="D23" s="7" t="s">
        <v>95</v>
      </c>
      <c r="E23" s="7" t="s">
        <v>37</v>
      </c>
      <c r="F23" s="7" t="s">
        <v>171</v>
      </c>
      <c r="G23" s="7">
        <v>1934</v>
      </c>
      <c r="H23" s="7"/>
      <c r="I23" s="14" t="str">
        <f>HYPERLINK("mailto:general.enquiries@britishcouncil.org","general.enquiries@britishcouncil.org")</f>
        <v>general.enquiries@britishcouncil.org</v>
      </c>
      <c r="J23" s="14" t="str">
        <f>HYPERLINK("https://www.britishcouncil.org/","https://www.britishcouncil.org/")</f>
        <v>https://www.britishcouncil.org/</v>
      </c>
      <c r="K23" s="7" t="s">
        <v>172</v>
      </c>
      <c r="L23" s="13" t="s">
        <v>173</v>
      </c>
      <c r="M23" s="7" t="s">
        <v>71</v>
      </c>
      <c r="N23" s="15" t="s">
        <v>37</v>
      </c>
      <c r="O23" s="16"/>
      <c r="P23" s="15"/>
      <c r="Q23" s="17" t="s">
        <v>174</v>
      </c>
      <c r="R23" s="7" t="s">
        <v>37</v>
      </c>
      <c r="S23" s="7" t="s">
        <v>43</v>
      </c>
      <c r="T23" s="7" t="s">
        <v>43</v>
      </c>
      <c r="U23" s="7" t="s">
        <v>54</v>
      </c>
      <c r="V23" s="7">
        <v>2019</v>
      </c>
      <c r="W23" s="26">
        <v>10963</v>
      </c>
      <c r="X23" s="18">
        <v>183800</v>
      </c>
      <c r="Y23" s="18">
        <v>1065732</v>
      </c>
      <c r="Z23" s="18">
        <v>1249532</v>
      </c>
      <c r="AA23" s="18">
        <v>1050400</v>
      </c>
      <c r="AB23" s="18">
        <v>10000</v>
      </c>
      <c r="AC23" s="18">
        <v>0</v>
      </c>
      <c r="AD23" s="7"/>
      <c r="AE23" s="7"/>
      <c r="AF23" s="7"/>
      <c r="AG23" s="7"/>
      <c r="AH23" s="7"/>
      <c r="AI23" s="7"/>
      <c r="AJ23" s="7"/>
      <c r="AK23" s="7"/>
      <c r="AL23" s="7"/>
      <c r="AM23" s="7"/>
      <c r="AN23" s="7"/>
      <c r="AO23" s="7"/>
      <c r="AP23" s="7"/>
      <c r="AQ23" s="7"/>
      <c r="AR23" s="7"/>
      <c r="AS23" s="7"/>
      <c r="AT23" s="7"/>
      <c r="AU23" s="7"/>
      <c r="AV23" s="7"/>
      <c r="AW23" s="7"/>
      <c r="AX23" s="7"/>
      <c r="AY23" s="7"/>
      <c r="AZ23" s="7"/>
    </row>
    <row r="24" spans="1:52" ht="63" customHeight="1">
      <c r="A24" s="20" t="s">
        <v>175</v>
      </c>
      <c r="B24" s="7">
        <v>1</v>
      </c>
      <c r="C24" s="7" t="s">
        <v>122</v>
      </c>
      <c r="D24" s="7" t="s">
        <v>95</v>
      </c>
      <c r="E24" s="7" t="s">
        <v>37</v>
      </c>
      <c r="F24" s="7" t="s">
        <v>176</v>
      </c>
      <c r="G24" s="7">
        <v>2011</v>
      </c>
      <c r="H24" s="7"/>
      <c r="I24" s="14" t="str">
        <f>HYPERLINK("https://www.bfi.org.uk/","Contact form on website")</f>
        <v>Contact form on website</v>
      </c>
      <c r="J24" s="14" t="s">
        <v>177</v>
      </c>
      <c r="K24" s="13" t="s">
        <v>178</v>
      </c>
      <c r="L24" s="7" t="s">
        <v>179</v>
      </c>
      <c r="M24" s="13" t="s">
        <v>42</v>
      </c>
      <c r="N24" s="15" t="s">
        <v>37</v>
      </c>
      <c r="O24" s="16"/>
      <c r="P24" s="15"/>
      <c r="Q24" s="13" t="s">
        <v>180</v>
      </c>
      <c r="R24" s="7" t="s">
        <v>37</v>
      </c>
      <c r="S24" s="7" t="s">
        <v>43</v>
      </c>
      <c r="T24" s="7" t="s">
        <v>43</v>
      </c>
      <c r="U24" s="7" t="s">
        <v>54</v>
      </c>
      <c r="V24" s="7"/>
      <c r="W24" s="7">
        <v>497.5</v>
      </c>
      <c r="X24" s="18">
        <v>21718</v>
      </c>
      <c r="Y24" s="18">
        <v>73452</v>
      </c>
      <c r="Z24" s="18">
        <v>95170</v>
      </c>
      <c r="AA24" s="18">
        <v>19125</v>
      </c>
      <c r="AB24" s="18">
        <v>4730</v>
      </c>
      <c r="AC24" s="18">
        <v>77827</v>
      </c>
      <c r="AD24" s="7"/>
      <c r="AE24" s="7"/>
      <c r="AF24" s="7"/>
      <c r="AG24" s="7"/>
      <c r="AH24" s="7"/>
      <c r="AI24" s="7"/>
      <c r="AJ24" s="7"/>
      <c r="AK24" s="7"/>
      <c r="AL24" s="7"/>
      <c r="AM24" s="7"/>
      <c r="AN24" s="7"/>
      <c r="AO24" s="7"/>
      <c r="AP24" s="7"/>
      <c r="AQ24" s="7"/>
      <c r="AR24" s="7"/>
      <c r="AS24" s="7"/>
      <c r="AT24" s="7"/>
      <c r="AU24" s="7"/>
      <c r="AV24" s="7"/>
      <c r="AW24" s="7"/>
      <c r="AX24" s="7"/>
      <c r="AY24" s="7"/>
      <c r="AZ24" s="7"/>
    </row>
    <row r="25" spans="1:52" ht="63" customHeight="1">
      <c r="A25" s="20" t="s">
        <v>181</v>
      </c>
      <c r="B25" s="7">
        <v>1</v>
      </c>
      <c r="C25" s="7" t="s">
        <v>94</v>
      </c>
      <c r="D25" s="7" t="s">
        <v>95</v>
      </c>
      <c r="E25" s="7" t="s">
        <v>56</v>
      </c>
      <c r="F25" s="7" t="s">
        <v>182</v>
      </c>
      <c r="G25" s="7">
        <v>1973</v>
      </c>
      <c r="H25" s="7"/>
      <c r="I25" s="14" t="str">
        <f>HYPERLINK("mailto:britishhallmarkingcouncilsec@gmail.com","britishhallmarkingcouncilsec@gmail.com")</f>
        <v>britishhallmarkingcouncilsec@gmail.com</v>
      </c>
      <c r="J25" s="14" t="str">
        <f>HYPERLINK("https://www.gov.uk/government/organisations/british-hallmarking-council","https://www.gov.uk/government/organisations/british-hallmarking-council")</f>
        <v>https://www.gov.uk/government/organisations/british-hallmarking-council</v>
      </c>
      <c r="K25" s="7" t="s">
        <v>97</v>
      </c>
      <c r="L25" s="7" t="s">
        <v>183</v>
      </c>
      <c r="M25" s="7" t="s">
        <v>71</v>
      </c>
      <c r="N25" s="15" t="s">
        <v>56</v>
      </c>
      <c r="O25" s="16">
        <v>18000</v>
      </c>
      <c r="P25" s="15" t="s">
        <v>52</v>
      </c>
      <c r="Q25" s="15" t="s">
        <v>184</v>
      </c>
      <c r="R25" s="7" t="s">
        <v>63</v>
      </c>
      <c r="S25" s="7" t="s">
        <v>56</v>
      </c>
      <c r="T25" s="7" t="s">
        <v>56</v>
      </c>
      <c r="U25" s="7" t="s">
        <v>54</v>
      </c>
      <c r="V25" s="7">
        <v>2015</v>
      </c>
      <c r="W25" s="7">
        <v>0</v>
      </c>
      <c r="X25" s="18">
        <v>0</v>
      </c>
      <c r="Y25" s="18">
        <v>0</v>
      </c>
      <c r="Z25" s="18">
        <v>0</v>
      </c>
      <c r="AA25" s="24">
        <v>1083</v>
      </c>
      <c r="AB25" s="24">
        <v>0</v>
      </c>
      <c r="AC25" s="24">
        <v>0</v>
      </c>
      <c r="AD25" s="7" t="s">
        <v>185</v>
      </c>
      <c r="AE25" s="7"/>
      <c r="AF25" s="7"/>
      <c r="AG25" s="7"/>
      <c r="AH25" s="7"/>
      <c r="AI25" s="7"/>
      <c r="AJ25" s="7"/>
      <c r="AK25" s="7"/>
      <c r="AL25" s="7"/>
      <c r="AM25" s="7"/>
      <c r="AN25" s="7"/>
      <c r="AO25" s="7"/>
      <c r="AP25" s="7"/>
      <c r="AQ25" s="7"/>
      <c r="AR25" s="7"/>
      <c r="AS25" s="7"/>
      <c r="AT25" s="7"/>
      <c r="AU25" s="7"/>
      <c r="AV25" s="7"/>
      <c r="AW25" s="7"/>
      <c r="AX25" s="7"/>
      <c r="AY25" s="7"/>
      <c r="AZ25" s="7"/>
    </row>
    <row r="26" spans="1:52" ht="63" customHeight="1">
      <c r="A26" s="20" t="s">
        <v>186</v>
      </c>
      <c r="B26" s="7">
        <v>1</v>
      </c>
      <c r="C26" s="7" t="s">
        <v>122</v>
      </c>
      <c r="D26" s="7" t="s">
        <v>95</v>
      </c>
      <c r="E26" s="7" t="s">
        <v>37</v>
      </c>
      <c r="F26" s="7" t="s">
        <v>187</v>
      </c>
      <c r="G26" s="7">
        <v>1753</v>
      </c>
      <c r="H26" s="7" t="s">
        <v>188</v>
      </c>
      <c r="I26" s="14" t="s">
        <v>189</v>
      </c>
      <c r="J26" s="14" t="s">
        <v>190</v>
      </c>
      <c r="K26" s="7" t="s">
        <v>191</v>
      </c>
      <c r="L26" s="7" t="s">
        <v>192</v>
      </c>
      <c r="M26" s="13" t="s">
        <v>42</v>
      </c>
      <c r="N26" s="15" t="s">
        <v>43</v>
      </c>
      <c r="O26" s="16">
        <v>35180</v>
      </c>
      <c r="P26" s="15" t="s">
        <v>52</v>
      </c>
      <c r="Q26" s="13" t="s">
        <v>193</v>
      </c>
      <c r="R26" s="7" t="s">
        <v>56</v>
      </c>
      <c r="S26" s="7" t="s">
        <v>56</v>
      </c>
      <c r="T26" s="7" t="s">
        <v>56</v>
      </c>
      <c r="U26" s="7" t="s">
        <v>54</v>
      </c>
      <c r="V26" s="7">
        <v>2017</v>
      </c>
      <c r="W26" s="31">
        <v>1494.5</v>
      </c>
      <c r="X26" s="18">
        <v>93443</v>
      </c>
      <c r="Y26" s="18">
        <v>28760</v>
      </c>
      <c r="Z26" s="18">
        <v>122203</v>
      </c>
      <c r="AA26" s="18">
        <v>106636</v>
      </c>
      <c r="AB26" s="18">
        <v>4900</v>
      </c>
      <c r="AC26" s="18">
        <v>37362</v>
      </c>
      <c r="AD26" s="7"/>
      <c r="AE26" s="7"/>
      <c r="AF26" s="7"/>
      <c r="AG26" s="7"/>
      <c r="AH26" s="7"/>
      <c r="AI26" s="7"/>
      <c r="AJ26" s="7"/>
      <c r="AK26" s="7"/>
      <c r="AL26" s="7"/>
      <c r="AM26" s="7"/>
      <c r="AN26" s="7"/>
      <c r="AO26" s="7"/>
      <c r="AP26" s="7"/>
      <c r="AQ26" s="7"/>
      <c r="AR26" s="7"/>
      <c r="AS26" s="7"/>
      <c r="AT26" s="7"/>
      <c r="AU26" s="7"/>
      <c r="AV26" s="7"/>
      <c r="AW26" s="7"/>
      <c r="AX26" s="7"/>
      <c r="AY26" s="7"/>
      <c r="AZ26" s="7"/>
    </row>
    <row r="27" spans="1:52" ht="63" customHeight="1">
      <c r="A27" s="20" t="s">
        <v>194</v>
      </c>
      <c r="B27" s="7">
        <v>1</v>
      </c>
      <c r="C27" s="7" t="s">
        <v>122</v>
      </c>
      <c r="D27" s="7" t="s">
        <v>95</v>
      </c>
      <c r="E27" s="7" t="s">
        <v>37</v>
      </c>
      <c r="F27" s="7" t="s">
        <v>195</v>
      </c>
      <c r="G27" s="7">
        <v>1753</v>
      </c>
      <c r="H27" s="7"/>
      <c r="I27" s="14" t="str">
        <f>HYPERLINK("mailto:INFORMATION@britishmuseum.org","INFORMATION@britishmuseum.org")</f>
        <v>INFORMATION@britishmuseum.org</v>
      </c>
      <c r="J27" s="14" t="s">
        <v>196</v>
      </c>
      <c r="K27" s="7" t="s">
        <v>197</v>
      </c>
      <c r="L27" s="7" t="s">
        <v>198</v>
      </c>
      <c r="M27" s="7" t="s">
        <v>71</v>
      </c>
      <c r="N27" s="15" t="s">
        <v>37</v>
      </c>
      <c r="O27" s="16"/>
      <c r="P27" s="15"/>
      <c r="Q27" s="13" t="s">
        <v>199</v>
      </c>
      <c r="R27" s="7" t="s">
        <v>43</v>
      </c>
      <c r="S27" s="7" t="s">
        <v>43</v>
      </c>
      <c r="T27" s="7" t="s">
        <v>43</v>
      </c>
      <c r="U27" s="7" t="s">
        <v>54</v>
      </c>
      <c r="V27" s="7">
        <v>2017</v>
      </c>
      <c r="W27" s="13">
        <v>746.78</v>
      </c>
      <c r="X27" s="18">
        <v>52543</v>
      </c>
      <c r="Y27" s="18">
        <v>53125</v>
      </c>
      <c r="Z27" s="18">
        <v>105668</v>
      </c>
      <c r="AA27" s="18">
        <v>56962</v>
      </c>
      <c r="AB27" s="18">
        <v>17973</v>
      </c>
      <c r="AC27" s="18">
        <v>-647</v>
      </c>
      <c r="AD27" s="7"/>
      <c r="AE27" s="7"/>
      <c r="AF27" s="7"/>
      <c r="AG27" s="7"/>
      <c r="AH27" s="7"/>
      <c r="AI27" s="7"/>
      <c r="AJ27" s="7"/>
      <c r="AK27" s="7"/>
      <c r="AL27" s="7"/>
      <c r="AM27" s="7"/>
      <c r="AN27" s="7"/>
      <c r="AO27" s="7"/>
      <c r="AP27" s="7"/>
      <c r="AQ27" s="7"/>
      <c r="AR27" s="7"/>
      <c r="AS27" s="7"/>
      <c r="AT27" s="7"/>
      <c r="AU27" s="7"/>
      <c r="AV27" s="7"/>
      <c r="AW27" s="7"/>
      <c r="AX27" s="7"/>
      <c r="AY27" s="7"/>
      <c r="AZ27" s="7"/>
    </row>
    <row r="28" spans="1:52" ht="63" customHeight="1">
      <c r="A28" s="20" t="s">
        <v>200</v>
      </c>
      <c r="B28" s="7">
        <v>1</v>
      </c>
      <c r="C28" s="7" t="s">
        <v>58</v>
      </c>
      <c r="D28" s="7" t="s">
        <v>36</v>
      </c>
      <c r="E28" s="7" t="s">
        <v>37</v>
      </c>
      <c r="F28" s="7" t="s">
        <v>201</v>
      </c>
      <c r="G28" s="7">
        <v>1970</v>
      </c>
      <c r="H28" s="7"/>
      <c r="I28" s="14" t="str">
        <f>HYPERLINK("mailto:bpcom@mhra.gov.uk","bpcom@mhra.gov.uk")</f>
        <v>bpcom@mhra.gov.uk</v>
      </c>
      <c r="J28" s="14" t="str">
        <f>HYPERLINK("https://www.pharmacopoeia.com/","www.pharmacopoeia.com")</f>
        <v>www.pharmacopoeia.com</v>
      </c>
      <c r="K28" s="7" t="s">
        <v>202</v>
      </c>
      <c r="L28" s="7" t="s">
        <v>203</v>
      </c>
      <c r="M28" s="7" t="s">
        <v>42</v>
      </c>
      <c r="N28" s="15" t="s">
        <v>43</v>
      </c>
      <c r="O28" s="16">
        <v>500</v>
      </c>
      <c r="P28" s="15" t="s">
        <v>44</v>
      </c>
      <c r="Q28" s="17" t="s">
        <v>204</v>
      </c>
      <c r="R28" s="7" t="s">
        <v>37</v>
      </c>
      <c r="S28" s="7" t="s">
        <v>43</v>
      </c>
      <c r="T28" s="7" t="s">
        <v>43</v>
      </c>
      <c r="U28" s="7" t="s">
        <v>54</v>
      </c>
      <c r="V28" s="7">
        <v>2015</v>
      </c>
      <c r="W28" s="32">
        <v>0</v>
      </c>
      <c r="X28" s="18">
        <v>0</v>
      </c>
      <c r="Y28" s="18">
        <v>0</v>
      </c>
      <c r="Z28" s="18">
        <v>0</v>
      </c>
      <c r="AA28" s="18">
        <v>66</v>
      </c>
      <c r="AB28" s="18">
        <v>0</v>
      </c>
      <c r="AC28" s="18">
        <v>0</v>
      </c>
      <c r="AD28" s="7"/>
      <c r="AE28" s="13" t="s">
        <v>56</v>
      </c>
      <c r="AF28" s="7"/>
      <c r="AG28" s="7"/>
      <c r="AH28" s="7"/>
      <c r="AI28" s="7"/>
      <c r="AJ28" s="7"/>
      <c r="AK28" s="7"/>
      <c r="AL28" s="7"/>
      <c r="AM28" s="7"/>
      <c r="AN28" s="7"/>
      <c r="AO28" s="7"/>
      <c r="AP28" s="7"/>
      <c r="AQ28" s="7"/>
      <c r="AR28" s="7"/>
      <c r="AS28" s="7"/>
      <c r="AT28" s="7"/>
      <c r="AU28" s="7"/>
      <c r="AV28" s="7"/>
      <c r="AW28" s="7"/>
      <c r="AX28" s="7"/>
      <c r="AY28" s="7"/>
      <c r="AZ28" s="7"/>
    </row>
    <row r="29" spans="1:52" ht="63" customHeight="1">
      <c r="A29" s="20" t="s">
        <v>205</v>
      </c>
      <c r="B29" s="7">
        <v>1</v>
      </c>
      <c r="C29" s="7" t="s">
        <v>206</v>
      </c>
      <c r="D29" s="7" t="s">
        <v>95</v>
      </c>
      <c r="E29" s="7" t="s">
        <v>37</v>
      </c>
      <c r="F29" s="7" t="s">
        <v>207</v>
      </c>
      <c r="G29" s="7">
        <v>2004</v>
      </c>
      <c r="H29" s="7"/>
      <c r="I29" s="14" t="str">
        <f>HYPERLINK("mailto:general.enquiries@btpa.police.uk","general.enquiries@btpa.police.uk")</f>
        <v>general.enquiries@btpa.police.uk</v>
      </c>
      <c r="J29" s="14" t="str">
        <f>HYPERLINK("http://btpa.police.uk/","http://btpa.police.uk/")</f>
        <v>http://btpa.police.uk/</v>
      </c>
      <c r="K29" s="7" t="s">
        <v>208</v>
      </c>
      <c r="L29" s="7" t="s">
        <v>209</v>
      </c>
      <c r="M29" s="13" t="s">
        <v>42</v>
      </c>
      <c r="N29" s="15" t="s">
        <v>43</v>
      </c>
      <c r="O29" s="16">
        <v>32000</v>
      </c>
      <c r="P29" s="15" t="s">
        <v>52</v>
      </c>
      <c r="Q29" s="15" t="s">
        <v>210</v>
      </c>
      <c r="R29" s="7" t="s">
        <v>43</v>
      </c>
      <c r="S29" s="7" t="s">
        <v>43</v>
      </c>
      <c r="T29" s="7" t="s">
        <v>43</v>
      </c>
      <c r="U29" s="7" t="s">
        <v>54</v>
      </c>
      <c r="V29" s="7">
        <v>2014</v>
      </c>
      <c r="W29" s="33">
        <v>5072</v>
      </c>
      <c r="X29" s="18">
        <v>0</v>
      </c>
      <c r="Y29" s="18">
        <v>303306</v>
      </c>
      <c r="Z29" s="18">
        <v>303306</v>
      </c>
      <c r="AA29" s="18">
        <v>287437</v>
      </c>
      <c r="AB29" s="18">
        <v>9573</v>
      </c>
      <c r="AC29" s="18">
        <v>14253</v>
      </c>
      <c r="AD29" s="7"/>
      <c r="AE29" s="7"/>
      <c r="AF29" s="7"/>
      <c r="AG29" s="7"/>
      <c r="AH29" s="7"/>
      <c r="AI29" s="7"/>
      <c r="AJ29" s="7"/>
      <c r="AK29" s="7"/>
      <c r="AL29" s="7"/>
      <c r="AM29" s="7"/>
      <c r="AN29" s="7"/>
      <c r="AO29" s="7"/>
      <c r="AP29" s="7"/>
      <c r="AQ29" s="7"/>
      <c r="AR29" s="7"/>
      <c r="AS29" s="7"/>
      <c r="AT29" s="7"/>
      <c r="AU29" s="7"/>
      <c r="AV29" s="7"/>
      <c r="AW29" s="7"/>
      <c r="AX29" s="7"/>
      <c r="AY29" s="7"/>
      <c r="AZ29" s="7"/>
    </row>
    <row r="30" spans="1:52" ht="63" customHeight="1">
      <c r="A30" s="20" t="s">
        <v>211</v>
      </c>
      <c r="B30" s="7">
        <v>1</v>
      </c>
      <c r="C30" s="7" t="s">
        <v>212</v>
      </c>
      <c r="D30" s="7" t="s">
        <v>36</v>
      </c>
      <c r="E30" s="7" t="s">
        <v>37</v>
      </c>
      <c r="F30" s="13" t="s">
        <v>213</v>
      </c>
      <c r="G30" s="7">
        <v>1962</v>
      </c>
      <c r="H30" s="7"/>
      <c r="I30" s="14" t="str">
        <f>HYPERLINK("mailto:BRACSecretariat@communities.gov.uk","BRACSecretariat@communities.gov.uk")</f>
        <v>BRACSecretariat@communities.gov.uk</v>
      </c>
      <c r="J30" s="14" t="str">
        <f>HYPERLINK("https://www.gov.uk/government/organisations/building-regulations-advisory-committee","https://www.gov.uk/government/organisations/building-regulations-advisory-committee")</f>
        <v>https://www.gov.uk/government/organisations/building-regulations-advisory-committee</v>
      </c>
      <c r="K30" s="7" t="s">
        <v>214</v>
      </c>
      <c r="L30" s="13" t="s">
        <v>215</v>
      </c>
      <c r="M30" s="13" t="s">
        <v>42</v>
      </c>
      <c r="N30" s="15" t="s">
        <v>37</v>
      </c>
      <c r="O30" s="16"/>
      <c r="P30" s="15"/>
      <c r="Q30" s="17" t="s">
        <v>216</v>
      </c>
      <c r="R30" s="7" t="s">
        <v>37</v>
      </c>
      <c r="S30" s="7" t="s">
        <v>37</v>
      </c>
      <c r="T30" s="7" t="s">
        <v>43</v>
      </c>
      <c r="U30" s="7"/>
      <c r="V30" s="7"/>
      <c r="W30" s="32">
        <v>0</v>
      </c>
      <c r="X30" s="18">
        <v>3</v>
      </c>
      <c r="Y30" s="18">
        <v>0</v>
      </c>
      <c r="Z30" s="18">
        <v>3</v>
      </c>
      <c r="AA30" s="18">
        <v>0</v>
      </c>
      <c r="AB30" s="18">
        <v>0</v>
      </c>
      <c r="AC30" s="18">
        <v>0</v>
      </c>
      <c r="AD30" s="7"/>
      <c r="AE30" s="13" t="s">
        <v>56</v>
      </c>
      <c r="AF30" s="7"/>
      <c r="AG30" s="7"/>
      <c r="AH30" s="7"/>
      <c r="AI30" s="7"/>
      <c r="AJ30" s="7"/>
      <c r="AK30" s="7"/>
      <c r="AL30" s="7"/>
      <c r="AM30" s="7"/>
      <c r="AN30" s="7"/>
      <c r="AO30" s="7"/>
      <c r="AP30" s="7"/>
      <c r="AQ30" s="7"/>
      <c r="AR30" s="7"/>
      <c r="AS30" s="7"/>
      <c r="AT30" s="7"/>
      <c r="AU30" s="7"/>
      <c r="AV30" s="7"/>
      <c r="AW30" s="7"/>
      <c r="AX30" s="7"/>
      <c r="AY30" s="7"/>
      <c r="AZ30" s="7"/>
    </row>
    <row r="31" spans="1:52" ht="63" customHeight="1">
      <c r="A31" s="20" t="s">
        <v>217</v>
      </c>
      <c r="B31" s="7">
        <v>1</v>
      </c>
      <c r="C31" s="7" t="s">
        <v>58</v>
      </c>
      <c r="D31" s="7" t="s">
        <v>95</v>
      </c>
      <c r="E31" s="7" t="s">
        <v>43</v>
      </c>
      <c r="F31" s="7" t="s">
        <v>218</v>
      </c>
      <c r="G31" s="7">
        <v>2009</v>
      </c>
      <c r="H31" s="7"/>
      <c r="I31" s="14" t="str">
        <f>HYPERLINK("mailto:enquiries@cqc.org.uk","enquiries@cqc.org.uk")</f>
        <v>enquiries@cqc.org.uk</v>
      </c>
      <c r="J31" s="14" t="str">
        <f>HYPERLINK("http://www.cqc.org.uk/","http://www.cqc.org.uk/")</f>
        <v>http://www.cqc.org.uk/</v>
      </c>
      <c r="K31" s="7" t="s">
        <v>219</v>
      </c>
      <c r="L31" s="7" t="s">
        <v>220</v>
      </c>
      <c r="M31" s="7" t="s">
        <v>42</v>
      </c>
      <c r="N31" s="15" t="s">
        <v>43</v>
      </c>
      <c r="O31" s="16">
        <v>63000</v>
      </c>
      <c r="P31" s="15" t="s">
        <v>52</v>
      </c>
      <c r="Q31" s="17" t="s">
        <v>221</v>
      </c>
      <c r="R31" s="7" t="s">
        <v>43</v>
      </c>
      <c r="S31" s="7" t="s">
        <v>43</v>
      </c>
      <c r="T31" s="7" t="s">
        <v>43</v>
      </c>
      <c r="U31" s="7" t="s">
        <v>54</v>
      </c>
      <c r="V31" s="7">
        <v>2010</v>
      </c>
      <c r="W31" s="26">
        <v>3210</v>
      </c>
      <c r="X31" s="18">
        <v>39450</v>
      </c>
      <c r="Y31" s="18">
        <v>205805</v>
      </c>
      <c r="Z31" s="18">
        <v>245255</v>
      </c>
      <c r="AA31" s="18">
        <v>227774</v>
      </c>
      <c r="AB31" s="18">
        <v>10307</v>
      </c>
      <c r="AC31" s="18">
        <v>4097</v>
      </c>
      <c r="AD31" s="7"/>
      <c r="AE31" s="13" t="s">
        <v>56</v>
      </c>
      <c r="AF31" s="7"/>
      <c r="AG31" s="7"/>
      <c r="AH31" s="7"/>
      <c r="AI31" s="7"/>
      <c r="AJ31" s="7"/>
      <c r="AK31" s="7"/>
      <c r="AL31" s="7"/>
      <c r="AM31" s="7"/>
      <c r="AN31" s="7"/>
      <c r="AO31" s="7"/>
      <c r="AP31" s="7"/>
      <c r="AQ31" s="7"/>
      <c r="AR31" s="7"/>
      <c r="AS31" s="7"/>
      <c r="AT31" s="7"/>
      <c r="AU31" s="7"/>
      <c r="AV31" s="7"/>
      <c r="AW31" s="7"/>
      <c r="AX31" s="7"/>
      <c r="AY31" s="7"/>
      <c r="AZ31" s="7"/>
    </row>
    <row r="32" spans="1:52" ht="63" customHeight="1">
      <c r="A32" s="20" t="s">
        <v>222</v>
      </c>
      <c r="B32" s="7">
        <v>1</v>
      </c>
      <c r="C32" s="7" t="s">
        <v>94</v>
      </c>
      <c r="D32" s="7" t="s">
        <v>95</v>
      </c>
      <c r="E32" s="7" t="s">
        <v>63</v>
      </c>
      <c r="F32" s="7" t="s">
        <v>223</v>
      </c>
      <c r="G32" s="7">
        <v>2000</v>
      </c>
      <c r="H32" s="7"/>
      <c r="I32" s="14" t="str">
        <f>HYPERLINK("mailto:enquiries@cac.gov.uk","enquiries@cac.gov.uk")</f>
        <v>enquiries@cac.gov.uk</v>
      </c>
      <c r="J32" s="14" t="str">
        <f>HYPERLINK("https://www.gov.uk/government/organisations/central-arbitration-committee","https://www.gov.uk/government/organisations/central-arbitration-committee")</f>
        <v>https://www.gov.uk/government/organisations/central-arbitration-committee</v>
      </c>
      <c r="K32" s="7" t="s">
        <v>97</v>
      </c>
      <c r="L32" s="7" t="s">
        <v>224</v>
      </c>
      <c r="M32" s="7" t="s">
        <v>42</v>
      </c>
      <c r="N32" s="15" t="s">
        <v>56</v>
      </c>
      <c r="O32" s="16">
        <v>25357</v>
      </c>
      <c r="P32" s="15" t="s">
        <v>52</v>
      </c>
      <c r="Q32" s="17" t="s">
        <v>225</v>
      </c>
      <c r="R32" s="7" t="s">
        <v>226</v>
      </c>
      <c r="S32" s="7" t="s">
        <v>227</v>
      </c>
      <c r="T32" s="7" t="s">
        <v>43</v>
      </c>
      <c r="U32" s="7" t="s">
        <v>54</v>
      </c>
      <c r="V32" s="7">
        <v>2018</v>
      </c>
      <c r="W32" s="7">
        <v>8</v>
      </c>
      <c r="X32" s="18">
        <v>2198</v>
      </c>
      <c r="Y32" s="18">
        <v>0</v>
      </c>
      <c r="Z32" s="18">
        <v>2198</v>
      </c>
      <c r="AA32" s="18">
        <v>1242</v>
      </c>
      <c r="AB32" s="18">
        <v>0</v>
      </c>
      <c r="AC32" s="18">
        <v>0</v>
      </c>
      <c r="AD32" s="7" t="s">
        <v>185</v>
      </c>
      <c r="AE32" s="7"/>
      <c r="AF32" s="7"/>
      <c r="AG32" s="7"/>
      <c r="AH32" s="7"/>
      <c r="AI32" s="7"/>
      <c r="AJ32" s="7"/>
      <c r="AK32" s="7"/>
      <c r="AL32" s="7"/>
      <c r="AM32" s="7"/>
      <c r="AN32" s="7"/>
      <c r="AO32" s="7"/>
      <c r="AP32" s="7"/>
      <c r="AQ32" s="7"/>
      <c r="AR32" s="7"/>
      <c r="AS32" s="7"/>
      <c r="AT32" s="7"/>
      <c r="AU32" s="7"/>
      <c r="AV32" s="7"/>
      <c r="AW32" s="7"/>
      <c r="AX32" s="7"/>
      <c r="AY32" s="7"/>
      <c r="AZ32" s="7"/>
    </row>
    <row r="33" spans="1:52" ht="63" customHeight="1">
      <c r="A33" s="20" t="s">
        <v>228</v>
      </c>
      <c r="B33" s="7">
        <v>1</v>
      </c>
      <c r="C33" s="7" t="s">
        <v>79</v>
      </c>
      <c r="D33" s="7" t="s">
        <v>108</v>
      </c>
      <c r="E33" s="7" t="s">
        <v>37</v>
      </c>
      <c r="F33" s="7" t="s">
        <v>229</v>
      </c>
      <c r="G33" s="7">
        <v>1997</v>
      </c>
      <c r="H33" s="7"/>
      <c r="I33" s="14" t="str">
        <f>HYPERLINK("mailto:CMBOffice@cefas.co.uk","CMBOffice@cefas.co.uk")</f>
        <v>CMBOffice@cefas.co.uk</v>
      </c>
      <c r="J33" s="14" t="str">
        <f>HYPERLINK("https://www.gov.uk/government /organisations/centre-for-environment-fisheries-and-aquaculture-science","https://www.gov.uk/government
/organisations/centre-for-environment-fisheries-and-aquaculture-science")</f>
        <v>https://www.gov.uk/government
/organisations/centre-for-environment-fisheries-and-aquaculture-science</v>
      </c>
      <c r="K33" s="13" t="s">
        <v>230</v>
      </c>
      <c r="L33" s="7" t="s">
        <v>231</v>
      </c>
      <c r="M33" s="7" t="s">
        <v>42</v>
      </c>
      <c r="N33" s="15" t="s">
        <v>43</v>
      </c>
      <c r="O33" s="16">
        <v>10000</v>
      </c>
      <c r="P33" s="15" t="s">
        <v>52</v>
      </c>
      <c r="Q33" s="15" t="s">
        <v>112</v>
      </c>
      <c r="R33" s="7" t="s">
        <v>37</v>
      </c>
      <c r="S33" s="7" t="s">
        <v>43</v>
      </c>
      <c r="T33" s="7" t="s">
        <v>43</v>
      </c>
      <c r="U33" s="7" t="s">
        <v>54</v>
      </c>
      <c r="V33" s="25"/>
      <c r="W33" s="7">
        <v>629</v>
      </c>
      <c r="X33" s="18">
        <v>35851</v>
      </c>
      <c r="Y33" s="18">
        <v>23455</v>
      </c>
      <c r="Z33" s="18">
        <v>59306</v>
      </c>
      <c r="AA33" s="18">
        <v>51607</v>
      </c>
      <c r="AB33" s="18">
        <v>21611</v>
      </c>
      <c r="AC33" s="18">
        <v>0</v>
      </c>
      <c r="AD33" s="7"/>
      <c r="AE33" s="7"/>
      <c r="AF33" s="7"/>
      <c r="AG33" s="7"/>
      <c r="AH33" s="7"/>
      <c r="AI33" s="7"/>
      <c r="AJ33" s="7"/>
      <c r="AK33" s="7"/>
      <c r="AL33" s="7"/>
      <c r="AM33" s="7"/>
      <c r="AN33" s="7"/>
      <c r="AO33" s="7"/>
      <c r="AP33" s="7"/>
      <c r="AQ33" s="7"/>
      <c r="AR33" s="7"/>
      <c r="AS33" s="7"/>
      <c r="AT33" s="7"/>
      <c r="AU33" s="7"/>
      <c r="AV33" s="7"/>
      <c r="AW33" s="7"/>
      <c r="AX33" s="7"/>
      <c r="AY33" s="7"/>
      <c r="AZ33" s="7"/>
    </row>
    <row r="34" spans="1:52" ht="63" customHeight="1">
      <c r="A34" s="20" t="s">
        <v>232</v>
      </c>
      <c r="B34" s="7">
        <v>1</v>
      </c>
      <c r="C34" s="7" t="s">
        <v>122</v>
      </c>
      <c r="D34" s="7" t="s">
        <v>233</v>
      </c>
      <c r="E34" s="7" t="s">
        <v>43</v>
      </c>
      <c r="F34" s="7" t="s">
        <v>234</v>
      </c>
      <c r="G34" s="7">
        <v>1853</v>
      </c>
      <c r="H34" s="7"/>
      <c r="I34" s="14" t="str">
        <f>HYPERLINK("mailto:CEO@charitycommission.gov.uk","CEO@charitycommission.gov.uk")</f>
        <v>CEO@charitycommission.gov.uk</v>
      </c>
      <c r="J34" s="14" t="str">
        <f>HYPERLINK("https://www.gov.uk/government/organisations/charity-commission%20 ","https://www.gov.uk/government/organisations/charity-commission%20 ")</f>
        <v xml:space="preserve">https://www.gov.uk/government/organisations/charity-commission%20 </v>
      </c>
      <c r="K34" s="7" t="s">
        <v>235</v>
      </c>
      <c r="L34" s="7" t="s">
        <v>236</v>
      </c>
      <c r="M34" s="7" t="s">
        <v>42</v>
      </c>
      <c r="N34" s="7" t="s">
        <v>43</v>
      </c>
      <c r="O34" s="16">
        <v>60000</v>
      </c>
      <c r="P34" s="7" t="s">
        <v>52</v>
      </c>
      <c r="Q34" s="13" t="s">
        <v>100</v>
      </c>
      <c r="R34" s="7" t="s">
        <v>43</v>
      </c>
      <c r="S34" s="7" t="s">
        <v>37</v>
      </c>
      <c r="T34" s="7" t="s">
        <v>43</v>
      </c>
      <c r="U34" s="7" t="s">
        <v>54</v>
      </c>
      <c r="V34" s="7"/>
      <c r="W34" s="7">
        <v>410</v>
      </c>
      <c r="X34" s="18">
        <v>25500</v>
      </c>
      <c r="Y34" s="18">
        <v>1600</v>
      </c>
      <c r="Z34" s="18">
        <f>(X34+Y34)</f>
        <v>27100</v>
      </c>
      <c r="AA34" s="18">
        <f>25183-159-1501-13-19-61</f>
        <v>23430</v>
      </c>
      <c r="AB34" s="18">
        <f>2002</f>
        <v>2002</v>
      </c>
      <c r="AC34" s="18">
        <v>0</v>
      </c>
      <c r="AD34" s="7"/>
      <c r="AE34" s="7"/>
      <c r="AF34" s="7"/>
      <c r="AG34" s="7"/>
      <c r="AH34" s="7"/>
      <c r="AI34" s="7"/>
      <c r="AJ34" s="7"/>
      <c r="AK34" s="7"/>
      <c r="AL34" s="7"/>
      <c r="AM34" s="7"/>
      <c r="AN34" s="7"/>
      <c r="AO34" s="7"/>
      <c r="AP34" s="7"/>
      <c r="AQ34" s="7"/>
      <c r="AR34" s="7"/>
      <c r="AS34" s="7"/>
      <c r="AT34" s="7"/>
      <c r="AU34" s="7"/>
      <c r="AV34" s="7"/>
      <c r="AW34" s="7"/>
      <c r="AX34" s="7"/>
      <c r="AY34" s="7"/>
      <c r="AZ34" s="7"/>
    </row>
    <row r="35" spans="1:52" ht="63" customHeight="1">
      <c r="A35" s="20" t="s">
        <v>237</v>
      </c>
      <c r="B35" s="7">
        <v>1</v>
      </c>
      <c r="C35" s="7" t="s">
        <v>89</v>
      </c>
      <c r="D35" s="7" t="s">
        <v>95</v>
      </c>
      <c r="E35" s="7" t="s">
        <v>37</v>
      </c>
      <c r="F35" s="7" t="s">
        <v>238</v>
      </c>
      <c r="G35" s="7">
        <v>2001</v>
      </c>
      <c r="H35" s="7"/>
      <c r="I35" s="14" t="str">
        <f>HYPERLINK("https://www.cafcass.gov.uk/contact-us/ ","Please contact on our website")</f>
        <v>Please contact on our website</v>
      </c>
      <c r="J35" s="14" t="str">
        <f>HYPERLINK("https://www.cafcass.gov.uk/","www.cafcass.gov.uk")</f>
        <v>www.cafcass.gov.uk</v>
      </c>
      <c r="K35" s="7" t="s">
        <v>239</v>
      </c>
      <c r="L35" s="27" t="s">
        <v>240</v>
      </c>
      <c r="M35" s="13" t="s">
        <v>42</v>
      </c>
      <c r="N35" s="15" t="s">
        <v>43</v>
      </c>
      <c r="O35" s="16">
        <v>400</v>
      </c>
      <c r="P35" s="15" t="s">
        <v>44</v>
      </c>
      <c r="Q35" s="17" t="s">
        <v>241</v>
      </c>
      <c r="R35" s="7" t="s">
        <v>37</v>
      </c>
      <c r="S35" s="7" t="s">
        <v>37</v>
      </c>
      <c r="T35" s="7" t="s">
        <v>43</v>
      </c>
      <c r="U35" s="7" t="s">
        <v>46</v>
      </c>
      <c r="V35" s="7"/>
      <c r="W35" s="31">
        <v>1800.59</v>
      </c>
      <c r="X35" s="18">
        <v>119628</v>
      </c>
      <c r="Y35" s="18">
        <v>75</v>
      </c>
      <c r="Z35" s="18">
        <v>119703</v>
      </c>
      <c r="AA35" s="18">
        <v>118947</v>
      </c>
      <c r="AB35" s="18">
        <v>0</v>
      </c>
      <c r="AC35" s="18">
        <v>16191</v>
      </c>
      <c r="AD35" s="7"/>
      <c r="AE35" s="13" t="s">
        <v>56</v>
      </c>
      <c r="AF35" s="7"/>
      <c r="AG35" s="7"/>
      <c r="AH35" s="7"/>
      <c r="AI35" s="7"/>
      <c r="AJ35" s="7"/>
      <c r="AK35" s="7"/>
      <c r="AL35" s="7"/>
      <c r="AM35" s="7"/>
      <c r="AN35" s="7"/>
      <c r="AO35" s="7"/>
      <c r="AP35" s="7"/>
      <c r="AQ35" s="7"/>
      <c r="AR35" s="7"/>
      <c r="AS35" s="7"/>
      <c r="AT35" s="7"/>
      <c r="AU35" s="7"/>
      <c r="AV35" s="7"/>
      <c r="AW35" s="7"/>
      <c r="AX35" s="7"/>
      <c r="AY35" s="7"/>
      <c r="AZ35" s="7"/>
    </row>
    <row r="36" spans="1:52" ht="63" customHeight="1">
      <c r="A36" s="20" t="s">
        <v>242</v>
      </c>
      <c r="B36" s="7">
        <v>1</v>
      </c>
      <c r="C36" s="7" t="s">
        <v>89</v>
      </c>
      <c r="D36" s="13" t="s">
        <v>36</v>
      </c>
      <c r="E36" s="7" t="s">
        <v>43</v>
      </c>
      <c r="F36" s="7" t="s">
        <v>243</v>
      </c>
      <c r="G36" s="7">
        <v>1997</v>
      </c>
      <c r="H36" s="7"/>
      <c r="I36" s="14" t="str">
        <f>HYPERLINK("mailto:cjc@judiciary.uk","cjc@judiciary.uk")</f>
        <v>cjc@judiciary.uk</v>
      </c>
      <c r="J36" s="14" t="str">
        <f>HYPERLINK("http://www.judiciary.gov.uk/about-the-judiciary/advisory-bodies/cjc","http://www.judiciary.gov.uk/about-the-judiciary/advisory-bodies/cjc")</f>
        <v>http://www.judiciary.gov.uk/about-the-judiciary/advisory-bodies/cjc</v>
      </c>
      <c r="K36" s="13" t="s">
        <v>244</v>
      </c>
      <c r="L36" s="27" t="s">
        <v>245</v>
      </c>
      <c r="M36" s="27" t="s">
        <v>246</v>
      </c>
      <c r="N36" s="15" t="s">
        <v>37</v>
      </c>
      <c r="O36" s="16"/>
      <c r="P36" s="15"/>
      <c r="Q36" s="17" t="s">
        <v>247</v>
      </c>
      <c r="R36" s="7" t="s">
        <v>37</v>
      </c>
      <c r="S36" s="7" t="s">
        <v>43</v>
      </c>
      <c r="T36" s="7" t="s">
        <v>43</v>
      </c>
      <c r="U36" s="7" t="s">
        <v>46</v>
      </c>
      <c r="V36" s="27">
        <v>2013</v>
      </c>
      <c r="W36" s="7">
        <v>2</v>
      </c>
      <c r="X36" s="18">
        <v>40</v>
      </c>
      <c r="Y36" s="18">
        <v>0</v>
      </c>
      <c r="Z36" s="18">
        <v>40</v>
      </c>
      <c r="AA36" s="18">
        <v>0</v>
      </c>
      <c r="AB36" s="18">
        <v>0</v>
      </c>
      <c r="AC36" s="18">
        <v>0</v>
      </c>
      <c r="AD36" s="7"/>
      <c r="AE36" s="7"/>
      <c r="AF36" s="7"/>
      <c r="AG36" s="7"/>
      <c r="AH36" s="7"/>
      <c r="AI36" s="7"/>
      <c r="AJ36" s="7"/>
      <c r="AK36" s="7"/>
      <c r="AL36" s="7"/>
      <c r="AM36" s="7"/>
      <c r="AN36" s="7"/>
      <c r="AO36" s="7"/>
      <c r="AP36" s="7"/>
      <c r="AQ36" s="7"/>
      <c r="AR36" s="7"/>
      <c r="AS36" s="7"/>
      <c r="AT36" s="7"/>
      <c r="AU36" s="7"/>
      <c r="AV36" s="7"/>
      <c r="AW36" s="7"/>
      <c r="AX36" s="7"/>
      <c r="AY36" s="7"/>
      <c r="AZ36" s="7"/>
    </row>
    <row r="37" spans="1:52" ht="63" customHeight="1">
      <c r="A37" s="20" t="s">
        <v>248</v>
      </c>
      <c r="B37" s="7">
        <v>1</v>
      </c>
      <c r="C37" s="7" t="s">
        <v>94</v>
      </c>
      <c r="D37" s="7" t="s">
        <v>95</v>
      </c>
      <c r="E37" s="7" t="s">
        <v>63</v>
      </c>
      <c r="F37" s="7" t="s">
        <v>249</v>
      </c>
      <c r="G37" s="7">
        <v>2004</v>
      </c>
      <c r="H37" s="7"/>
      <c r="I37" s="14" t="str">
        <f>HYPERLINK("mailto:info@cnpa.pnn.police.uk","info@cnpa.pnn.police.uk")</f>
        <v>info@cnpa.pnn.police.uk</v>
      </c>
      <c r="J37" s="14" t="str">
        <f>HYPERLINK("https://www.gov.uk/government/organisations/civil-nuclear-police-authority","https://www.gov.uk/government/organisations/civil-nuclear-police-authority")</f>
        <v>https://www.gov.uk/government/organisations/civil-nuclear-police-authority</v>
      </c>
      <c r="K37" s="7" t="s">
        <v>250</v>
      </c>
      <c r="L37" s="7" t="s">
        <v>251</v>
      </c>
      <c r="M37" s="7" t="s">
        <v>42</v>
      </c>
      <c r="N37" s="15" t="s">
        <v>56</v>
      </c>
      <c r="O37" s="16">
        <v>67500</v>
      </c>
      <c r="P37" s="15" t="s">
        <v>52</v>
      </c>
      <c r="Q37" s="15" t="s">
        <v>252</v>
      </c>
      <c r="R37" s="7" t="s">
        <v>63</v>
      </c>
      <c r="S37" s="7" t="s">
        <v>56</v>
      </c>
      <c r="T37" s="7" t="s">
        <v>56</v>
      </c>
      <c r="U37" s="7" t="s">
        <v>253</v>
      </c>
      <c r="V37" s="7">
        <v>2010</v>
      </c>
      <c r="W37" s="26">
        <v>1546</v>
      </c>
      <c r="X37" s="18">
        <v>828</v>
      </c>
      <c r="Y37" s="18">
        <v>112049</v>
      </c>
      <c r="Z37" s="18">
        <v>112877</v>
      </c>
      <c r="AA37" s="18">
        <v>113304</v>
      </c>
      <c r="AB37" s="18">
        <v>4429</v>
      </c>
      <c r="AC37" s="18">
        <v>0</v>
      </c>
      <c r="AD37" s="7" t="s">
        <v>185</v>
      </c>
      <c r="AE37" s="7"/>
      <c r="AF37" s="7"/>
      <c r="AG37" s="7"/>
      <c r="AH37" s="7"/>
      <c r="AI37" s="7"/>
      <c r="AJ37" s="7"/>
      <c r="AK37" s="7"/>
      <c r="AL37" s="7"/>
      <c r="AM37" s="7"/>
      <c r="AN37" s="7"/>
      <c r="AO37" s="7"/>
      <c r="AP37" s="7"/>
      <c r="AQ37" s="7"/>
      <c r="AR37" s="7"/>
      <c r="AS37" s="7"/>
      <c r="AT37" s="7"/>
      <c r="AU37" s="7"/>
      <c r="AV37" s="7"/>
      <c r="AW37" s="7"/>
      <c r="AX37" s="7"/>
      <c r="AY37" s="7"/>
      <c r="AZ37" s="7"/>
    </row>
    <row r="38" spans="1:52" ht="63" customHeight="1">
      <c r="A38" s="20" t="s">
        <v>254</v>
      </c>
      <c r="B38" s="7">
        <v>1</v>
      </c>
      <c r="C38" s="7" t="s">
        <v>89</v>
      </c>
      <c r="D38" s="7" t="s">
        <v>36</v>
      </c>
      <c r="E38" s="7" t="s">
        <v>37</v>
      </c>
      <c r="F38" s="7" t="s">
        <v>255</v>
      </c>
      <c r="G38" s="7">
        <v>1998</v>
      </c>
      <c r="H38" s="7"/>
      <c r="I38" s="14" t="str">
        <f>HYPERLINK("mailto:carl.poole@justice.gov.uk","carl.poole@justice.gov.uk")</f>
        <v>carl.poole@justice.gov.uk</v>
      </c>
      <c r="J38" s="14" t="str">
        <f>HYPERLINK("https://www.gov.uk/government/organisations/civil-procedure-rules-committee","https://www.gov.uk/government/organisations/civil-procedure-rules-committee")</f>
        <v>https://www.gov.uk/government/organisations/civil-procedure-rules-committee</v>
      </c>
      <c r="K38" s="7" t="s">
        <v>256</v>
      </c>
      <c r="L38" s="27" t="s">
        <v>257</v>
      </c>
      <c r="M38" s="27" t="s">
        <v>246</v>
      </c>
      <c r="N38" s="15" t="s">
        <v>37</v>
      </c>
      <c r="O38" s="16"/>
      <c r="P38" s="15"/>
      <c r="Q38" s="17" t="s">
        <v>258</v>
      </c>
      <c r="R38" s="7" t="s">
        <v>43</v>
      </c>
      <c r="S38" s="7" t="s">
        <v>43</v>
      </c>
      <c r="T38" s="7" t="s">
        <v>43</v>
      </c>
      <c r="U38" s="7" t="s">
        <v>46</v>
      </c>
      <c r="V38" s="7"/>
      <c r="W38" s="7">
        <v>1</v>
      </c>
      <c r="X38" s="18">
        <v>0</v>
      </c>
      <c r="Y38" s="18">
        <v>0</v>
      </c>
      <c r="Z38" s="18">
        <v>0</v>
      </c>
      <c r="AA38" s="18">
        <v>0</v>
      </c>
      <c r="AB38" s="18">
        <v>0</v>
      </c>
      <c r="AC38" s="18">
        <v>0</v>
      </c>
      <c r="AD38" s="7"/>
      <c r="AE38" s="7"/>
      <c r="AF38" s="7"/>
      <c r="AG38" s="7"/>
      <c r="AH38" s="7"/>
      <c r="AI38" s="7"/>
      <c r="AJ38" s="7"/>
      <c r="AK38" s="7"/>
      <c r="AL38" s="7"/>
      <c r="AM38" s="7"/>
      <c r="AN38" s="7"/>
      <c r="AO38" s="7"/>
      <c r="AP38" s="7"/>
      <c r="AQ38" s="7"/>
      <c r="AR38" s="7"/>
      <c r="AS38" s="7"/>
      <c r="AT38" s="7"/>
      <c r="AU38" s="7"/>
      <c r="AV38" s="7"/>
      <c r="AW38" s="7"/>
      <c r="AX38" s="7"/>
      <c r="AY38" s="7"/>
      <c r="AZ38" s="7"/>
    </row>
    <row r="39" spans="1:52" ht="63" customHeight="1">
      <c r="A39" s="20" t="s">
        <v>259</v>
      </c>
      <c r="B39" s="7">
        <v>1</v>
      </c>
      <c r="C39" s="7" t="s">
        <v>48</v>
      </c>
      <c r="D39" s="7" t="s">
        <v>95</v>
      </c>
      <c r="E39" s="7" t="s">
        <v>43</v>
      </c>
      <c r="F39" s="7" t="s">
        <v>260</v>
      </c>
      <c r="G39" s="7">
        <v>1855</v>
      </c>
      <c r="H39" s="7" t="s">
        <v>261</v>
      </c>
      <c r="I39" s="14" t="str">
        <f>HYPERLINK("mailto:info@csc.gov.uk","info@csc.gov.uk")</f>
        <v>info@csc.gov.uk</v>
      </c>
      <c r="J39" s="14" t="str">
        <f>HYPERLINK("https://civilservicecommission.independent.gov.uk/","https://civilservicecommission.independent.gov.uk/")</f>
        <v>https://civilservicecommission.independent.gov.uk/</v>
      </c>
      <c r="K39" s="7" t="s">
        <v>50</v>
      </c>
      <c r="L39" s="7" t="s">
        <v>262</v>
      </c>
      <c r="M39" s="7" t="s">
        <v>42</v>
      </c>
      <c r="N39" s="15" t="s">
        <v>43</v>
      </c>
      <c r="O39" s="16">
        <v>55000</v>
      </c>
      <c r="P39" s="15" t="s">
        <v>52</v>
      </c>
      <c r="Q39" s="34" t="s">
        <v>263</v>
      </c>
      <c r="R39" s="7" t="s">
        <v>37</v>
      </c>
      <c r="S39" s="7" t="s">
        <v>43</v>
      </c>
      <c r="T39" s="7" t="s">
        <v>43</v>
      </c>
      <c r="U39" s="7" t="s">
        <v>54</v>
      </c>
      <c r="V39" s="7">
        <v>2015</v>
      </c>
      <c r="W39" s="7">
        <v>17.2</v>
      </c>
      <c r="X39" s="18">
        <v>1530</v>
      </c>
      <c r="Y39" s="18">
        <v>0</v>
      </c>
      <c r="Z39" s="18">
        <v>1530</v>
      </c>
      <c r="AA39" s="18">
        <v>1530</v>
      </c>
      <c r="AB39" s="18">
        <v>0</v>
      </c>
      <c r="AC39" s="18">
        <v>0</v>
      </c>
      <c r="AD39" s="7" t="s">
        <v>264</v>
      </c>
      <c r="AE39" s="7"/>
      <c r="AF39" s="7"/>
      <c r="AG39" s="7"/>
      <c r="AH39" s="7"/>
      <c r="AI39" s="7"/>
      <c r="AJ39" s="7"/>
      <c r="AK39" s="7"/>
      <c r="AL39" s="7"/>
      <c r="AM39" s="7"/>
      <c r="AN39" s="7"/>
      <c r="AO39" s="7"/>
      <c r="AP39" s="7"/>
      <c r="AQ39" s="7"/>
      <c r="AR39" s="7"/>
      <c r="AS39" s="7"/>
      <c r="AT39" s="7"/>
      <c r="AU39" s="7"/>
      <c r="AV39" s="7"/>
      <c r="AW39" s="7"/>
      <c r="AX39" s="7"/>
      <c r="AY39" s="7"/>
      <c r="AZ39" s="7"/>
    </row>
    <row r="40" spans="1:52" ht="63" customHeight="1">
      <c r="A40" s="20" t="s">
        <v>265</v>
      </c>
      <c r="B40" s="7">
        <v>1</v>
      </c>
      <c r="C40" s="7" t="s">
        <v>94</v>
      </c>
      <c r="D40" s="7" t="s">
        <v>95</v>
      </c>
      <c r="E40" s="7" t="s">
        <v>56</v>
      </c>
      <c r="F40" s="7" t="s">
        <v>266</v>
      </c>
      <c r="G40" s="7">
        <v>1994</v>
      </c>
      <c r="H40" s="7"/>
      <c r="I40" s="14" t="str">
        <f>HYPERLINK("mailto:thecoalauthority@coal.gov.uk","thecoalauthority@coal.gov.uk")</f>
        <v>thecoalauthority@coal.gov.uk</v>
      </c>
      <c r="J40" s="14" t="str">
        <f>HYPERLINK("https://www.gov.uk/government/organisations/the-coal-authority","https://www.gov.uk/government/organisations/the-coal-authority")</f>
        <v>https://www.gov.uk/government/organisations/the-coal-authority</v>
      </c>
      <c r="K40" s="7" t="s">
        <v>250</v>
      </c>
      <c r="L40" s="7" t="s">
        <v>267</v>
      </c>
      <c r="M40" s="7" t="s">
        <v>42</v>
      </c>
      <c r="N40" s="15" t="s">
        <v>56</v>
      </c>
      <c r="O40" s="16">
        <v>27050</v>
      </c>
      <c r="P40" s="15" t="s">
        <v>52</v>
      </c>
      <c r="Q40" s="15" t="s">
        <v>268</v>
      </c>
      <c r="R40" s="7" t="s">
        <v>56</v>
      </c>
      <c r="S40" s="7" t="s">
        <v>56</v>
      </c>
      <c r="T40" s="7" t="s">
        <v>56</v>
      </c>
      <c r="U40" s="7" t="s">
        <v>54</v>
      </c>
      <c r="V40" s="7">
        <v>2017</v>
      </c>
      <c r="W40" s="7">
        <v>235</v>
      </c>
      <c r="X40" s="18">
        <v>28500</v>
      </c>
      <c r="Y40" s="18">
        <v>26405</v>
      </c>
      <c r="Z40" s="18">
        <v>54905</v>
      </c>
      <c r="AA40" s="18">
        <v>40378</v>
      </c>
      <c r="AB40" s="18">
        <v>14440</v>
      </c>
      <c r="AC40" s="18">
        <v>0</v>
      </c>
      <c r="AD40" s="7" t="s">
        <v>185</v>
      </c>
      <c r="AE40" s="7"/>
      <c r="AF40" s="7"/>
      <c r="AG40" s="7"/>
      <c r="AH40" s="7"/>
      <c r="AI40" s="7"/>
      <c r="AJ40" s="7"/>
      <c r="AK40" s="7"/>
      <c r="AL40" s="7"/>
      <c r="AM40" s="7"/>
      <c r="AN40" s="7"/>
      <c r="AO40" s="7"/>
      <c r="AP40" s="7"/>
      <c r="AQ40" s="7"/>
      <c r="AR40" s="7"/>
      <c r="AS40" s="7"/>
      <c r="AT40" s="7"/>
      <c r="AU40" s="7"/>
      <c r="AV40" s="7"/>
      <c r="AW40" s="7"/>
      <c r="AX40" s="7"/>
      <c r="AY40" s="7"/>
      <c r="AZ40" s="7"/>
    </row>
    <row r="41" spans="1:52" ht="63" customHeight="1">
      <c r="A41" s="20" t="s">
        <v>269</v>
      </c>
      <c r="B41" s="7">
        <v>1</v>
      </c>
      <c r="C41" s="7" t="s">
        <v>58</v>
      </c>
      <c r="D41" s="7" t="s">
        <v>36</v>
      </c>
      <c r="E41" s="7" t="s">
        <v>43</v>
      </c>
      <c r="F41" s="7" t="s">
        <v>270</v>
      </c>
      <c r="G41" s="7">
        <v>2005</v>
      </c>
      <c r="H41" s="7"/>
      <c r="I41" s="14" t="str">
        <f>HYPERLINK("mailto:ExpertCommitteeSupport@mhra.gov.uk","ExpertCommitteeSupport@mhra.gov.uk")</f>
        <v>ExpertCommitteeSupport@mhra.gov.uk</v>
      </c>
      <c r="J41" s="14" t="str">
        <f>HYPERLINK("https://www.gov.uk/government/organisations/commission-on-human-medicines","https://www.gov.uk/government/organisations/commission-on-human-medicines")</f>
        <v>https://www.gov.uk/government/organisations/commission-on-human-medicines</v>
      </c>
      <c r="K41" s="7" t="s">
        <v>271</v>
      </c>
      <c r="L41" s="7" t="s">
        <v>272</v>
      </c>
      <c r="M41" s="7" t="s">
        <v>42</v>
      </c>
      <c r="N41" s="15" t="s">
        <v>43</v>
      </c>
      <c r="O41" s="16">
        <v>500</v>
      </c>
      <c r="P41" s="15" t="s">
        <v>44</v>
      </c>
      <c r="Q41" s="15" t="s">
        <v>273</v>
      </c>
      <c r="R41" s="7" t="s">
        <v>37</v>
      </c>
      <c r="S41" s="7" t="s">
        <v>43</v>
      </c>
      <c r="T41" s="7" t="s">
        <v>43</v>
      </c>
      <c r="U41" s="7" t="s">
        <v>54</v>
      </c>
      <c r="V41" s="13">
        <v>2015</v>
      </c>
      <c r="W41" s="7">
        <v>0</v>
      </c>
      <c r="X41" s="18">
        <v>0</v>
      </c>
      <c r="Y41" s="18">
        <v>0</v>
      </c>
      <c r="Z41" s="18">
        <v>0</v>
      </c>
      <c r="AA41" s="18">
        <v>95</v>
      </c>
      <c r="AB41" s="18">
        <v>0</v>
      </c>
      <c r="AC41" s="18">
        <v>0</v>
      </c>
      <c r="AD41" s="7"/>
      <c r="AE41" s="13" t="s">
        <v>56</v>
      </c>
      <c r="AF41" s="7"/>
      <c r="AG41" s="7"/>
      <c r="AH41" s="7"/>
      <c r="AI41" s="7"/>
      <c r="AJ41" s="7"/>
      <c r="AK41" s="7"/>
      <c r="AL41" s="7"/>
      <c r="AM41" s="7"/>
      <c r="AN41" s="7"/>
      <c r="AO41" s="7"/>
      <c r="AP41" s="7"/>
      <c r="AQ41" s="7"/>
      <c r="AR41" s="7"/>
      <c r="AS41" s="7"/>
      <c r="AT41" s="7"/>
      <c r="AU41" s="7"/>
      <c r="AV41" s="7"/>
      <c r="AW41" s="7"/>
      <c r="AX41" s="7"/>
      <c r="AY41" s="7"/>
      <c r="AZ41" s="7"/>
    </row>
    <row r="42" spans="1:52" ht="63" customHeight="1">
      <c r="A42" s="20" t="s">
        <v>274</v>
      </c>
      <c r="B42" s="7">
        <v>1</v>
      </c>
      <c r="C42" s="7" t="s">
        <v>275</v>
      </c>
      <c r="D42" s="7" t="s">
        <v>95</v>
      </c>
      <c r="E42" s="7" t="s">
        <v>37</v>
      </c>
      <c r="F42" s="7" t="s">
        <v>276</v>
      </c>
      <c r="G42" s="13">
        <v>1786</v>
      </c>
      <c r="H42" s="7" t="s">
        <v>277</v>
      </c>
      <c r="I42" s="14" t="s">
        <v>278</v>
      </c>
      <c r="J42" s="14" t="str">
        <f>HYPERLINK("https://www.dmo.gov.uk/responsibilities/public-sector-funds-crnd/","https://www.dmo.gov.uk/responsibilities/public-sector-funds-crnd/")</f>
        <v>https://www.dmo.gov.uk/responsibilities/public-sector-funds-crnd/</v>
      </c>
      <c r="K42" s="35" t="s">
        <v>279</v>
      </c>
      <c r="L42" s="27" t="s">
        <v>46</v>
      </c>
      <c r="M42" s="13" t="s">
        <v>46</v>
      </c>
      <c r="N42" s="17" t="s">
        <v>46</v>
      </c>
      <c r="O42" s="16"/>
      <c r="P42" s="15"/>
      <c r="Q42" s="15"/>
      <c r="R42" s="7" t="s">
        <v>37</v>
      </c>
      <c r="S42" s="7" t="s">
        <v>37</v>
      </c>
      <c r="T42" s="7" t="s">
        <v>43</v>
      </c>
      <c r="U42" s="35" t="s">
        <v>279</v>
      </c>
      <c r="V42" s="7"/>
      <c r="W42" s="7">
        <v>0</v>
      </c>
      <c r="X42" s="18">
        <v>40</v>
      </c>
      <c r="Y42" s="18">
        <v>0</v>
      </c>
      <c r="Z42" s="18">
        <v>40</v>
      </c>
      <c r="AA42" s="18">
        <v>0</v>
      </c>
      <c r="AB42" s="18">
        <v>0</v>
      </c>
      <c r="AC42" s="18">
        <v>0</v>
      </c>
      <c r="AD42" s="7"/>
      <c r="AE42" s="7"/>
      <c r="AF42" s="7"/>
      <c r="AG42" s="7"/>
      <c r="AH42" s="7"/>
      <c r="AI42" s="7"/>
      <c r="AJ42" s="7"/>
      <c r="AK42" s="7"/>
      <c r="AL42" s="7"/>
      <c r="AM42" s="7"/>
      <c r="AN42" s="7"/>
      <c r="AO42" s="7"/>
      <c r="AP42" s="7"/>
      <c r="AQ42" s="7"/>
      <c r="AR42" s="7"/>
      <c r="AS42" s="7"/>
      <c r="AT42" s="7"/>
      <c r="AU42" s="7"/>
      <c r="AV42" s="7"/>
      <c r="AW42" s="7"/>
      <c r="AX42" s="7"/>
      <c r="AY42" s="7"/>
      <c r="AZ42" s="7"/>
    </row>
    <row r="43" spans="1:52" ht="63" customHeight="1">
      <c r="A43" s="20" t="s">
        <v>280</v>
      </c>
      <c r="B43" s="7">
        <v>1</v>
      </c>
      <c r="C43" s="7" t="s">
        <v>94</v>
      </c>
      <c r="D43" s="7" t="s">
        <v>95</v>
      </c>
      <c r="E43" s="7" t="s">
        <v>63</v>
      </c>
      <c r="F43" s="7" t="s">
        <v>281</v>
      </c>
      <c r="G43" s="7">
        <v>2008</v>
      </c>
      <c r="H43" s="7"/>
      <c r="I43" s="14" t="str">
        <f>HYPERLINK("mailto:communications@theccc.gsi.gov.uk","communications@theccc.gsi.gov.uk")</f>
        <v>communications@theccc.gsi.gov.uk</v>
      </c>
      <c r="J43" s="14" t="str">
        <f>HYPERLINK("http://www.theccc.org.uk/","http://www.theccc.org.uk/")</f>
        <v>http://www.theccc.org.uk/</v>
      </c>
      <c r="K43" s="7" t="s">
        <v>282</v>
      </c>
      <c r="L43" s="7" t="s">
        <v>283</v>
      </c>
      <c r="M43" s="7" t="s">
        <v>42</v>
      </c>
      <c r="N43" s="15" t="s">
        <v>56</v>
      </c>
      <c r="O43" s="16">
        <v>29395</v>
      </c>
      <c r="P43" s="15" t="s">
        <v>52</v>
      </c>
      <c r="Q43" s="15" t="s">
        <v>284</v>
      </c>
      <c r="R43" s="7" t="s">
        <v>63</v>
      </c>
      <c r="S43" s="7" t="s">
        <v>56</v>
      </c>
      <c r="T43" s="7" t="s">
        <v>56</v>
      </c>
      <c r="U43" s="7" t="s">
        <v>54</v>
      </c>
      <c r="V43" s="7">
        <v>2018</v>
      </c>
      <c r="W43" s="7">
        <v>32.5</v>
      </c>
      <c r="X43" s="18">
        <v>4575</v>
      </c>
      <c r="Y43" s="18">
        <v>0</v>
      </c>
      <c r="Z43" s="18">
        <v>4575</v>
      </c>
      <c r="AA43" s="18">
        <v>4575</v>
      </c>
      <c r="AB43" s="18">
        <v>0</v>
      </c>
      <c r="AC43" s="18">
        <v>0</v>
      </c>
      <c r="AD43" s="7" t="s">
        <v>185</v>
      </c>
      <c r="AE43" s="7"/>
      <c r="AF43" s="7"/>
      <c r="AG43" s="7"/>
      <c r="AH43" s="7"/>
      <c r="AI43" s="7"/>
      <c r="AJ43" s="7"/>
      <c r="AK43" s="7"/>
      <c r="AL43" s="7"/>
      <c r="AM43" s="7"/>
      <c r="AN43" s="7"/>
      <c r="AO43" s="7"/>
      <c r="AP43" s="7"/>
      <c r="AQ43" s="7"/>
      <c r="AR43" s="7"/>
      <c r="AS43" s="7"/>
      <c r="AT43" s="7"/>
      <c r="AU43" s="7"/>
      <c r="AV43" s="7"/>
      <c r="AW43" s="7"/>
      <c r="AX43" s="7"/>
      <c r="AY43" s="7"/>
      <c r="AZ43" s="7"/>
    </row>
    <row r="44" spans="1:52" ht="63" customHeight="1">
      <c r="A44" s="20" t="s">
        <v>285</v>
      </c>
      <c r="B44" s="7">
        <v>1</v>
      </c>
      <c r="C44" s="7" t="s">
        <v>94</v>
      </c>
      <c r="D44" s="7" t="s">
        <v>36</v>
      </c>
      <c r="E44" s="7" t="s">
        <v>63</v>
      </c>
      <c r="F44" s="7" t="s">
        <v>286</v>
      </c>
      <c r="G44" s="7">
        <v>2001</v>
      </c>
      <c r="H44" s="7"/>
      <c r="I44" s="14" t="str">
        <f>HYPERLINK("mailto:cfp@beis.gov.uk","cfp@beis.gov.uk")</f>
        <v>cfp@beis.gov.uk</v>
      </c>
      <c r="J44" s="14" t="str">
        <f>HYPERLINK("https://www.gov.uk/government/organisations/committee-on-fuel-poverty","https://www.gov.uk/government/organisations/committee-on-fuel-poverty")</f>
        <v>https://www.gov.uk/government/organisations/committee-on-fuel-poverty</v>
      </c>
      <c r="K44" s="7" t="s">
        <v>287</v>
      </c>
      <c r="L44" s="7" t="s">
        <v>288</v>
      </c>
      <c r="M44" s="7" t="s">
        <v>42</v>
      </c>
      <c r="N44" s="15" t="s">
        <v>56</v>
      </c>
      <c r="O44" s="16">
        <v>14000</v>
      </c>
      <c r="P44" s="15" t="s">
        <v>52</v>
      </c>
      <c r="Q44" s="15" t="s">
        <v>289</v>
      </c>
      <c r="R44" s="7" t="s">
        <v>63</v>
      </c>
      <c r="S44" s="7" t="s">
        <v>56</v>
      </c>
      <c r="T44" s="7" t="s">
        <v>56</v>
      </c>
      <c r="U44" s="7" t="s">
        <v>46</v>
      </c>
      <c r="V44" s="7">
        <v>2014</v>
      </c>
      <c r="W44" s="7">
        <v>0</v>
      </c>
      <c r="X44" s="18">
        <v>0</v>
      </c>
      <c r="Y44" s="18">
        <v>0</v>
      </c>
      <c r="Z44" s="18">
        <v>0</v>
      </c>
      <c r="AA44" s="18">
        <v>0</v>
      </c>
      <c r="AB44" s="18">
        <v>0</v>
      </c>
      <c r="AC44" s="18">
        <v>0</v>
      </c>
      <c r="AD44" s="7" t="s">
        <v>290</v>
      </c>
      <c r="AE44" s="7"/>
      <c r="AF44" s="7"/>
      <c r="AG44" s="7"/>
      <c r="AH44" s="7"/>
      <c r="AI44" s="7"/>
      <c r="AJ44" s="7"/>
      <c r="AK44" s="7"/>
      <c r="AL44" s="7"/>
      <c r="AM44" s="7"/>
      <c r="AN44" s="7"/>
      <c r="AO44" s="7"/>
      <c r="AP44" s="7"/>
      <c r="AQ44" s="7"/>
      <c r="AR44" s="7"/>
      <c r="AS44" s="7"/>
      <c r="AT44" s="7"/>
      <c r="AU44" s="7"/>
      <c r="AV44" s="7"/>
      <c r="AW44" s="7"/>
      <c r="AX44" s="7"/>
      <c r="AY44" s="7"/>
      <c r="AZ44" s="7"/>
    </row>
    <row r="45" spans="1:52" ht="63" customHeight="1">
      <c r="A45" s="20" t="s">
        <v>291</v>
      </c>
      <c r="B45" s="7">
        <v>1</v>
      </c>
      <c r="C45" s="13" t="s">
        <v>35</v>
      </c>
      <c r="D45" s="7" t="s">
        <v>36</v>
      </c>
      <c r="E45" s="7" t="s">
        <v>37</v>
      </c>
      <c r="F45" s="7" t="s">
        <v>292</v>
      </c>
      <c r="G45" s="7">
        <v>1978</v>
      </c>
      <c r="H45" s="7"/>
      <c r="I45" s="14" t="str">
        <f>HYPERLINK("mailto:com@phe.gov.uk","com@phe.gov.uk")</f>
        <v>com@phe.gov.uk</v>
      </c>
      <c r="J45" s="14" t="str">
        <f>HYPERLINK("https://www.gov.uk/government/organisations/committee-on-mutagenicity-of-chemicals-in-food-consumer-products-and-the-environment","https://www.gov.uk/government/organisations/committee-on-mutagenicity-of-chemicals-in-food-consumer-products-and-the-environment")</f>
        <v>https://www.gov.uk/government/organisations/committee-on-mutagenicity-of-chemicals-in-food-consumer-products-and-the-environment</v>
      </c>
      <c r="K45" s="7" t="s">
        <v>293</v>
      </c>
      <c r="L45" s="7" t="s">
        <v>294</v>
      </c>
      <c r="M45" s="7" t="s">
        <v>42</v>
      </c>
      <c r="N45" s="15" t="s">
        <v>37</v>
      </c>
      <c r="O45" s="16"/>
      <c r="P45" s="15"/>
      <c r="Q45" s="17" t="s">
        <v>295</v>
      </c>
      <c r="R45" s="7" t="s">
        <v>43</v>
      </c>
      <c r="S45" s="7" t="s">
        <v>43</v>
      </c>
      <c r="T45" s="7" t="s">
        <v>43</v>
      </c>
      <c r="U45" s="7" t="s">
        <v>54</v>
      </c>
      <c r="V45" s="7">
        <v>2017</v>
      </c>
      <c r="W45" s="7">
        <v>13</v>
      </c>
      <c r="X45" s="18">
        <v>0</v>
      </c>
      <c r="Y45" s="18">
        <v>0</v>
      </c>
      <c r="Z45" s="18">
        <v>0</v>
      </c>
      <c r="AA45" s="18">
        <v>8.8000000000000007</v>
      </c>
      <c r="AB45" s="18">
        <v>0</v>
      </c>
      <c r="AC45" s="18">
        <v>0</v>
      </c>
      <c r="AD45" s="7"/>
      <c r="AE45" s="13" t="s">
        <v>56</v>
      </c>
      <c r="AF45" s="7"/>
      <c r="AG45" s="7"/>
      <c r="AH45" s="7"/>
      <c r="AI45" s="7"/>
      <c r="AJ45" s="7"/>
      <c r="AK45" s="7"/>
      <c r="AL45" s="7"/>
      <c r="AM45" s="7"/>
      <c r="AN45" s="7"/>
      <c r="AO45" s="7"/>
      <c r="AP45" s="7"/>
      <c r="AQ45" s="7"/>
      <c r="AR45" s="7"/>
      <c r="AS45" s="7"/>
      <c r="AT45" s="7"/>
      <c r="AU45" s="7"/>
      <c r="AV45" s="7"/>
      <c r="AW45" s="7"/>
      <c r="AX45" s="7"/>
      <c r="AY45" s="7"/>
      <c r="AZ45" s="7"/>
    </row>
    <row r="46" spans="1:52" ht="63" customHeight="1">
      <c r="A46" s="20" t="s">
        <v>296</v>
      </c>
      <c r="B46" s="7">
        <v>1</v>
      </c>
      <c r="C46" s="7" t="s">
        <v>94</v>
      </c>
      <c r="D46" s="7" t="s">
        <v>36</v>
      </c>
      <c r="E46" s="7" t="s">
        <v>63</v>
      </c>
      <c r="F46" s="7" t="s">
        <v>297</v>
      </c>
      <c r="G46" s="7">
        <v>2003</v>
      </c>
      <c r="H46" s="7"/>
      <c r="I46" s="14" t="str">
        <f>HYPERLINK("mailto:corwm@beis.gov.uk","corwm@beis.gov.uk")</f>
        <v>corwm@beis.gov.uk</v>
      </c>
      <c r="J46" s="14" t="str">
        <f>HYPERLINK("http://www.gov.uk/government/organisations/committee-on-radioactive-waste-management","http://www.gov.uk/government/organisations/committee-on-radioactive-waste-management")</f>
        <v>http://www.gov.uk/government/organisations/committee-on-radioactive-waste-management</v>
      </c>
      <c r="K46" s="7" t="s">
        <v>250</v>
      </c>
      <c r="L46" s="7" t="s">
        <v>298</v>
      </c>
      <c r="M46" s="7" t="s">
        <v>42</v>
      </c>
      <c r="N46" s="15" t="s">
        <v>56</v>
      </c>
      <c r="O46" s="16">
        <v>26129</v>
      </c>
      <c r="P46" s="15" t="s">
        <v>52</v>
      </c>
      <c r="Q46" s="15" t="s">
        <v>299</v>
      </c>
      <c r="R46" s="7" t="s">
        <v>56</v>
      </c>
      <c r="S46" s="7" t="s">
        <v>56</v>
      </c>
      <c r="T46" s="7" t="s">
        <v>56</v>
      </c>
      <c r="U46" s="7" t="s">
        <v>54</v>
      </c>
      <c r="V46" s="7">
        <v>2015</v>
      </c>
      <c r="W46" s="7">
        <v>0</v>
      </c>
      <c r="X46" s="18">
        <v>320</v>
      </c>
      <c r="Y46" s="18">
        <v>0</v>
      </c>
      <c r="Z46" s="18">
        <v>320</v>
      </c>
      <c r="AA46" s="18">
        <v>320</v>
      </c>
      <c r="AB46" s="18">
        <v>0</v>
      </c>
      <c r="AC46" s="18">
        <v>0</v>
      </c>
      <c r="AD46" s="7" t="s">
        <v>185</v>
      </c>
      <c r="AE46" s="7"/>
      <c r="AF46" s="7"/>
      <c r="AG46" s="7"/>
      <c r="AH46" s="7"/>
      <c r="AI46" s="7"/>
      <c r="AJ46" s="7"/>
      <c r="AK46" s="7"/>
      <c r="AL46" s="7"/>
      <c r="AM46" s="7"/>
      <c r="AN46" s="7"/>
      <c r="AO46" s="7"/>
      <c r="AP46" s="7"/>
      <c r="AQ46" s="7"/>
      <c r="AR46" s="7"/>
      <c r="AS46" s="7"/>
      <c r="AT46" s="7"/>
      <c r="AU46" s="7"/>
      <c r="AV46" s="7"/>
      <c r="AW46" s="7"/>
      <c r="AX46" s="7"/>
      <c r="AY46" s="7"/>
      <c r="AZ46" s="7"/>
    </row>
    <row r="47" spans="1:52" ht="63" customHeight="1">
      <c r="A47" s="20" t="s">
        <v>300</v>
      </c>
      <c r="B47" s="7">
        <v>1</v>
      </c>
      <c r="C47" s="7" t="s">
        <v>48</v>
      </c>
      <c r="D47" s="7" t="s">
        <v>36</v>
      </c>
      <c r="E47" s="7" t="s">
        <v>37</v>
      </c>
      <c r="F47" s="7" t="s">
        <v>301</v>
      </c>
      <c r="G47" s="7">
        <v>1994</v>
      </c>
      <c r="H47" s="7"/>
      <c r="I47" s="14" t="str">
        <f>HYPERLINK("mailto:public@public-standards.gov.uk","public@public-standards.gov.uk")</f>
        <v>public@public-standards.gov.uk</v>
      </c>
      <c r="J47" s="14" t="str">
        <f>HYPERLINK("https://www.gov.uk/government/organisations/the-committee-on-standards-in-public-life","https://www.gov.uk/government/organisations/the-committee-on-standards-in-public-life")</f>
        <v>https://www.gov.uk/government/organisations/the-committee-on-standards-in-public-life</v>
      </c>
      <c r="K47" s="7" t="s">
        <v>50</v>
      </c>
      <c r="L47" s="27" t="s">
        <v>302</v>
      </c>
      <c r="M47" s="13" t="s">
        <v>42</v>
      </c>
      <c r="N47" s="15" t="s">
        <v>43</v>
      </c>
      <c r="O47" s="16">
        <v>36000</v>
      </c>
      <c r="P47" s="15" t="s">
        <v>52</v>
      </c>
      <c r="Q47" s="22" t="s">
        <v>303</v>
      </c>
      <c r="R47" s="7" t="s">
        <v>37</v>
      </c>
      <c r="S47" s="7" t="s">
        <v>43</v>
      </c>
      <c r="T47" s="7" t="s">
        <v>43</v>
      </c>
      <c r="U47" s="7" t="s">
        <v>54</v>
      </c>
      <c r="V47" s="7">
        <v>2012</v>
      </c>
      <c r="W47" s="7">
        <v>5</v>
      </c>
      <c r="X47" s="18">
        <v>339</v>
      </c>
      <c r="Y47" s="18">
        <v>0</v>
      </c>
      <c r="Z47" s="18">
        <v>339</v>
      </c>
      <c r="AA47" s="18">
        <v>361</v>
      </c>
      <c r="AB47" s="18">
        <v>0</v>
      </c>
      <c r="AC47" s="18">
        <v>0</v>
      </c>
      <c r="AD47" s="7"/>
      <c r="AE47" s="13" t="s">
        <v>56</v>
      </c>
      <c r="AF47" s="7"/>
      <c r="AG47" s="7"/>
      <c r="AH47" s="7"/>
      <c r="AI47" s="7"/>
      <c r="AJ47" s="7"/>
      <c r="AK47" s="7"/>
      <c r="AL47" s="7"/>
      <c r="AM47" s="7"/>
      <c r="AN47" s="7"/>
      <c r="AO47" s="7"/>
      <c r="AP47" s="7"/>
      <c r="AQ47" s="7"/>
      <c r="AR47" s="7"/>
      <c r="AS47" s="7"/>
      <c r="AT47" s="7"/>
      <c r="AU47" s="7"/>
      <c r="AV47" s="7"/>
      <c r="AW47" s="7"/>
      <c r="AX47" s="7"/>
      <c r="AY47" s="7"/>
      <c r="AZ47" s="7"/>
    </row>
    <row r="48" spans="1:52" ht="63" customHeight="1">
      <c r="A48" s="20" t="s">
        <v>304</v>
      </c>
      <c r="B48" s="7">
        <v>1</v>
      </c>
      <c r="C48" s="13" t="s">
        <v>35</v>
      </c>
      <c r="D48" s="7" t="s">
        <v>36</v>
      </c>
      <c r="E48" s="7" t="s">
        <v>37</v>
      </c>
      <c r="F48" s="7" t="s">
        <v>305</v>
      </c>
      <c r="G48" s="7">
        <v>1978</v>
      </c>
      <c r="H48" s="7"/>
      <c r="I48" s="14" t="str">
        <f>HYPERLINK("mailto:cot@food.gov.uk","cot@food.gov.uk")</f>
        <v>cot@food.gov.uk</v>
      </c>
      <c r="J48" s="14" t="str">
        <f>HYPERLINK("https://cot.food.gov.uk","https://cot.food.gov.uk")</f>
        <v>https://cot.food.gov.uk</v>
      </c>
      <c r="K48" s="7" t="s">
        <v>75</v>
      </c>
      <c r="L48" s="7" t="s">
        <v>306</v>
      </c>
      <c r="M48" s="7" t="s">
        <v>71</v>
      </c>
      <c r="N48" s="15" t="s">
        <v>43</v>
      </c>
      <c r="O48" s="16">
        <v>400</v>
      </c>
      <c r="P48" s="15" t="s">
        <v>44</v>
      </c>
      <c r="Q48" s="17" t="s">
        <v>307</v>
      </c>
      <c r="R48" s="7" t="s">
        <v>43</v>
      </c>
      <c r="S48" s="7" t="s">
        <v>43</v>
      </c>
      <c r="T48" s="7" t="s">
        <v>43</v>
      </c>
      <c r="U48" s="7" t="s">
        <v>54</v>
      </c>
      <c r="V48" s="7">
        <v>2015</v>
      </c>
      <c r="W48" s="7">
        <v>7</v>
      </c>
      <c r="X48" s="18">
        <v>68</v>
      </c>
      <c r="Y48" s="18">
        <v>0</v>
      </c>
      <c r="Z48" s="18">
        <v>68</v>
      </c>
      <c r="AA48" s="18">
        <v>41</v>
      </c>
      <c r="AB48" s="18">
        <v>0</v>
      </c>
      <c r="AC48" s="18">
        <v>0</v>
      </c>
      <c r="AD48" s="7"/>
      <c r="AE48" s="7"/>
      <c r="AF48" s="7"/>
      <c r="AG48" s="7"/>
      <c r="AH48" s="7"/>
      <c r="AI48" s="7"/>
      <c r="AJ48" s="7"/>
      <c r="AK48" s="7"/>
      <c r="AL48" s="7"/>
      <c r="AM48" s="7"/>
      <c r="AN48" s="7"/>
      <c r="AO48" s="7"/>
      <c r="AP48" s="7"/>
      <c r="AQ48" s="7"/>
      <c r="AR48" s="7"/>
      <c r="AS48" s="7"/>
      <c r="AT48" s="7"/>
      <c r="AU48" s="7"/>
      <c r="AV48" s="7"/>
      <c r="AW48" s="7"/>
      <c r="AX48" s="7"/>
      <c r="AY48" s="7"/>
      <c r="AZ48" s="7"/>
    </row>
    <row r="49" spans="1:52" ht="63" customHeight="1">
      <c r="A49" s="20" t="s">
        <v>308</v>
      </c>
      <c r="B49" s="7">
        <v>1</v>
      </c>
      <c r="C49" s="7" t="s">
        <v>309</v>
      </c>
      <c r="D49" s="7" t="s">
        <v>95</v>
      </c>
      <c r="E49" s="7" t="s">
        <v>37</v>
      </c>
      <c r="F49" s="7" t="s">
        <v>310</v>
      </c>
      <c r="G49" s="7">
        <v>1959</v>
      </c>
      <c r="H49" s="7"/>
      <c r="I49" s="14" t="str">
        <f>HYPERLINK("info@cscuk.org.uk ","info@cscuk.org.uk ")</f>
        <v xml:space="preserve">info@cscuk.org.uk </v>
      </c>
      <c r="J49" s="14" t="str">
        <f>HYPERLINK("http://cscuk.dfid.gov.uk/","http://cscuk.dfid.gov.uk/")</f>
        <v>http://cscuk.dfid.gov.uk/</v>
      </c>
      <c r="K49" s="7" t="s">
        <v>311</v>
      </c>
      <c r="L49" s="15" t="s">
        <v>312</v>
      </c>
      <c r="M49" s="36" t="s">
        <v>42</v>
      </c>
      <c r="N49" s="15" t="s">
        <v>43</v>
      </c>
      <c r="O49" s="16">
        <v>8000</v>
      </c>
      <c r="P49" s="15" t="s">
        <v>52</v>
      </c>
      <c r="Q49" s="15" t="s">
        <v>313</v>
      </c>
      <c r="R49" s="7" t="s">
        <v>43</v>
      </c>
      <c r="S49" s="7" t="s">
        <v>43</v>
      </c>
      <c r="T49" s="7" t="s">
        <v>43</v>
      </c>
      <c r="U49" s="7" t="s">
        <v>54</v>
      </c>
      <c r="V49" s="7">
        <v>2015</v>
      </c>
      <c r="W49" s="7">
        <v>0</v>
      </c>
      <c r="X49" s="18">
        <v>28200</v>
      </c>
      <c r="Y49" s="18">
        <v>0</v>
      </c>
      <c r="Z49" s="18">
        <v>28200</v>
      </c>
      <c r="AA49" s="18">
        <v>27895</v>
      </c>
      <c r="AB49" s="18">
        <v>0</v>
      </c>
      <c r="AC49" s="18">
        <v>406</v>
      </c>
      <c r="AD49" s="7"/>
      <c r="AE49" s="13" t="s">
        <v>56</v>
      </c>
      <c r="AF49" s="7"/>
      <c r="AG49" s="7"/>
      <c r="AH49" s="7"/>
      <c r="AI49" s="7"/>
      <c r="AJ49" s="7"/>
      <c r="AK49" s="7"/>
      <c r="AL49" s="7"/>
      <c r="AM49" s="7"/>
      <c r="AN49" s="7"/>
      <c r="AO49" s="7"/>
      <c r="AP49" s="7"/>
      <c r="AQ49" s="7"/>
      <c r="AR49" s="7"/>
      <c r="AS49" s="7"/>
      <c r="AT49" s="7"/>
      <c r="AU49" s="7"/>
      <c r="AV49" s="7"/>
      <c r="AW49" s="7"/>
      <c r="AX49" s="7"/>
      <c r="AY49" s="7"/>
      <c r="AZ49" s="7"/>
    </row>
    <row r="50" spans="1:52" ht="63" customHeight="1">
      <c r="A50" s="20" t="s">
        <v>314</v>
      </c>
      <c r="B50" s="7">
        <v>1</v>
      </c>
      <c r="C50" s="7" t="s">
        <v>94</v>
      </c>
      <c r="D50" s="7" t="s">
        <v>108</v>
      </c>
      <c r="E50" s="7" t="s">
        <v>63</v>
      </c>
      <c r="F50" s="7" t="s">
        <v>315</v>
      </c>
      <c r="G50" s="7">
        <v>1844</v>
      </c>
      <c r="H50" s="7"/>
      <c r="I50" s="14" t="str">
        <f>HYPERLINK("mailto:enquiries@companies-house.gov.uk","enquiries@companies-house.gov.uk")</f>
        <v>enquiries@companies-house.gov.uk</v>
      </c>
      <c r="J50" s="14" t="str">
        <f>HYPERLINK("https://www.gov.uk/government/organisations/companies-house","https://www.gov.uk/government/organisations/companies-house")</f>
        <v>https://www.gov.uk/government/organisations/companies-house</v>
      </c>
      <c r="K50" s="7" t="s">
        <v>97</v>
      </c>
      <c r="L50" s="7" t="s">
        <v>316</v>
      </c>
      <c r="M50" s="7" t="s">
        <v>42</v>
      </c>
      <c r="N50" s="15" t="s">
        <v>56</v>
      </c>
      <c r="O50" s="16">
        <v>28450</v>
      </c>
      <c r="P50" s="15" t="s">
        <v>52</v>
      </c>
      <c r="Q50" s="17" t="s">
        <v>317</v>
      </c>
      <c r="R50" s="7" t="s">
        <v>63</v>
      </c>
      <c r="S50" s="7" t="s">
        <v>63</v>
      </c>
      <c r="T50" s="7" t="s">
        <v>56</v>
      </c>
      <c r="U50" s="7" t="s">
        <v>54</v>
      </c>
      <c r="V50" s="7">
        <v>2013</v>
      </c>
      <c r="W50" s="7">
        <v>847</v>
      </c>
      <c r="X50" s="18">
        <v>0</v>
      </c>
      <c r="Y50" s="18">
        <v>71697</v>
      </c>
      <c r="Z50" s="18">
        <f t="shared" ref="Z50:Z51" si="0">IF(SUM(Y50)&lt;&gt;0,SUM(Y50),"")</f>
        <v>71697</v>
      </c>
      <c r="AA50" s="18">
        <v>67593</v>
      </c>
      <c r="AB50" s="18">
        <v>0</v>
      </c>
      <c r="AC50" s="18">
        <v>0</v>
      </c>
      <c r="AD50" s="7"/>
      <c r="AE50" s="7"/>
      <c r="AF50" s="7"/>
      <c r="AG50" s="7"/>
      <c r="AH50" s="7"/>
      <c r="AI50" s="7"/>
      <c r="AJ50" s="7"/>
      <c r="AK50" s="7"/>
      <c r="AL50" s="7"/>
      <c r="AM50" s="7"/>
      <c r="AN50" s="7"/>
      <c r="AO50" s="7"/>
      <c r="AP50" s="7"/>
      <c r="AQ50" s="7"/>
      <c r="AR50" s="7"/>
      <c r="AS50" s="7"/>
      <c r="AT50" s="7"/>
      <c r="AU50" s="7"/>
      <c r="AV50" s="7"/>
      <c r="AW50" s="7"/>
      <c r="AX50" s="7"/>
      <c r="AY50" s="7"/>
      <c r="AZ50" s="7"/>
    </row>
    <row r="51" spans="1:52" ht="63" customHeight="1">
      <c r="A51" s="20" t="s">
        <v>318</v>
      </c>
      <c r="B51" s="7">
        <v>1</v>
      </c>
      <c r="C51" s="7" t="s">
        <v>275</v>
      </c>
      <c r="D51" s="7" t="s">
        <v>233</v>
      </c>
      <c r="E51" s="7" t="s">
        <v>43</v>
      </c>
      <c r="F51" s="7" t="s">
        <v>319</v>
      </c>
      <c r="G51" s="7">
        <v>2014</v>
      </c>
      <c r="H51" s="7"/>
      <c r="I51" s="14" t="str">
        <f>HYPERLINK("mailto:general.enquiries@cma.gov.uk","general.enquiries@cma.gov.uk")</f>
        <v>general.enquiries@cma.gov.uk</v>
      </c>
      <c r="J51" s="14" t="str">
        <f>HYPERLINK("http://www.gov.uk/cma","http://www.gov.uk/cma")</f>
        <v>http://www.gov.uk/cma</v>
      </c>
      <c r="K51" s="7" t="s">
        <v>320</v>
      </c>
      <c r="L51" s="7" t="s">
        <v>321</v>
      </c>
      <c r="M51" s="7" t="s">
        <v>42</v>
      </c>
      <c r="N51" s="15" t="s">
        <v>43</v>
      </c>
      <c r="O51" s="16" t="s">
        <v>322</v>
      </c>
      <c r="P51" s="15" t="s">
        <v>52</v>
      </c>
      <c r="Q51" s="15" t="s">
        <v>323</v>
      </c>
      <c r="R51" s="7" t="s">
        <v>37</v>
      </c>
      <c r="S51" s="7" t="s">
        <v>43</v>
      </c>
      <c r="T51" s="7" t="s">
        <v>43</v>
      </c>
      <c r="U51" s="7" t="s">
        <v>54</v>
      </c>
      <c r="V51" s="7">
        <v>2016</v>
      </c>
      <c r="W51" s="7">
        <v>739.34</v>
      </c>
      <c r="X51" s="18">
        <v>0</v>
      </c>
      <c r="Y51" s="18">
        <v>6000</v>
      </c>
      <c r="Z51" s="18">
        <f t="shared" si="0"/>
        <v>6000</v>
      </c>
      <c r="AA51" s="18">
        <v>99469</v>
      </c>
      <c r="AB51" s="18">
        <v>17300</v>
      </c>
      <c r="AC51" s="18">
        <v>10000</v>
      </c>
      <c r="AD51" s="7"/>
      <c r="AE51" s="7"/>
      <c r="AF51" s="7"/>
      <c r="AG51" s="7"/>
      <c r="AH51" s="7"/>
      <c r="AI51" s="7"/>
      <c r="AJ51" s="7"/>
      <c r="AK51" s="7"/>
      <c r="AL51" s="7"/>
      <c r="AM51" s="7"/>
      <c r="AN51" s="7"/>
      <c r="AO51" s="7"/>
      <c r="AP51" s="7"/>
      <c r="AQ51" s="7"/>
      <c r="AR51" s="7"/>
      <c r="AS51" s="7"/>
      <c r="AT51" s="7"/>
      <c r="AU51" s="7"/>
      <c r="AV51" s="7"/>
      <c r="AW51" s="7"/>
      <c r="AX51" s="7"/>
      <c r="AY51" s="7"/>
      <c r="AZ51" s="7"/>
    </row>
    <row r="52" spans="1:52" ht="63" customHeight="1">
      <c r="A52" s="20" t="s">
        <v>324</v>
      </c>
      <c r="B52" s="7">
        <v>1</v>
      </c>
      <c r="C52" s="7" t="s">
        <v>94</v>
      </c>
      <c r="D52" s="7" t="s">
        <v>95</v>
      </c>
      <c r="E52" s="7" t="s">
        <v>63</v>
      </c>
      <c r="F52" s="7" t="s">
        <v>325</v>
      </c>
      <c r="G52" s="7">
        <v>2003</v>
      </c>
      <c r="H52" s="7"/>
      <c r="I52" s="14" t="str">
        <f t="shared" ref="I52:I53" si="1">HYPERLINK("mailto:info@catribunal.org.uk","info@catribunal.org.uk")</f>
        <v>info@catribunal.org.uk</v>
      </c>
      <c r="J52" s="14" t="str">
        <f t="shared" ref="J52:J53" si="2">HYPERLINK("http://www.catribunal.org.uk/","http://www.catribunal.org.uk/")</f>
        <v>http://www.catribunal.org.uk/</v>
      </c>
      <c r="K52" s="7" t="s">
        <v>97</v>
      </c>
      <c r="L52" s="13" t="s">
        <v>326</v>
      </c>
      <c r="M52" s="7" t="s">
        <v>42</v>
      </c>
      <c r="N52" s="15" t="s">
        <v>56</v>
      </c>
      <c r="O52" s="16" t="s">
        <v>327</v>
      </c>
      <c r="P52" s="15" t="s">
        <v>52</v>
      </c>
      <c r="Q52" s="17" t="s">
        <v>328</v>
      </c>
      <c r="R52" s="7" t="s">
        <v>56</v>
      </c>
      <c r="S52" s="7" t="s">
        <v>56</v>
      </c>
      <c r="T52" s="7" t="s">
        <v>56</v>
      </c>
      <c r="U52" s="7" t="s">
        <v>46</v>
      </c>
      <c r="V52" s="7">
        <v>2014</v>
      </c>
      <c r="W52" s="7">
        <v>0</v>
      </c>
      <c r="X52" s="18">
        <v>670</v>
      </c>
      <c r="Y52" s="18">
        <v>1.5</v>
      </c>
      <c r="Z52" s="18">
        <v>672</v>
      </c>
      <c r="AA52" s="18">
        <v>672</v>
      </c>
      <c r="AB52" s="18">
        <v>0</v>
      </c>
      <c r="AC52" s="18">
        <v>29</v>
      </c>
      <c r="AD52" s="7" t="s">
        <v>185</v>
      </c>
      <c r="AE52" s="7"/>
      <c r="AF52" s="7"/>
      <c r="AG52" s="7"/>
      <c r="AH52" s="7"/>
      <c r="AI52" s="7"/>
      <c r="AJ52" s="7"/>
      <c r="AK52" s="7"/>
      <c r="AL52" s="7"/>
      <c r="AM52" s="7"/>
      <c r="AN52" s="7"/>
      <c r="AO52" s="7"/>
      <c r="AP52" s="7"/>
      <c r="AQ52" s="7"/>
      <c r="AR52" s="7"/>
      <c r="AS52" s="7"/>
      <c r="AT52" s="7"/>
      <c r="AU52" s="7"/>
      <c r="AV52" s="7"/>
      <c r="AW52" s="7"/>
      <c r="AX52" s="7"/>
      <c r="AY52" s="7"/>
      <c r="AZ52" s="7"/>
    </row>
    <row r="53" spans="1:52" ht="63" customHeight="1">
      <c r="A53" s="20" t="s">
        <v>329</v>
      </c>
      <c r="B53" s="7">
        <v>1</v>
      </c>
      <c r="C53" s="7" t="s">
        <v>94</v>
      </c>
      <c r="D53" s="7" t="s">
        <v>95</v>
      </c>
      <c r="E53" s="7" t="s">
        <v>63</v>
      </c>
      <c r="F53" s="7" t="s">
        <v>330</v>
      </c>
      <c r="G53" s="7">
        <v>2003</v>
      </c>
      <c r="H53" s="7"/>
      <c r="I53" s="14" t="str">
        <f t="shared" si="1"/>
        <v>info@catribunal.org.uk</v>
      </c>
      <c r="J53" s="14" t="str">
        <f t="shared" si="2"/>
        <v>http://www.catribunal.org.uk/</v>
      </c>
      <c r="K53" s="7" t="s">
        <v>97</v>
      </c>
      <c r="L53" s="7" t="s">
        <v>331</v>
      </c>
      <c r="M53" s="7" t="s">
        <v>42</v>
      </c>
      <c r="N53" s="15" t="s">
        <v>56</v>
      </c>
      <c r="O53" s="16">
        <v>4200</v>
      </c>
      <c r="P53" s="15" t="s">
        <v>44</v>
      </c>
      <c r="Q53" s="15" t="s">
        <v>332</v>
      </c>
      <c r="R53" s="7" t="s">
        <v>63</v>
      </c>
      <c r="S53" s="7" t="s">
        <v>63</v>
      </c>
      <c r="T53" s="7" t="s">
        <v>56</v>
      </c>
      <c r="U53" s="7" t="s">
        <v>46</v>
      </c>
      <c r="V53" s="7">
        <v>2014</v>
      </c>
      <c r="W53" s="7">
        <v>18</v>
      </c>
      <c r="X53" s="18">
        <v>4496</v>
      </c>
      <c r="Y53" s="18">
        <v>0</v>
      </c>
      <c r="Z53" s="18">
        <v>4496</v>
      </c>
      <c r="AA53" s="18">
        <v>4192</v>
      </c>
      <c r="AB53" s="18">
        <v>42</v>
      </c>
      <c r="AC53" s="18">
        <v>0</v>
      </c>
      <c r="AD53" s="7" t="s">
        <v>185</v>
      </c>
      <c r="AE53" s="7"/>
      <c r="AF53" s="7"/>
      <c r="AG53" s="7"/>
      <c r="AH53" s="7"/>
      <c r="AI53" s="7"/>
      <c r="AJ53" s="7"/>
      <c r="AK53" s="7"/>
      <c r="AL53" s="7"/>
      <c r="AM53" s="7"/>
      <c r="AN53" s="7"/>
      <c r="AO53" s="7"/>
      <c r="AP53" s="7"/>
      <c r="AQ53" s="7"/>
      <c r="AR53" s="7"/>
      <c r="AS53" s="7"/>
      <c r="AT53" s="7"/>
      <c r="AU53" s="7"/>
      <c r="AV53" s="7"/>
      <c r="AW53" s="7"/>
      <c r="AX53" s="7"/>
      <c r="AY53" s="7"/>
      <c r="AZ53" s="7"/>
    </row>
    <row r="54" spans="1:52" ht="63" customHeight="1">
      <c r="A54" s="20" t="s">
        <v>333</v>
      </c>
      <c r="B54" s="7">
        <v>1</v>
      </c>
      <c r="C54" s="7" t="s">
        <v>334</v>
      </c>
      <c r="D54" s="7" t="s">
        <v>95</v>
      </c>
      <c r="E54" s="7" t="s">
        <v>37</v>
      </c>
      <c r="F54" s="7" t="s">
        <v>335</v>
      </c>
      <c r="G54" s="7">
        <v>1964</v>
      </c>
      <c r="H54" s="7"/>
      <c r="I54" s="14" t="str">
        <f>HYPERLINK("mailto:welcome@citb.co.uk","welcome@citb.co.uk")</f>
        <v>welcome@citb.co.uk</v>
      </c>
      <c r="J54" s="14" t="str">
        <f>HYPERLINK("https://www.citb.co.uk/","www.citb.co.uk")</f>
        <v>www.citb.co.uk</v>
      </c>
      <c r="K54" s="7" t="s">
        <v>336</v>
      </c>
      <c r="L54" s="27" t="s">
        <v>337</v>
      </c>
      <c r="M54" s="13" t="s">
        <v>42</v>
      </c>
      <c r="N54" s="15" t="s">
        <v>56</v>
      </c>
      <c r="O54" s="16">
        <v>22500</v>
      </c>
      <c r="P54" s="15" t="s">
        <v>338</v>
      </c>
      <c r="Q54" s="7" t="s">
        <v>339</v>
      </c>
      <c r="R54" s="7" t="s">
        <v>63</v>
      </c>
      <c r="S54" s="7" t="s">
        <v>56</v>
      </c>
      <c r="T54" s="7" t="s">
        <v>56</v>
      </c>
      <c r="U54" s="7" t="s">
        <v>54</v>
      </c>
      <c r="V54" s="7">
        <v>2017</v>
      </c>
      <c r="W54" s="26">
        <v>1266</v>
      </c>
      <c r="X54" s="18">
        <v>50844</v>
      </c>
      <c r="Y54" s="18">
        <v>245639</v>
      </c>
      <c r="Z54" s="18">
        <v>296483</v>
      </c>
      <c r="AA54" s="18">
        <v>0</v>
      </c>
      <c r="AB54" s="18">
        <v>0</v>
      </c>
      <c r="AC54" s="18">
        <v>266300</v>
      </c>
      <c r="AD54" s="7"/>
      <c r="AE54" s="13" t="s">
        <v>56</v>
      </c>
      <c r="AF54" s="7"/>
      <c r="AG54" s="7"/>
      <c r="AH54" s="7"/>
      <c r="AI54" s="7"/>
      <c r="AJ54" s="7"/>
      <c r="AK54" s="7"/>
      <c r="AL54" s="7"/>
      <c r="AM54" s="7"/>
      <c r="AN54" s="7"/>
      <c r="AO54" s="7"/>
      <c r="AP54" s="7"/>
      <c r="AQ54" s="7"/>
      <c r="AR54" s="7"/>
      <c r="AS54" s="7"/>
      <c r="AT54" s="7"/>
      <c r="AU54" s="7"/>
      <c r="AV54" s="7"/>
      <c r="AW54" s="7"/>
      <c r="AX54" s="7"/>
      <c r="AY54" s="7"/>
      <c r="AZ54" s="7"/>
    </row>
    <row r="55" spans="1:52" ht="63" customHeight="1">
      <c r="A55" s="20" t="s">
        <v>340</v>
      </c>
      <c r="B55" s="7">
        <v>1</v>
      </c>
      <c r="C55" s="7" t="s">
        <v>79</v>
      </c>
      <c r="D55" s="7" t="s">
        <v>95</v>
      </c>
      <c r="E55" s="7" t="s">
        <v>37</v>
      </c>
      <c r="F55" s="7" t="s">
        <v>341</v>
      </c>
      <c r="G55" s="7">
        <v>2005</v>
      </c>
      <c r="H55" s="7"/>
      <c r="I55" s="14" t="str">
        <f>HYPERLINK("mailto:enquiries@ccwater.org.uk","enquiries@ccwater.org.uk")</f>
        <v>enquiries@ccwater.org.uk</v>
      </c>
      <c r="J55" s="14" t="str">
        <f>HYPERLINK("http://www.ccwater.org.uk/","http://www.ccwater.org.uk/")</f>
        <v>http://www.ccwater.org.uk/</v>
      </c>
      <c r="K55" s="7" t="s">
        <v>342</v>
      </c>
      <c r="L55" s="7" t="s">
        <v>343</v>
      </c>
      <c r="M55" s="13" t="s">
        <v>42</v>
      </c>
      <c r="N55" s="15" t="s">
        <v>43</v>
      </c>
      <c r="O55" s="16">
        <v>50000</v>
      </c>
      <c r="P55" s="15" t="s">
        <v>52</v>
      </c>
      <c r="Q55" s="17" t="s">
        <v>344</v>
      </c>
      <c r="R55" s="7" t="s">
        <v>43</v>
      </c>
      <c r="S55" s="7" t="s">
        <v>43</v>
      </c>
      <c r="T55" s="7" t="s">
        <v>43</v>
      </c>
      <c r="U55" s="7" t="s">
        <v>54</v>
      </c>
      <c r="V55" s="13">
        <v>2011</v>
      </c>
      <c r="W55" s="7">
        <v>72.73</v>
      </c>
      <c r="X55" s="18">
        <v>5527</v>
      </c>
      <c r="Y55" s="18">
        <v>8</v>
      </c>
      <c r="Z55" s="18">
        <v>5535</v>
      </c>
      <c r="AA55" s="18">
        <v>5472</v>
      </c>
      <c r="AB55" s="18">
        <v>373</v>
      </c>
      <c r="AC55" s="18">
        <v>0</v>
      </c>
      <c r="AD55" s="7"/>
      <c r="AE55" s="7"/>
      <c r="AF55" s="7"/>
      <c r="AG55" s="7"/>
      <c r="AH55" s="7"/>
      <c r="AI55" s="7"/>
      <c r="AJ55" s="7"/>
      <c r="AK55" s="7"/>
      <c r="AL55" s="7"/>
      <c r="AM55" s="7"/>
      <c r="AN55" s="7"/>
      <c r="AO55" s="7"/>
      <c r="AP55" s="7"/>
      <c r="AQ55" s="7"/>
      <c r="AR55" s="7"/>
      <c r="AS55" s="7"/>
      <c r="AT55" s="7"/>
      <c r="AU55" s="7"/>
      <c r="AV55" s="7"/>
      <c r="AW55" s="7"/>
      <c r="AX55" s="7"/>
      <c r="AY55" s="7"/>
      <c r="AZ55" s="7"/>
    </row>
    <row r="56" spans="1:52" ht="63" customHeight="1">
      <c r="A56" s="20" t="s">
        <v>345</v>
      </c>
      <c r="B56" s="7">
        <v>1</v>
      </c>
      <c r="C56" s="7" t="s">
        <v>94</v>
      </c>
      <c r="D56" s="7" t="s">
        <v>95</v>
      </c>
      <c r="E56" s="7" t="s">
        <v>56</v>
      </c>
      <c r="F56" s="7" t="s">
        <v>346</v>
      </c>
      <c r="G56" s="7">
        <v>1956</v>
      </c>
      <c r="H56" s="7"/>
      <c r="I56" s="14" t="str">
        <f>HYPERLINK("mailto:copyrighttribunal@ipo.gov.uk","copyrighttribunal@ipo.gov.uk")</f>
        <v>copyrighttribunal@ipo.gov.uk</v>
      </c>
      <c r="J56" s="14" t="str">
        <f>HYPERLINK("https://www.gov.uk/government/organisations/copyright-tribunal","https://www.gov.uk/government/organisations/copyright-tribunal")</f>
        <v>https://www.gov.uk/government/organisations/copyright-tribunal</v>
      </c>
      <c r="K56" s="7" t="s">
        <v>347</v>
      </c>
      <c r="L56" s="7" t="s">
        <v>348</v>
      </c>
      <c r="M56" s="13" t="s">
        <v>42</v>
      </c>
      <c r="N56" s="17" t="s">
        <v>37</v>
      </c>
      <c r="O56" s="16"/>
      <c r="P56" s="15" t="s">
        <v>52</v>
      </c>
      <c r="Q56" s="15" t="s">
        <v>349</v>
      </c>
      <c r="R56" s="7" t="s">
        <v>56</v>
      </c>
      <c r="S56" s="7" t="s">
        <v>43</v>
      </c>
      <c r="T56" s="7" t="s">
        <v>56</v>
      </c>
      <c r="U56" s="7" t="s">
        <v>46</v>
      </c>
      <c r="V56" s="7">
        <v>2008</v>
      </c>
      <c r="W56" s="7">
        <v>0</v>
      </c>
      <c r="X56" s="18">
        <v>80</v>
      </c>
      <c r="Y56" s="18">
        <v>0</v>
      </c>
      <c r="Z56" s="18">
        <v>80</v>
      </c>
      <c r="AA56" s="18">
        <v>80</v>
      </c>
      <c r="AB56" s="18">
        <v>0</v>
      </c>
      <c r="AC56" s="18">
        <v>0</v>
      </c>
      <c r="AD56" s="7"/>
      <c r="AE56" s="7"/>
      <c r="AF56" s="7"/>
      <c r="AG56" s="7"/>
      <c r="AH56" s="7"/>
      <c r="AI56" s="7"/>
      <c r="AJ56" s="7"/>
      <c r="AK56" s="7"/>
      <c r="AL56" s="7"/>
      <c r="AM56" s="7"/>
      <c r="AN56" s="7"/>
      <c r="AO56" s="7"/>
      <c r="AP56" s="7"/>
      <c r="AQ56" s="7"/>
      <c r="AR56" s="7"/>
      <c r="AS56" s="7"/>
      <c r="AT56" s="7"/>
      <c r="AU56" s="7"/>
      <c r="AV56" s="7"/>
      <c r="AW56" s="7"/>
      <c r="AX56" s="7"/>
      <c r="AY56" s="7"/>
      <c r="AZ56" s="7"/>
    </row>
    <row r="57" spans="1:52" ht="63" customHeight="1">
      <c r="A57" s="20" t="s">
        <v>350</v>
      </c>
      <c r="B57" s="7">
        <v>1</v>
      </c>
      <c r="C57" s="7" t="s">
        <v>89</v>
      </c>
      <c r="D57" s="7" t="s">
        <v>95</v>
      </c>
      <c r="E57" s="7" t="s">
        <v>37</v>
      </c>
      <c r="F57" s="7" t="s">
        <v>351</v>
      </c>
      <c r="G57" s="7">
        <v>1997</v>
      </c>
      <c r="H57" s="7"/>
      <c r="I57" s="14" t="str">
        <f>HYPERLINK("mailto:info@ccrc.x.gsi.gov.uk","info@ccrc.x.gsi.gov.uk")</f>
        <v>info@ccrc.x.gsi.gov.uk</v>
      </c>
      <c r="J57" s="14" t="str">
        <f>HYPERLINK("https://ccrc.gov.uk/","www.ccrc.gov.uk")</f>
        <v>www.ccrc.gov.uk</v>
      </c>
      <c r="K57" s="7" t="s">
        <v>352</v>
      </c>
      <c r="L57" s="7" t="s">
        <v>353</v>
      </c>
      <c r="M57" s="7" t="s">
        <v>42</v>
      </c>
      <c r="N57" s="15" t="s">
        <v>43</v>
      </c>
      <c r="O57" s="16">
        <v>500</v>
      </c>
      <c r="P57" s="15" t="s">
        <v>44</v>
      </c>
      <c r="Q57" s="15" t="s">
        <v>354</v>
      </c>
      <c r="R57" s="7" t="s">
        <v>37</v>
      </c>
      <c r="S57" s="7" t="s">
        <v>37</v>
      </c>
      <c r="T57" s="7" t="s">
        <v>43</v>
      </c>
      <c r="U57" s="7"/>
      <c r="V57" s="7">
        <v>2019</v>
      </c>
      <c r="W57" s="7">
        <v>76.150000000000006</v>
      </c>
      <c r="X57" s="18">
        <v>5485</v>
      </c>
      <c r="Y57" s="18">
        <v>0</v>
      </c>
      <c r="Z57" s="18">
        <v>5485</v>
      </c>
      <c r="AA57" s="18">
        <f>5082+258</f>
        <v>5340</v>
      </c>
      <c r="AB57" s="18">
        <v>125</v>
      </c>
      <c r="AC57" s="18">
        <v>258</v>
      </c>
      <c r="AD57" s="7"/>
      <c r="AE57" s="7"/>
      <c r="AF57" s="7"/>
      <c r="AG57" s="7"/>
      <c r="AH57" s="7"/>
      <c r="AI57" s="7"/>
      <c r="AJ57" s="7"/>
      <c r="AK57" s="7"/>
      <c r="AL57" s="7"/>
      <c r="AM57" s="7"/>
      <c r="AN57" s="7"/>
      <c r="AO57" s="7"/>
      <c r="AP57" s="7"/>
      <c r="AQ57" s="7"/>
      <c r="AR57" s="7"/>
      <c r="AS57" s="7"/>
      <c r="AT57" s="7"/>
      <c r="AU57" s="7"/>
      <c r="AV57" s="7"/>
      <c r="AW57" s="7"/>
      <c r="AX57" s="7"/>
      <c r="AY57" s="7"/>
      <c r="AZ57" s="7"/>
    </row>
    <row r="58" spans="1:52" ht="63" customHeight="1">
      <c r="A58" s="12" t="s">
        <v>355</v>
      </c>
      <c r="B58" s="7">
        <v>1</v>
      </c>
      <c r="C58" s="7" t="s">
        <v>89</v>
      </c>
      <c r="D58" s="7" t="s">
        <v>108</v>
      </c>
      <c r="E58" s="7" t="s">
        <v>37</v>
      </c>
      <c r="F58" s="7" t="s">
        <v>356</v>
      </c>
      <c r="G58" s="7">
        <v>1996</v>
      </c>
      <c r="H58" s="7"/>
      <c r="I58" s="14" t="s">
        <v>357</v>
      </c>
      <c r="J58" s="14" t="s">
        <v>358</v>
      </c>
      <c r="K58" s="7" t="s">
        <v>359</v>
      </c>
      <c r="L58" s="27" t="s">
        <v>46</v>
      </c>
      <c r="M58" s="27" t="s">
        <v>46</v>
      </c>
      <c r="N58" s="27" t="s">
        <v>46</v>
      </c>
      <c r="O58" s="16"/>
      <c r="P58" s="15"/>
      <c r="Q58" s="15"/>
      <c r="R58" s="7" t="s">
        <v>37</v>
      </c>
      <c r="S58" s="7" t="s">
        <v>43</v>
      </c>
      <c r="T58" s="7" t="s">
        <v>43</v>
      </c>
      <c r="U58" s="7" t="s">
        <v>54</v>
      </c>
      <c r="V58" s="7">
        <v>2013</v>
      </c>
      <c r="W58" s="7">
        <v>274</v>
      </c>
      <c r="X58" s="18">
        <v>144000</v>
      </c>
      <c r="Y58" s="18">
        <v>21295</v>
      </c>
      <c r="Z58" s="18">
        <v>165295</v>
      </c>
      <c r="AA58" s="18">
        <v>178478</v>
      </c>
      <c r="AB58" s="18">
        <v>572</v>
      </c>
      <c r="AC58" s="18">
        <v>14915</v>
      </c>
      <c r="AD58" s="7"/>
      <c r="AE58" s="7"/>
      <c r="AF58" s="7"/>
      <c r="AG58" s="7"/>
      <c r="AH58" s="7"/>
      <c r="AI58" s="7"/>
      <c r="AJ58" s="7"/>
      <c r="AK58" s="7"/>
      <c r="AL58" s="7"/>
      <c r="AM58" s="7"/>
      <c r="AN58" s="7"/>
      <c r="AO58" s="7"/>
      <c r="AP58" s="7"/>
      <c r="AQ58" s="7"/>
      <c r="AR58" s="7"/>
      <c r="AS58" s="7"/>
      <c r="AT58" s="7"/>
      <c r="AU58" s="7"/>
      <c r="AV58" s="7"/>
      <c r="AW58" s="7"/>
      <c r="AX58" s="7"/>
      <c r="AY58" s="7"/>
      <c r="AZ58" s="7"/>
    </row>
    <row r="59" spans="1:52" ht="63" customHeight="1">
      <c r="A59" s="20" t="s">
        <v>360</v>
      </c>
      <c r="B59" s="7">
        <v>1</v>
      </c>
      <c r="C59" s="7" t="s">
        <v>89</v>
      </c>
      <c r="D59" s="7" t="s">
        <v>36</v>
      </c>
      <c r="E59" s="7" t="s">
        <v>37</v>
      </c>
      <c r="F59" s="7" t="s">
        <v>361</v>
      </c>
      <c r="G59" s="7">
        <v>2004</v>
      </c>
      <c r="H59" s="7"/>
      <c r="I59" s="14" t="str">
        <f>HYPERLINK("mailto:CriminalProcedureRuleEnquiries@justice.gsi.gov.uk","CriminalProcedureRuleEnquiries@justice.gsi.gov.uk")</f>
        <v>CriminalProcedureRuleEnquiries@justice.gsi.gov.uk</v>
      </c>
      <c r="J59" s="14" t="str">
        <f>HYPERLINK("https://www.gov.uk/government/organisations/criminal-procedure-rule-committee","https://www.gov.uk/government/organisations/criminal-procedure-rule-committee")</f>
        <v>https://www.gov.uk/government/organisations/criminal-procedure-rule-committee</v>
      </c>
      <c r="K59" s="7" t="s">
        <v>362</v>
      </c>
      <c r="L59" s="27" t="s">
        <v>363</v>
      </c>
      <c r="M59" s="27" t="s">
        <v>246</v>
      </c>
      <c r="N59" s="37" t="s">
        <v>37</v>
      </c>
      <c r="O59" s="16"/>
      <c r="P59" s="15"/>
      <c r="Q59" s="15"/>
      <c r="R59" s="7" t="s">
        <v>43</v>
      </c>
      <c r="S59" s="7" t="s">
        <v>37</v>
      </c>
      <c r="T59" s="7" t="s">
        <v>37</v>
      </c>
      <c r="U59" s="7" t="s">
        <v>46</v>
      </c>
      <c r="V59" s="7"/>
      <c r="W59" s="7">
        <v>0</v>
      </c>
      <c r="X59" s="18">
        <v>0</v>
      </c>
      <c r="Y59" s="18">
        <v>0</v>
      </c>
      <c r="Z59" s="18">
        <v>0</v>
      </c>
      <c r="AA59" s="18">
        <v>0</v>
      </c>
      <c r="AB59" s="18">
        <v>0</v>
      </c>
      <c r="AC59" s="18">
        <v>0</v>
      </c>
      <c r="AD59" s="7"/>
      <c r="AE59" s="7"/>
      <c r="AF59" s="7"/>
      <c r="AG59" s="7"/>
      <c r="AH59" s="7"/>
      <c r="AI59" s="7"/>
      <c r="AJ59" s="7"/>
      <c r="AK59" s="7"/>
      <c r="AL59" s="7"/>
      <c r="AM59" s="7"/>
      <c r="AN59" s="7"/>
      <c r="AO59" s="7"/>
      <c r="AP59" s="7"/>
      <c r="AQ59" s="7"/>
      <c r="AR59" s="7"/>
      <c r="AS59" s="7"/>
      <c r="AT59" s="7"/>
      <c r="AU59" s="7"/>
      <c r="AV59" s="7"/>
      <c r="AW59" s="7"/>
      <c r="AX59" s="7"/>
      <c r="AY59" s="7"/>
      <c r="AZ59" s="7"/>
    </row>
    <row r="60" spans="1:52" ht="63" customHeight="1">
      <c r="A60" s="20" t="s">
        <v>364</v>
      </c>
      <c r="B60" s="7">
        <v>1</v>
      </c>
      <c r="C60" s="7" t="s">
        <v>48</v>
      </c>
      <c r="D60" s="7" t="s">
        <v>108</v>
      </c>
      <c r="E60" s="7" t="s">
        <v>37</v>
      </c>
      <c r="F60" s="7" t="s">
        <v>365</v>
      </c>
      <c r="G60" s="7">
        <v>1991</v>
      </c>
      <c r="H60" s="7"/>
      <c r="I60" s="14" t="str">
        <f>HYPERLINK("mailto:info@crowncommercial.gov.uk","info@crowncommercial.gov.uk")</f>
        <v>info@crowncommercial.gov.uk</v>
      </c>
      <c r="J60" s="14" t="str">
        <f>HYPERLINK("https://www.gov.uk/government/organisations/crown-commercial-service","https://www.gov.uk/government/organisations/crown-commercial-service")</f>
        <v>https://www.gov.uk/government/organisations/crown-commercial-service</v>
      </c>
      <c r="K60" s="7" t="s">
        <v>366</v>
      </c>
      <c r="L60" s="7" t="s">
        <v>367</v>
      </c>
      <c r="M60" s="7" t="s">
        <v>42</v>
      </c>
      <c r="N60" s="15" t="s">
        <v>43</v>
      </c>
      <c r="O60" s="16">
        <v>20000</v>
      </c>
      <c r="P60" s="15" t="s">
        <v>52</v>
      </c>
      <c r="Q60" s="22" t="s">
        <v>368</v>
      </c>
      <c r="R60" s="7" t="s">
        <v>37</v>
      </c>
      <c r="S60" s="7" t="s">
        <v>37</v>
      </c>
      <c r="T60" s="7" t="s">
        <v>43</v>
      </c>
      <c r="U60" s="7" t="s">
        <v>54</v>
      </c>
      <c r="V60" s="7">
        <v>2013</v>
      </c>
      <c r="W60" s="7">
        <v>688</v>
      </c>
      <c r="X60" s="18">
        <v>4830</v>
      </c>
      <c r="Y60" s="18">
        <v>91762</v>
      </c>
      <c r="Z60" s="18">
        <v>96592</v>
      </c>
      <c r="AA60" s="18">
        <v>70012</v>
      </c>
      <c r="AB60" s="18">
        <v>0</v>
      </c>
      <c r="AC60" s="18">
        <v>0</v>
      </c>
      <c r="AD60" s="7" t="s">
        <v>369</v>
      </c>
      <c r="AE60" s="7"/>
      <c r="AF60" s="7"/>
      <c r="AG60" s="7"/>
      <c r="AH60" s="7"/>
      <c r="AI60" s="7"/>
      <c r="AJ60" s="7"/>
      <c r="AK60" s="7"/>
      <c r="AL60" s="7"/>
      <c r="AM60" s="7"/>
      <c r="AN60" s="7"/>
      <c r="AO60" s="7"/>
      <c r="AP60" s="7"/>
      <c r="AQ60" s="7"/>
      <c r="AR60" s="7"/>
      <c r="AS60" s="7"/>
      <c r="AT60" s="7"/>
      <c r="AU60" s="7"/>
      <c r="AV60" s="7"/>
      <c r="AW60" s="7"/>
      <c r="AX60" s="7"/>
      <c r="AY60" s="7"/>
      <c r="AZ60" s="7"/>
    </row>
    <row r="61" spans="1:52" ht="63" customHeight="1">
      <c r="A61" s="20" t="s">
        <v>370</v>
      </c>
      <c r="B61" s="7">
        <v>1</v>
      </c>
      <c r="C61" s="7" t="s">
        <v>89</v>
      </c>
      <c r="D61" s="7" t="s">
        <v>233</v>
      </c>
      <c r="E61" s="7" t="s">
        <v>37</v>
      </c>
      <c r="F61" s="7" t="s">
        <v>371</v>
      </c>
      <c r="G61" s="7">
        <v>1985</v>
      </c>
      <c r="H61" s="7"/>
      <c r="I61" s="14" t="str">
        <f>HYPERLINK("mailto:enquiries@cps.gov.uk","enquiries@cps.gov.uk")</f>
        <v>enquiries@cps.gov.uk</v>
      </c>
      <c r="J61" s="14" t="str">
        <f>HYPERLINK("https://www.cps.gov.uk/","www.cps.gov.uk")</f>
        <v>www.cps.gov.uk</v>
      </c>
      <c r="K61" s="7" t="s">
        <v>372</v>
      </c>
      <c r="L61" s="7" t="s">
        <v>373</v>
      </c>
      <c r="M61" s="7" t="s">
        <v>42</v>
      </c>
      <c r="N61" s="15" t="s">
        <v>43</v>
      </c>
      <c r="O61" s="16">
        <v>87865</v>
      </c>
      <c r="P61" s="15" t="s">
        <v>52</v>
      </c>
      <c r="Q61" s="15" t="s">
        <v>374</v>
      </c>
      <c r="R61" s="7" t="s">
        <v>37</v>
      </c>
      <c r="S61" s="7" t="s">
        <v>43</v>
      </c>
      <c r="T61" s="7" t="s">
        <v>43</v>
      </c>
      <c r="U61" s="7" t="s">
        <v>54</v>
      </c>
      <c r="V61" s="7">
        <v>2014</v>
      </c>
      <c r="W61" s="7">
        <v>5552</v>
      </c>
      <c r="X61" s="18">
        <v>524555</v>
      </c>
      <c r="Y61" s="18">
        <v>58381</v>
      </c>
      <c r="Z61" s="18">
        <v>582936</v>
      </c>
      <c r="AA61" s="18">
        <v>554124</v>
      </c>
      <c r="AB61" s="18">
        <v>8547</v>
      </c>
      <c r="AC61" s="18">
        <v>2928</v>
      </c>
      <c r="AD61" s="7"/>
      <c r="AE61" s="7"/>
      <c r="AF61" s="7"/>
      <c r="AG61" s="7"/>
      <c r="AH61" s="7"/>
      <c r="AI61" s="7"/>
      <c r="AJ61" s="7"/>
      <c r="AK61" s="7"/>
      <c r="AL61" s="7"/>
      <c r="AM61" s="7"/>
      <c r="AN61" s="7"/>
      <c r="AO61" s="7"/>
      <c r="AP61" s="7"/>
      <c r="AQ61" s="7"/>
      <c r="AR61" s="7"/>
      <c r="AS61" s="7"/>
      <c r="AT61" s="7"/>
      <c r="AU61" s="7"/>
      <c r="AV61" s="7"/>
      <c r="AW61" s="7"/>
      <c r="AX61" s="7"/>
      <c r="AY61" s="7"/>
      <c r="AZ61" s="7"/>
    </row>
    <row r="62" spans="1:52" ht="63" customHeight="1">
      <c r="A62" s="20" t="s">
        <v>375</v>
      </c>
      <c r="B62" s="7">
        <v>1</v>
      </c>
      <c r="C62" s="7" t="s">
        <v>65</v>
      </c>
      <c r="D62" s="7" t="s">
        <v>108</v>
      </c>
      <c r="E62" s="7" t="s">
        <v>37</v>
      </c>
      <c r="F62" s="7" t="s">
        <v>376</v>
      </c>
      <c r="G62" s="7">
        <v>2015</v>
      </c>
      <c r="H62" s="7"/>
      <c r="I62" s="14" t="str">
        <f>HYPERLINK("mailto:Jason.Leeks@deca.mod.uk","Jason.Leeks@deca.mod.uk")</f>
        <v>Jason.Leeks@deca.mod.uk</v>
      </c>
      <c r="J62" s="14" t="str">
        <f>HYPERLINK("https://www.gov.uk/government/organisations/defence-electronics-and-components-agency","https://www.gov.uk/government/organisations/defence-electronics-and-components-agency")</f>
        <v>https://www.gov.uk/government/organisations/defence-electronics-and-components-agency</v>
      </c>
      <c r="K62" s="7" t="s">
        <v>377</v>
      </c>
      <c r="L62" s="7" t="s">
        <v>378</v>
      </c>
      <c r="M62" s="7" t="s">
        <v>42</v>
      </c>
      <c r="N62" s="15" t="s">
        <v>43</v>
      </c>
      <c r="O62" s="16">
        <v>22500</v>
      </c>
      <c r="P62" s="15"/>
      <c r="Q62" s="17" t="s">
        <v>379</v>
      </c>
      <c r="R62" s="7" t="s">
        <v>37</v>
      </c>
      <c r="S62" s="7" t="s">
        <v>37</v>
      </c>
      <c r="T62" s="7" t="s">
        <v>43</v>
      </c>
      <c r="U62" s="7" t="s">
        <v>54</v>
      </c>
      <c r="V62" s="7">
        <v>2019</v>
      </c>
      <c r="W62" s="7">
        <v>404.86</v>
      </c>
      <c r="X62" s="18">
        <v>0</v>
      </c>
      <c r="Y62" s="18">
        <v>27050</v>
      </c>
      <c r="Z62" s="18">
        <f>IF(SUM(Y62)&lt;&gt;0,SUM(Y62),"")</f>
        <v>27050</v>
      </c>
      <c r="AA62" s="18">
        <v>24694</v>
      </c>
      <c r="AB62" s="18">
        <v>0</v>
      </c>
      <c r="AC62" s="18">
        <v>0</v>
      </c>
      <c r="AD62" s="7" t="s">
        <v>380</v>
      </c>
      <c r="AE62" s="7"/>
      <c r="AG62" s="7"/>
      <c r="AH62" s="7"/>
      <c r="AI62" s="7"/>
      <c r="AJ62" s="7"/>
      <c r="AK62" s="7"/>
      <c r="AL62" s="7"/>
      <c r="AM62" s="7"/>
      <c r="AN62" s="7"/>
      <c r="AO62" s="7"/>
      <c r="AP62" s="7"/>
      <c r="AQ62" s="7"/>
      <c r="AR62" s="7"/>
      <c r="AS62" s="7"/>
      <c r="AT62" s="7"/>
      <c r="AU62" s="7"/>
      <c r="AV62" s="7"/>
      <c r="AW62" s="7"/>
      <c r="AX62" s="7"/>
      <c r="AY62" s="7"/>
      <c r="AZ62" s="7"/>
    </row>
    <row r="63" spans="1:52" ht="63" customHeight="1">
      <c r="A63" s="20" t="s">
        <v>381</v>
      </c>
      <c r="B63" s="7">
        <v>1</v>
      </c>
      <c r="C63" s="7" t="s">
        <v>65</v>
      </c>
      <c r="D63" s="7" t="s">
        <v>36</v>
      </c>
      <c r="E63" s="7" t="s">
        <v>37</v>
      </c>
      <c r="F63" s="7" t="s">
        <v>382</v>
      </c>
      <c r="G63" s="7">
        <v>1999</v>
      </c>
      <c r="H63" s="7"/>
      <c r="I63" s="14" t="str">
        <f>HYPERLINK("mailto:louise.austin107@mod.gov.uk","louise.austin107@mod.gov.uk")</f>
        <v>louise.austin107@mod.gov.uk</v>
      </c>
      <c r="J63" s="14" t="s">
        <v>383</v>
      </c>
      <c r="K63" s="7" t="s">
        <v>384</v>
      </c>
      <c r="L63" s="38" t="s">
        <v>385</v>
      </c>
      <c r="M63" s="13" t="s">
        <v>42</v>
      </c>
      <c r="N63" s="15" t="s">
        <v>43</v>
      </c>
      <c r="O63" s="16">
        <v>465</v>
      </c>
      <c r="P63" s="15" t="s">
        <v>44</v>
      </c>
      <c r="Q63" s="17" t="s">
        <v>386</v>
      </c>
      <c r="R63" s="7" t="s">
        <v>37</v>
      </c>
      <c r="S63" s="7" t="s">
        <v>37</v>
      </c>
      <c r="T63" s="7" t="s">
        <v>43</v>
      </c>
      <c r="U63" s="7"/>
      <c r="V63" s="13">
        <v>2014</v>
      </c>
      <c r="W63" s="7">
        <v>1</v>
      </c>
      <c r="X63" s="18">
        <v>95</v>
      </c>
      <c r="Y63" s="18">
        <v>0</v>
      </c>
      <c r="Z63" s="18">
        <v>95</v>
      </c>
      <c r="AA63" s="18">
        <v>95</v>
      </c>
      <c r="AB63" s="18">
        <v>0</v>
      </c>
      <c r="AC63" s="18">
        <v>0</v>
      </c>
      <c r="AD63" s="7"/>
      <c r="AE63" s="13" t="s">
        <v>56</v>
      </c>
      <c r="AF63" s="7"/>
      <c r="AG63" s="7"/>
      <c r="AH63" s="7"/>
      <c r="AI63" s="7"/>
      <c r="AJ63" s="7"/>
      <c r="AK63" s="7"/>
      <c r="AL63" s="7"/>
      <c r="AM63" s="7"/>
      <c r="AN63" s="7"/>
      <c r="AO63" s="7"/>
      <c r="AP63" s="7"/>
      <c r="AQ63" s="7"/>
      <c r="AR63" s="7"/>
      <c r="AS63" s="7"/>
      <c r="AT63" s="7"/>
      <c r="AU63" s="7"/>
      <c r="AV63" s="7"/>
      <c r="AW63" s="7"/>
      <c r="AX63" s="7"/>
      <c r="AY63" s="7"/>
      <c r="AZ63" s="7"/>
    </row>
    <row r="64" spans="1:52" ht="63" customHeight="1">
      <c r="A64" s="20" t="s">
        <v>387</v>
      </c>
      <c r="B64" s="7">
        <v>1</v>
      </c>
      <c r="C64" s="7" t="s">
        <v>65</v>
      </c>
      <c r="D64" s="7" t="s">
        <v>108</v>
      </c>
      <c r="E64" s="7" t="s">
        <v>37</v>
      </c>
      <c r="F64" s="7" t="s">
        <v>388</v>
      </c>
      <c r="G64" s="13">
        <v>2001</v>
      </c>
      <c r="H64" s="7"/>
      <c r="I64" s="14" t="str">
        <f>HYPERLINK("mailto:centralenquiries@dstl.gov.uk","centralenquiries@dstl.gov.uk")</f>
        <v>centralenquiries@dstl.gov.uk</v>
      </c>
      <c r="J64" s="14" t="str">
        <f>HYPERLINK("https://www.gov.uk/dstl","https://www.gov.uk/dstl")</f>
        <v>https://www.gov.uk/dstl</v>
      </c>
      <c r="K64" s="13" t="s">
        <v>389</v>
      </c>
      <c r="L64" s="7" t="s">
        <v>390</v>
      </c>
      <c r="M64" s="7" t="s">
        <v>42</v>
      </c>
      <c r="N64" s="15" t="s">
        <v>43</v>
      </c>
      <c r="O64" s="16">
        <v>28000</v>
      </c>
      <c r="P64" s="15" t="s">
        <v>52</v>
      </c>
      <c r="Q64" s="17" t="s">
        <v>391</v>
      </c>
      <c r="R64" s="7" t="s">
        <v>37</v>
      </c>
      <c r="S64" s="7" t="s">
        <v>37</v>
      </c>
      <c r="T64" s="7" t="s">
        <v>43</v>
      </c>
      <c r="U64" s="7" t="s">
        <v>54</v>
      </c>
      <c r="V64" s="7">
        <v>2019</v>
      </c>
      <c r="W64" s="39">
        <v>3820</v>
      </c>
      <c r="X64" s="18">
        <v>0</v>
      </c>
      <c r="Y64" s="18">
        <v>630381</v>
      </c>
      <c r="Z64" s="18">
        <f>IF(SUM(Y64)&lt;&gt;0,SUM(Y64),"")</f>
        <v>630381</v>
      </c>
      <c r="AA64" s="18">
        <v>637257</v>
      </c>
      <c r="AB64" s="18">
        <v>62493</v>
      </c>
      <c r="AC64" s="18">
        <v>0</v>
      </c>
      <c r="AD64" s="7"/>
      <c r="AE64" s="7"/>
      <c r="AF64" s="7"/>
      <c r="AG64" s="7"/>
      <c r="AH64" s="7"/>
      <c r="AI64" s="7"/>
      <c r="AJ64" s="7"/>
      <c r="AK64" s="7"/>
      <c r="AL64" s="7"/>
      <c r="AM64" s="7"/>
      <c r="AN64" s="7"/>
      <c r="AO64" s="7"/>
      <c r="AP64" s="7"/>
      <c r="AQ64" s="7"/>
      <c r="AR64" s="7"/>
      <c r="AS64" s="7"/>
      <c r="AT64" s="7"/>
      <c r="AU64" s="7"/>
      <c r="AV64" s="7"/>
      <c r="AW64" s="7"/>
      <c r="AX64" s="7"/>
      <c r="AY64" s="7"/>
      <c r="AZ64" s="7"/>
    </row>
    <row r="65" spans="1:52" ht="63" customHeight="1">
      <c r="A65" s="20" t="s">
        <v>392</v>
      </c>
      <c r="B65" s="7">
        <v>1</v>
      </c>
      <c r="C65" s="7" t="s">
        <v>206</v>
      </c>
      <c r="D65" s="7" t="s">
        <v>95</v>
      </c>
      <c r="E65" s="7" t="s">
        <v>37</v>
      </c>
      <c r="F65" s="7" t="s">
        <v>393</v>
      </c>
      <c r="G65" s="7">
        <v>2009</v>
      </c>
      <c r="H65" s="7" t="s">
        <v>394</v>
      </c>
      <c r="I65" s="40" t="s">
        <v>395</v>
      </c>
      <c r="J65" s="14" t="s">
        <v>396</v>
      </c>
      <c r="K65" s="7" t="s">
        <v>208</v>
      </c>
      <c r="L65" s="27" t="s">
        <v>82</v>
      </c>
      <c r="M65" s="27" t="s">
        <v>42</v>
      </c>
      <c r="N65" s="17" t="s">
        <v>46</v>
      </c>
      <c r="O65" s="16"/>
      <c r="P65" s="15"/>
      <c r="Q65" s="15"/>
      <c r="R65" s="7"/>
      <c r="S65" s="7"/>
      <c r="T65" s="7"/>
      <c r="U65" s="7" t="s">
        <v>46</v>
      </c>
      <c r="V65" s="7">
        <v>2017</v>
      </c>
      <c r="W65" s="7">
        <v>0</v>
      </c>
      <c r="X65" s="18">
        <v>0</v>
      </c>
      <c r="Y65" s="18">
        <v>0</v>
      </c>
      <c r="Z65" s="18">
        <v>0</v>
      </c>
      <c r="AA65" s="18">
        <v>0</v>
      </c>
      <c r="AB65" s="18">
        <v>0</v>
      </c>
      <c r="AC65" s="18">
        <v>0</v>
      </c>
      <c r="AD65" s="7" t="s">
        <v>397</v>
      </c>
      <c r="AE65" s="7"/>
      <c r="AG65" s="7"/>
      <c r="AH65" s="7"/>
      <c r="AI65" s="7"/>
      <c r="AJ65" s="7"/>
      <c r="AK65" s="7"/>
      <c r="AL65" s="7"/>
      <c r="AM65" s="7"/>
      <c r="AN65" s="7"/>
      <c r="AO65" s="7"/>
      <c r="AP65" s="7"/>
      <c r="AQ65" s="7"/>
      <c r="AR65" s="7"/>
      <c r="AS65" s="7"/>
      <c r="AT65" s="7"/>
      <c r="AU65" s="7"/>
      <c r="AV65" s="7"/>
      <c r="AW65" s="7"/>
      <c r="AX65" s="7"/>
      <c r="AY65" s="7"/>
      <c r="AZ65" s="7"/>
    </row>
    <row r="66" spans="1:52" ht="63" customHeight="1">
      <c r="A66" s="20" t="s">
        <v>398</v>
      </c>
      <c r="B66" s="7">
        <v>1</v>
      </c>
      <c r="C66" s="7" t="s">
        <v>133</v>
      </c>
      <c r="D66" s="7" t="s">
        <v>95</v>
      </c>
      <c r="E66" s="7" t="s">
        <v>37</v>
      </c>
      <c r="F66" s="7" t="s">
        <v>399</v>
      </c>
      <c r="G66" s="7">
        <v>2012</v>
      </c>
      <c r="H66" s="7"/>
      <c r="I66" s="14" t="str">
        <f>HYPERLINK("mailto:customerservices@dbs.gov.uk","customerservices@dbs.gov.uk")</f>
        <v>customerservices@dbs.gov.uk</v>
      </c>
      <c r="J66" s="14" t="str">
        <f>HYPERLINK("https://www.gov.uk/government/organisations/disclosure-and-barring-service","https://www.gov.uk/government/organisations/disclosure-and-barring-service")</f>
        <v>https://www.gov.uk/government/organisations/disclosure-and-barring-service</v>
      </c>
      <c r="K66" s="7" t="s">
        <v>400</v>
      </c>
      <c r="L66" s="7" t="s">
        <v>401</v>
      </c>
      <c r="M66" s="7" t="s">
        <v>42</v>
      </c>
      <c r="N66" s="15" t="s">
        <v>43</v>
      </c>
      <c r="O66" s="16">
        <v>44000</v>
      </c>
      <c r="P66" s="15" t="s">
        <v>52</v>
      </c>
      <c r="Q66" s="17" t="s">
        <v>193</v>
      </c>
      <c r="R66" s="7" t="s">
        <v>37</v>
      </c>
      <c r="S66" s="7" t="s">
        <v>37</v>
      </c>
      <c r="T66" s="7" t="s">
        <v>43</v>
      </c>
      <c r="U66" s="7" t="s">
        <v>54</v>
      </c>
      <c r="V66" s="7">
        <v>2012</v>
      </c>
      <c r="W66" s="26">
        <v>1117</v>
      </c>
      <c r="X66" s="18">
        <v>0</v>
      </c>
      <c r="Y66" s="18">
        <v>195119</v>
      </c>
      <c r="Z66" s="18">
        <f>IF(SUM(Y66)&lt;&gt;0,SUM(Y66),"")</f>
        <v>195119</v>
      </c>
      <c r="AA66" s="18">
        <v>146108</v>
      </c>
      <c r="AB66" s="18">
        <v>762</v>
      </c>
      <c r="AC66" s="18">
        <v>744</v>
      </c>
      <c r="AD66" s="7" t="s">
        <v>402</v>
      </c>
      <c r="AE66" s="13" t="s">
        <v>56</v>
      </c>
      <c r="AF66" s="7"/>
      <c r="AG66" s="7"/>
      <c r="AH66" s="7"/>
      <c r="AI66" s="7"/>
      <c r="AJ66" s="7"/>
      <c r="AK66" s="7"/>
      <c r="AL66" s="7"/>
      <c r="AM66" s="7"/>
      <c r="AN66" s="7"/>
      <c r="AO66" s="7"/>
      <c r="AP66" s="7"/>
      <c r="AQ66" s="7"/>
      <c r="AR66" s="7"/>
      <c r="AS66" s="7"/>
      <c r="AT66" s="7"/>
      <c r="AU66" s="7"/>
      <c r="AV66" s="7"/>
      <c r="AW66" s="7"/>
      <c r="AX66" s="7"/>
      <c r="AY66" s="7"/>
      <c r="AZ66" s="7"/>
    </row>
    <row r="67" spans="1:52" ht="63" customHeight="1">
      <c r="A67" s="20" t="s">
        <v>403</v>
      </c>
      <c r="B67" s="7">
        <v>1</v>
      </c>
      <c r="C67" s="7" t="s">
        <v>206</v>
      </c>
      <c r="D67" s="7" t="s">
        <v>108</v>
      </c>
      <c r="E67" s="7" t="s">
        <v>37</v>
      </c>
      <c r="F67" s="7" t="s">
        <v>404</v>
      </c>
      <c r="G67" s="7">
        <v>1990</v>
      </c>
      <c r="H67" s="7"/>
      <c r="I67" s="14" t="str">
        <f>HYPERLINK("mailto:enquiries@dvla.gov.uk","enquiries@dvla.gov.uk")</f>
        <v>enquiries@dvla.gov.uk</v>
      </c>
      <c r="J67" s="14" t="str">
        <f>HYPERLINK("https://www.gov.uk/government/organisations/driver-and-vehicle-licensing-agency","www.gov.uk/dvla")</f>
        <v>www.gov.uk/dvla</v>
      </c>
      <c r="K67" s="7" t="s">
        <v>208</v>
      </c>
      <c r="L67" s="7" t="s">
        <v>316</v>
      </c>
      <c r="M67" s="7" t="s">
        <v>42</v>
      </c>
      <c r="N67" s="15" t="s">
        <v>43</v>
      </c>
      <c r="O67" s="16">
        <v>43176</v>
      </c>
      <c r="P67" s="15" t="s">
        <v>52</v>
      </c>
      <c r="Q67" s="15" t="s">
        <v>405</v>
      </c>
      <c r="R67" s="7" t="s">
        <v>37</v>
      </c>
      <c r="S67" s="7" t="s">
        <v>37</v>
      </c>
      <c r="T67" s="7" t="s">
        <v>43</v>
      </c>
      <c r="U67" s="7" t="s">
        <v>54</v>
      </c>
      <c r="V67" s="7">
        <v>2014</v>
      </c>
      <c r="W67" s="26">
        <v>5336</v>
      </c>
      <c r="X67" s="18">
        <v>78402</v>
      </c>
      <c r="Y67" s="18">
        <v>400267</v>
      </c>
      <c r="Z67" s="18">
        <v>478669</v>
      </c>
      <c r="AA67" s="18">
        <v>472051</v>
      </c>
      <c r="AB67" s="18">
        <v>14073</v>
      </c>
      <c r="AC67" s="18">
        <v>2867</v>
      </c>
      <c r="AD67" s="7"/>
      <c r="AE67" s="7"/>
      <c r="AF67" s="7"/>
      <c r="AG67" s="7"/>
      <c r="AH67" s="7"/>
      <c r="AI67" s="7"/>
      <c r="AJ67" s="7"/>
      <c r="AK67" s="7"/>
      <c r="AL67" s="7"/>
      <c r="AM67" s="7"/>
      <c r="AN67" s="7"/>
      <c r="AO67" s="7"/>
      <c r="AP67" s="7"/>
      <c r="AQ67" s="7"/>
      <c r="AR67" s="7"/>
      <c r="AS67" s="7"/>
      <c r="AT67" s="7"/>
      <c r="AU67" s="7"/>
      <c r="AV67" s="7"/>
      <c r="AW67" s="7"/>
      <c r="AX67" s="7"/>
      <c r="AY67" s="7"/>
      <c r="AZ67" s="7"/>
    </row>
    <row r="68" spans="1:52" ht="63" customHeight="1">
      <c r="A68" s="20" t="s">
        <v>406</v>
      </c>
      <c r="B68" s="7">
        <v>1</v>
      </c>
      <c r="C68" s="7" t="s">
        <v>206</v>
      </c>
      <c r="D68" s="7" t="s">
        <v>108</v>
      </c>
      <c r="E68" s="7" t="s">
        <v>37</v>
      </c>
      <c r="F68" s="7" t="s">
        <v>407</v>
      </c>
      <c r="G68" s="7">
        <v>2015</v>
      </c>
      <c r="H68" s="7"/>
      <c r="I68" s="14" t="str">
        <f>HYPERLINK("mailto:tom.middleton@vosa.gsi.gov.uk","tom.middleton@vosa.gsi.gov.uk")</f>
        <v>tom.middleton@vosa.gsi.gov.uk</v>
      </c>
      <c r="J68" s="14" t="str">
        <f>HYPERLINK("https://www.gov.uk/government/organisations/driver-and-vehicle-standards-agency","https://www.gov.uk/government/organisations/driver-and-vehicle-standards-agency")</f>
        <v>https://www.gov.uk/government/organisations/driver-and-vehicle-standards-agency</v>
      </c>
      <c r="K68" s="13" t="s">
        <v>408</v>
      </c>
      <c r="L68" s="7" t="s">
        <v>409</v>
      </c>
      <c r="M68" s="7" t="s">
        <v>42</v>
      </c>
      <c r="N68" s="15" t="s">
        <v>43</v>
      </c>
      <c r="O68" s="16">
        <v>30000</v>
      </c>
      <c r="P68" s="15" t="s">
        <v>52</v>
      </c>
      <c r="Q68" s="15" t="s">
        <v>210</v>
      </c>
      <c r="R68" s="7" t="s">
        <v>37</v>
      </c>
      <c r="S68" s="7" t="s">
        <v>37</v>
      </c>
      <c r="T68" s="7" t="s">
        <v>43</v>
      </c>
      <c r="U68" s="7" t="s">
        <v>54</v>
      </c>
      <c r="V68" s="7">
        <v>2014</v>
      </c>
      <c r="W68" s="26">
        <v>4593</v>
      </c>
      <c r="X68" s="18">
        <v>0</v>
      </c>
      <c r="Y68" s="18">
        <v>384406</v>
      </c>
      <c r="Z68" s="18">
        <f>IF(SUM(Y68)&lt;&gt;0,SUM(Y68),"")</f>
        <v>384406</v>
      </c>
      <c r="AA68" s="18">
        <v>0</v>
      </c>
      <c r="AB68" s="18">
        <v>0</v>
      </c>
      <c r="AC68" s="18">
        <v>362622</v>
      </c>
      <c r="AD68" s="7"/>
      <c r="AE68" s="7"/>
      <c r="AF68" s="7"/>
      <c r="AG68" s="7"/>
      <c r="AH68" s="7"/>
      <c r="AI68" s="7"/>
      <c r="AJ68" s="7"/>
      <c r="AK68" s="7"/>
      <c r="AL68" s="7"/>
      <c r="AM68" s="7"/>
      <c r="AN68" s="7"/>
      <c r="AO68" s="7"/>
      <c r="AP68" s="7"/>
      <c r="AQ68" s="7"/>
      <c r="AR68" s="7"/>
      <c r="AS68" s="7"/>
      <c r="AT68" s="7"/>
      <c r="AU68" s="7"/>
      <c r="AV68" s="7"/>
      <c r="AW68" s="7"/>
      <c r="AX68" s="7"/>
      <c r="AY68" s="7"/>
      <c r="AZ68" s="7"/>
    </row>
    <row r="69" spans="1:52" ht="63" customHeight="1">
      <c r="A69" s="20" t="s">
        <v>410</v>
      </c>
      <c r="B69" s="7">
        <v>1</v>
      </c>
      <c r="C69" s="7" t="s">
        <v>206</v>
      </c>
      <c r="D69" s="7" t="s">
        <v>95</v>
      </c>
      <c r="E69" s="7" t="s">
        <v>37</v>
      </c>
      <c r="F69" s="7" t="s">
        <v>411</v>
      </c>
      <c r="G69" s="7">
        <v>2017</v>
      </c>
      <c r="H69" s="7"/>
      <c r="I69" s="28" t="str">
        <f>HYPERLINK("mailto:contact@eastwestrail.co.uk","contact@eastwestrail.co.uk")</f>
        <v>contact@eastwestrail.co.uk</v>
      </c>
      <c r="J69" s="14" t="str">
        <f>HYPERLINK("https://eastwestrail.co.uk/","https://eastwestrail.co.uk/")</f>
        <v>https://eastwestrail.co.uk/</v>
      </c>
      <c r="K69" s="7" t="s">
        <v>412</v>
      </c>
      <c r="L69" s="27" t="s">
        <v>413</v>
      </c>
      <c r="M69" s="27" t="s">
        <v>42</v>
      </c>
      <c r="N69" s="15" t="s">
        <v>43</v>
      </c>
      <c r="O69" s="16">
        <v>100000</v>
      </c>
      <c r="P69" s="15" t="s">
        <v>52</v>
      </c>
      <c r="Q69" s="17" t="s">
        <v>414</v>
      </c>
      <c r="R69" s="7" t="s">
        <v>37</v>
      </c>
      <c r="S69" s="7" t="s">
        <v>37</v>
      </c>
      <c r="T69" s="7" t="s">
        <v>43</v>
      </c>
      <c r="U69" s="7"/>
      <c r="V69" s="7"/>
      <c r="W69" s="7"/>
      <c r="X69" s="18">
        <v>5035</v>
      </c>
      <c r="Y69" s="18">
        <v>0</v>
      </c>
      <c r="Z69" s="18">
        <v>5035</v>
      </c>
      <c r="AA69" s="18">
        <v>8155</v>
      </c>
      <c r="AB69" s="18">
        <v>100</v>
      </c>
      <c r="AC69" s="18">
        <v>0</v>
      </c>
      <c r="AD69" s="7"/>
      <c r="AE69" s="7"/>
      <c r="AF69" s="7"/>
      <c r="AG69" s="7"/>
      <c r="AH69" s="7"/>
      <c r="AI69" s="7"/>
      <c r="AJ69" s="7"/>
      <c r="AK69" s="7"/>
      <c r="AL69" s="7"/>
      <c r="AM69" s="7"/>
      <c r="AN69" s="7"/>
      <c r="AO69" s="7"/>
      <c r="AP69" s="7"/>
      <c r="AQ69" s="7"/>
      <c r="AR69" s="7"/>
      <c r="AS69" s="7"/>
      <c r="AT69" s="7"/>
      <c r="AU69" s="7"/>
      <c r="AV69" s="7"/>
      <c r="AW69" s="7"/>
      <c r="AX69" s="7"/>
      <c r="AY69" s="7"/>
      <c r="AZ69" s="7"/>
    </row>
    <row r="70" spans="1:52" ht="63" customHeight="1">
      <c r="A70" s="20" t="s">
        <v>415</v>
      </c>
      <c r="B70" s="7">
        <v>1</v>
      </c>
      <c r="C70" s="7" t="s">
        <v>212</v>
      </c>
      <c r="D70" s="7" t="s">
        <v>95</v>
      </c>
      <c r="E70" s="7" t="s">
        <v>43</v>
      </c>
      <c r="F70" s="7" t="s">
        <v>416</v>
      </c>
      <c r="G70" s="7">
        <v>2015</v>
      </c>
      <c r="H70" s="7"/>
      <c r="I70" s="14" t="str">
        <f>HYPERLINK("mailto:contactebbsfleetdc@ebbsfleet.org.uk","contactebbsfleetdc@ebbsfleet.org.uk")</f>
        <v>contactebbsfleetdc@ebbsfleet.org.uk</v>
      </c>
      <c r="J70" s="14" t="str">
        <f>HYPERLINK("https://ebbsfleetdc.org.uk/","ebbsfleetdc.org.uk")</f>
        <v>ebbsfleetdc.org.uk</v>
      </c>
      <c r="K70" s="7" t="s">
        <v>417</v>
      </c>
      <c r="L70" s="7" t="s">
        <v>418</v>
      </c>
      <c r="M70" s="7" t="s">
        <v>42</v>
      </c>
      <c r="N70" s="15" t="s">
        <v>43</v>
      </c>
      <c r="O70" s="16">
        <v>56000</v>
      </c>
      <c r="P70" s="15" t="s">
        <v>52</v>
      </c>
      <c r="Q70" s="17" t="s">
        <v>419</v>
      </c>
      <c r="R70" s="7" t="s">
        <v>43</v>
      </c>
      <c r="S70" s="7" t="s">
        <v>43</v>
      </c>
      <c r="T70" s="7" t="s">
        <v>43</v>
      </c>
      <c r="U70" s="7" t="s">
        <v>46</v>
      </c>
      <c r="V70" s="7"/>
      <c r="W70" s="7">
        <v>38</v>
      </c>
      <c r="X70" s="18">
        <v>91628</v>
      </c>
      <c r="Y70" s="18">
        <v>2075</v>
      </c>
      <c r="Z70" s="18">
        <v>93703</v>
      </c>
      <c r="AA70" s="18">
        <v>6043</v>
      </c>
      <c r="AB70" s="18">
        <v>66000</v>
      </c>
      <c r="AC70" s="18">
        <v>21660</v>
      </c>
      <c r="AD70" s="7"/>
      <c r="AE70" s="13" t="s">
        <v>56</v>
      </c>
      <c r="AF70" s="7"/>
      <c r="AG70" s="7"/>
      <c r="AH70" s="7"/>
      <c r="AI70" s="7"/>
      <c r="AJ70" s="7"/>
      <c r="AK70" s="7"/>
      <c r="AL70" s="7"/>
      <c r="AM70" s="7"/>
      <c r="AN70" s="7"/>
      <c r="AO70" s="7"/>
      <c r="AP70" s="7"/>
      <c r="AQ70" s="7"/>
      <c r="AR70" s="7"/>
      <c r="AS70" s="7"/>
      <c r="AT70" s="7"/>
      <c r="AU70" s="7"/>
      <c r="AV70" s="7"/>
      <c r="AW70" s="7"/>
      <c r="AX70" s="7"/>
      <c r="AY70" s="7"/>
      <c r="AZ70" s="7"/>
    </row>
    <row r="71" spans="1:52" ht="63" customHeight="1">
      <c r="A71" s="20" t="s">
        <v>420</v>
      </c>
      <c r="B71" s="7">
        <v>1</v>
      </c>
      <c r="C71" s="7" t="s">
        <v>334</v>
      </c>
      <c r="D71" s="7" t="s">
        <v>108</v>
      </c>
      <c r="E71" s="7" t="s">
        <v>43</v>
      </c>
      <c r="F71" s="7" t="s">
        <v>421</v>
      </c>
      <c r="G71" s="7">
        <v>2018</v>
      </c>
      <c r="H71" s="7"/>
      <c r="I71" s="14" t="str">
        <f>HYPERLINK("https://form.education.gov.uk/en/AchieveForms/?form_uri=sandbox-publish://AF-Process-f9f4f5a1-936f-448b-bbeb-9dcdd595f468/AF-Stage-8aa41278-3cdd-45a3-ad87-80cbffb8b992/definition.json&amp;redirectlink=%2Fen&amp;cancelRedirectLink=%2Fen&amp;consentMessage=yes","Please contact on website")</f>
        <v>Please contact on website</v>
      </c>
      <c r="J71" s="14" t="str">
        <f>HYPERLINK("https://www.gov.uk/government/organisations/education-and-skills-funding-agency","https://www.gov.uk/government/organisations/education-and-skills-funding-agency")</f>
        <v>https://www.gov.uk/government/organisations/education-and-skills-funding-agency</v>
      </c>
      <c r="K71" s="7" t="s">
        <v>422</v>
      </c>
      <c r="L71" s="13" t="s">
        <v>423</v>
      </c>
      <c r="M71" s="7" t="s">
        <v>42</v>
      </c>
      <c r="N71" s="15" t="s">
        <v>43</v>
      </c>
      <c r="O71" s="16">
        <v>15000</v>
      </c>
      <c r="P71" s="15" t="s">
        <v>52</v>
      </c>
      <c r="Q71" s="7" t="s">
        <v>424</v>
      </c>
      <c r="R71" s="7" t="s">
        <v>37</v>
      </c>
      <c r="S71" s="7" t="s">
        <v>43</v>
      </c>
      <c r="T71" s="7" t="s">
        <v>43</v>
      </c>
      <c r="U71" s="7" t="s">
        <v>54</v>
      </c>
      <c r="V71" s="7"/>
      <c r="W71" s="26">
        <v>1513</v>
      </c>
      <c r="X71" s="18">
        <v>56899501</v>
      </c>
      <c r="Y71" s="18">
        <f>198263+1094</f>
        <v>199357</v>
      </c>
      <c r="Z71" s="18">
        <v>57098858</v>
      </c>
      <c r="AA71" s="18">
        <f>56905105-AB71+Y71-5281</f>
        <v>56872007</v>
      </c>
      <c r="AB71" s="18">
        <v>227174</v>
      </c>
      <c r="AC71" s="18">
        <v>46480</v>
      </c>
      <c r="AD71" s="7"/>
      <c r="AE71" s="7"/>
      <c r="AF71" s="7"/>
      <c r="AG71" s="7"/>
      <c r="AH71" s="7"/>
      <c r="AI71" s="7"/>
      <c r="AJ71" s="7"/>
      <c r="AK71" s="7"/>
      <c r="AL71" s="7"/>
      <c r="AM71" s="7"/>
      <c r="AN71" s="7"/>
      <c r="AO71" s="7"/>
      <c r="AP71" s="7"/>
      <c r="AQ71" s="7"/>
      <c r="AR71" s="7"/>
      <c r="AS71" s="7"/>
      <c r="AT71" s="7"/>
      <c r="AU71" s="7"/>
      <c r="AV71" s="7"/>
      <c r="AW71" s="7"/>
      <c r="AX71" s="7"/>
      <c r="AY71" s="7"/>
      <c r="AZ71" s="7"/>
    </row>
    <row r="72" spans="1:52" ht="63" customHeight="1">
      <c r="A72" s="20" t="s">
        <v>425</v>
      </c>
      <c r="B72" s="7">
        <v>1</v>
      </c>
      <c r="C72" s="7" t="s">
        <v>334</v>
      </c>
      <c r="D72" s="7" t="s">
        <v>95</v>
      </c>
      <c r="E72" s="7" t="s">
        <v>37</v>
      </c>
      <c r="F72" s="7" t="s">
        <v>426</v>
      </c>
      <c r="G72" s="7">
        <v>1991</v>
      </c>
      <c r="H72" s="7"/>
      <c r="I72" s="14" t="str">
        <f>HYPERLINK("mailto:ECITB@ecitb.org.uk","ECITB@ecitb.org.uk")</f>
        <v>ECITB@ecitb.org.uk</v>
      </c>
      <c r="J72" s="14" t="str">
        <f>HYPERLINK("https://www.ecitb.org.uk/","www.ecitb.org.uk")</f>
        <v>www.ecitb.org.uk</v>
      </c>
      <c r="K72" s="7" t="s">
        <v>336</v>
      </c>
      <c r="L72" s="27" t="s">
        <v>427</v>
      </c>
      <c r="M72" s="13" t="s">
        <v>42</v>
      </c>
      <c r="N72" s="15" t="s">
        <v>56</v>
      </c>
      <c r="O72" s="16">
        <v>29200</v>
      </c>
      <c r="P72" s="15" t="s">
        <v>338</v>
      </c>
      <c r="Q72" s="7" t="s">
        <v>419</v>
      </c>
      <c r="R72" s="7" t="s">
        <v>63</v>
      </c>
      <c r="S72" s="7" t="s">
        <v>63</v>
      </c>
      <c r="T72" s="7" t="s">
        <v>56</v>
      </c>
      <c r="U72" s="7" t="s">
        <v>54</v>
      </c>
      <c r="V72" s="7">
        <v>2017</v>
      </c>
      <c r="W72" s="7">
        <v>65.5</v>
      </c>
      <c r="X72" s="18">
        <v>0</v>
      </c>
      <c r="Y72" s="18">
        <v>25571</v>
      </c>
      <c r="Z72" s="18">
        <f>IF(SUM(Y72)&lt;&gt;0,SUM(Y72),"")</f>
        <v>25571</v>
      </c>
      <c r="AA72" s="18">
        <v>0</v>
      </c>
      <c r="AB72" s="18">
        <v>0</v>
      </c>
      <c r="AC72" s="18">
        <v>29297</v>
      </c>
      <c r="AD72" s="7"/>
      <c r="AE72" s="13" t="s">
        <v>56</v>
      </c>
      <c r="AF72" s="7"/>
      <c r="AG72" s="7"/>
      <c r="AH72" s="7"/>
      <c r="AI72" s="7"/>
      <c r="AJ72" s="7"/>
      <c r="AK72" s="7"/>
      <c r="AL72" s="7"/>
      <c r="AM72" s="7"/>
      <c r="AN72" s="7"/>
      <c r="AO72" s="7"/>
      <c r="AP72" s="7"/>
      <c r="AQ72" s="7"/>
      <c r="AR72" s="7"/>
      <c r="AS72" s="7"/>
      <c r="AT72" s="7"/>
      <c r="AU72" s="7"/>
      <c r="AV72" s="7"/>
      <c r="AW72" s="7"/>
      <c r="AX72" s="7"/>
      <c r="AY72" s="7"/>
      <c r="AZ72" s="7"/>
    </row>
    <row r="73" spans="1:52" ht="63" customHeight="1">
      <c r="A73" s="20" t="s">
        <v>428</v>
      </c>
      <c r="B73" s="7">
        <v>1</v>
      </c>
      <c r="C73" s="7" t="s">
        <v>79</v>
      </c>
      <c r="D73" s="7" t="s">
        <v>95</v>
      </c>
      <c r="E73" s="7" t="s">
        <v>43</v>
      </c>
      <c r="F73" s="7" t="s">
        <v>429</v>
      </c>
      <c r="G73" s="7">
        <v>1996</v>
      </c>
      <c r="H73" s="7"/>
      <c r="I73" s="14" t="str">
        <f>HYPERLINK("mailto:enquiries@environment-agency.gov.uk","enquiries@environment-agency.gov.uk")</f>
        <v>enquiries@environment-agency.gov.uk</v>
      </c>
      <c r="J73" s="14" t="str">
        <f>HYPERLINK("https://www.gov.uk/government/ organisations/environment-agency","https://www.gov.uk/government/
organisations/environment-agency")</f>
        <v>https://www.gov.uk/government/
organisations/environment-agency</v>
      </c>
      <c r="K73" s="7" t="s">
        <v>430</v>
      </c>
      <c r="L73" s="7" t="s">
        <v>431</v>
      </c>
      <c r="M73" s="13" t="s">
        <v>42</v>
      </c>
      <c r="N73" s="15" t="s">
        <v>43</v>
      </c>
      <c r="O73" s="16">
        <v>100000</v>
      </c>
      <c r="P73" s="15" t="s">
        <v>52</v>
      </c>
      <c r="Q73" s="17" t="s">
        <v>100</v>
      </c>
      <c r="R73" s="7" t="s">
        <v>37</v>
      </c>
      <c r="S73" s="7" t="s">
        <v>43</v>
      </c>
      <c r="T73" s="7" t="s">
        <v>43</v>
      </c>
      <c r="U73" s="7" t="s">
        <v>432</v>
      </c>
      <c r="V73" s="7">
        <v>2014</v>
      </c>
      <c r="W73" s="39">
        <v>10429</v>
      </c>
      <c r="X73" s="18">
        <v>908678</v>
      </c>
      <c r="Y73" s="18">
        <v>442008</v>
      </c>
      <c r="Z73" s="18">
        <v>1350686</v>
      </c>
      <c r="AA73" s="18">
        <v>808472</v>
      </c>
      <c r="AB73" s="18">
        <v>562451</v>
      </c>
      <c r="AC73" s="18">
        <v>0</v>
      </c>
      <c r="AD73" s="7"/>
      <c r="AE73" s="7"/>
      <c r="AF73" s="7"/>
      <c r="AG73" s="7"/>
      <c r="AH73" s="7"/>
      <c r="AI73" s="7"/>
      <c r="AJ73" s="7"/>
      <c r="AK73" s="7"/>
      <c r="AL73" s="7"/>
      <c r="AM73" s="7"/>
      <c r="AN73" s="7"/>
      <c r="AO73" s="7"/>
      <c r="AP73" s="7"/>
      <c r="AQ73" s="7"/>
      <c r="AR73" s="7"/>
      <c r="AS73" s="7"/>
      <c r="AT73" s="7"/>
      <c r="AU73" s="7"/>
      <c r="AV73" s="7"/>
      <c r="AW73" s="7"/>
      <c r="AX73" s="7"/>
      <c r="AY73" s="7"/>
      <c r="AZ73" s="7"/>
    </row>
    <row r="74" spans="1:52" ht="63" customHeight="1">
      <c r="A74" s="20" t="s">
        <v>433</v>
      </c>
      <c r="B74" s="7">
        <v>1</v>
      </c>
      <c r="C74" s="7" t="s">
        <v>309</v>
      </c>
      <c r="D74" s="7" t="s">
        <v>95</v>
      </c>
      <c r="E74" s="7" t="s">
        <v>43</v>
      </c>
      <c r="F74" s="7" t="s">
        <v>434</v>
      </c>
      <c r="G74" s="7">
        <v>2007</v>
      </c>
      <c r="H74" s="7"/>
      <c r="I74" s="14" t="str">
        <f>HYPERLINK("mailto:Karen.Grayson@equalityhumanrights.com","Karen.Grayson@equalityhumanrights.com")</f>
        <v>Karen.Grayson@equalityhumanrights.com</v>
      </c>
      <c r="J74" s="14" t="s">
        <v>435</v>
      </c>
      <c r="K74" s="7" t="s">
        <v>436</v>
      </c>
      <c r="L74" s="7" t="s">
        <v>437</v>
      </c>
      <c r="M74" s="7" t="s">
        <v>42</v>
      </c>
      <c r="N74" s="15" t="s">
        <v>43</v>
      </c>
      <c r="O74" s="16">
        <v>500</v>
      </c>
      <c r="P74" s="15" t="s">
        <v>44</v>
      </c>
      <c r="Q74" s="17" t="s">
        <v>438</v>
      </c>
      <c r="R74" s="7" t="s">
        <v>37</v>
      </c>
      <c r="S74" s="7" t="s">
        <v>37</v>
      </c>
      <c r="T74" s="7" t="s">
        <v>43</v>
      </c>
      <c r="U74" s="7" t="s">
        <v>46</v>
      </c>
      <c r="V74" s="7">
        <v>2018</v>
      </c>
      <c r="W74" s="7">
        <v>182</v>
      </c>
      <c r="X74" s="18">
        <v>18300</v>
      </c>
      <c r="Y74" s="18">
        <v>0</v>
      </c>
      <c r="Z74" s="18">
        <v>18300</v>
      </c>
      <c r="AA74" s="18">
        <v>18300</v>
      </c>
      <c r="AB74" s="18">
        <v>520</v>
      </c>
      <c r="AC74" s="18">
        <v>0</v>
      </c>
      <c r="AD74" s="7" t="s">
        <v>439</v>
      </c>
      <c r="AE74" s="13" t="s">
        <v>56</v>
      </c>
      <c r="AG74" s="7"/>
      <c r="AH74" s="7"/>
      <c r="AI74" s="7"/>
      <c r="AJ74" s="7"/>
      <c r="AK74" s="7"/>
      <c r="AL74" s="7"/>
      <c r="AM74" s="7"/>
      <c r="AN74" s="7"/>
      <c r="AO74" s="7"/>
      <c r="AP74" s="7"/>
      <c r="AQ74" s="7"/>
      <c r="AR74" s="7"/>
      <c r="AS74" s="7"/>
      <c r="AT74" s="7"/>
      <c r="AU74" s="7"/>
      <c r="AV74" s="7"/>
      <c r="AW74" s="7"/>
      <c r="AX74" s="7"/>
      <c r="AY74" s="7"/>
      <c r="AZ74" s="7"/>
    </row>
    <row r="75" spans="1:52" ht="63" customHeight="1">
      <c r="A75" s="20" t="s">
        <v>440</v>
      </c>
      <c r="B75" s="7">
        <v>1</v>
      </c>
      <c r="C75" s="7" t="s">
        <v>89</v>
      </c>
      <c r="D75" s="7" t="s">
        <v>36</v>
      </c>
      <c r="E75" s="7" t="s">
        <v>37</v>
      </c>
      <c r="F75" s="7" t="s">
        <v>441</v>
      </c>
      <c r="G75" s="7">
        <v>2004</v>
      </c>
      <c r="H75" s="7"/>
      <c r="I75" s="14" t="str">
        <f>HYPERLINK("mailto:fjc@justice.gsi.gov.uk","fjc@justice.gsi.gov.uk")</f>
        <v>fjc@justice.gsi.gov.uk</v>
      </c>
      <c r="J75" s="14" t="str">
        <f>HYPERLINK("http://www.judiciary.gov.uk/about-the-judiciary/advisory-bodies/fjc","http://www.judiciary.gov.uk/about-the-judiciary/advisory-bodies/fjc")</f>
        <v>http://www.judiciary.gov.uk/about-the-judiciary/advisory-bodies/fjc</v>
      </c>
      <c r="K75" s="13" t="s">
        <v>442</v>
      </c>
      <c r="L75" s="7" t="s">
        <v>443</v>
      </c>
      <c r="M75" s="7" t="s">
        <v>71</v>
      </c>
      <c r="N75" s="15" t="s">
        <v>37</v>
      </c>
      <c r="O75" s="16"/>
      <c r="P75" s="15"/>
      <c r="Q75" s="17" t="s">
        <v>444</v>
      </c>
      <c r="R75" s="7" t="s">
        <v>43</v>
      </c>
      <c r="S75" s="7" t="s">
        <v>43</v>
      </c>
      <c r="T75" s="7" t="s">
        <v>43</v>
      </c>
      <c r="U75" s="7" t="s">
        <v>46</v>
      </c>
      <c r="V75" s="7">
        <v>2015</v>
      </c>
      <c r="W75" s="7">
        <v>3</v>
      </c>
      <c r="X75" s="18">
        <v>0</v>
      </c>
      <c r="Y75" s="18">
        <v>0</v>
      </c>
      <c r="Z75" s="18">
        <v>0</v>
      </c>
      <c r="AA75" s="18">
        <v>0</v>
      </c>
      <c r="AB75" s="18">
        <v>0</v>
      </c>
      <c r="AC75" s="18">
        <v>0</v>
      </c>
      <c r="AD75" s="7" t="s">
        <v>380</v>
      </c>
      <c r="AE75" s="7"/>
      <c r="AG75" s="7"/>
      <c r="AH75" s="7"/>
      <c r="AI75" s="7"/>
      <c r="AJ75" s="7"/>
      <c r="AK75" s="7"/>
      <c r="AL75" s="7"/>
      <c r="AM75" s="7"/>
      <c r="AN75" s="7"/>
      <c r="AO75" s="7"/>
      <c r="AP75" s="7"/>
      <c r="AQ75" s="7"/>
      <c r="AR75" s="7"/>
      <c r="AS75" s="7"/>
      <c r="AT75" s="7"/>
      <c r="AU75" s="7"/>
      <c r="AV75" s="7"/>
      <c r="AW75" s="7"/>
      <c r="AX75" s="7"/>
      <c r="AY75" s="7"/>
      <c r="AZ75" s="7"/>
    </row>
    <row r="76" spans="1:52" ht="63" customHeight="1">
      <c r="A76" s="20" t="s">
        <v>445</v>
      </c>
      <c r="B76" s="13">
        <v>1</v>
      </c>
      <c r="C76" s="7" t="s">
        <v>89</v>
      </c>
      <c r="D76" s="7" t="s">
        <v>36</v>
      </c>
      <c r="E76" s="7" t="s">
        <v>37</v>
      </c>
      <c r="F76" s="7" t="s">
        <v>446</v>
      </c>
      <c r="G76" s="7">
        <v>2004</v>
      </c>
      <c r="H76" s="7"/>
      <c r="I76" s="14" t="str">
        <f>HYPERLINK("mailto:simon.qasim@justice.gov.uk","simon.qasim@justice.gov.uk")</f>
        <v>simon.qasim@justice.gov.uk</v>
      </c>
      <c r="J76" s="14" t="str">
        <f>HYPERLINK("http://www.justice.gov.uk/about/moj/advisory-groups/family-procedure-rule-committee","http://www.justice.gov.uk/about/moj/advisory-groups/family-procedure-rule-committee")</f>
        <v>http://www.justice.gov.uk/about/moj/advisory-groups/family-procedure-rule-committee</v>
      </c>
      <c r="K76" s="7" t="s">
        <v>447</v>
      </c>
      <c r="L76" s="7" t="s">
        <v>448</v>
      </c>
      <c r="M76" s="7" t="s">
        <v>71</v>
      </c>
      <c r="N76" s="15" t="s">
        <v>37</v>
      </c>
      <c r="O76" s="16"/>
      <c r="P76" s="15"/>
      <c r="Q76" s="15" t="s">
        <v>449</v>
      </c>
      <c r="R76" s="7" t="s">
        <v>43</v>
      </c>
      <c r="S76" s="7" t="s">
        <v>43</v>
      </c>
      <c r="T76" s="7" t="s">
        <v>43</v>
      </c>
      <c r="U76" s="7"/>
      <c r="V76" s="7">
        <v>2015</v>
      </c>
      <c r="W76" s="7">
        <v>0</v>
      </c>
      <c r="X76" s="18">
        <v>0</v>
      </c>
      <c r="Y76" s="18">
        <v>0</v>
      </c>
      <c r="Z76" s="18">
        <v>0</v>
      </c>
      <c r="AA76" s="18">
        <v>0</v>
      </c>
      <c r="AB76" s="18">
        <v>0</v>
      </c>
      <c r="AC76" s="18">
        <v>0</v>
      </c>
      <c r="AD76" s="7"/>
      <c r="AE76" s="7"/>
      <c r="AF76" s="7"/>
      <c r="AG76" s="7"/>
      <c r="AH76" s="7"/>
      <c r="AI76" s="7"/>
      <c r="AJ76" s="7"/>
      <c r="AK76" s="7"/>
      <c r="AL76" s="7"/>
      <c r="AM76" s="7"/>
      <c r="AN76" s="7"/>
      <c r="AO76" s="7"/>
      <c r="AP76" s="7"/>
      <c r="AQ76" s="7"/>
      <c r="AR76" s="7"/>
      <c r="AS76" s="7"/>
      <c r="AT76" s="7"/>
      <c r="AU76" s="7"/>
      <c r="AV76" s="7"/>
      <c r="AW76" s="7"/>
      <c r="AX76" s="7"/>
      <c r="AY76" s="7"/>
      <c r="AZ76" s="7"/>
    </row>
    <row r="77" spans="1:52" ht="63" customHeight="1">
      <c r="A77" s="20" t="s">
        <v>450</v>
      </c>
      <c r="B77" s="7">
        <v>1</v>
      </c>
      <c r="C77" s="7" t="s">
        <v>170</v>
      </c>
      <c r="D77" s="7" t="s">
        <v>108</v>
      </c>
      <c r="E77" s="7"/>
      <c r="F77" s="7" t="s">
        <v>451</v>
      </c>
      <c r="G77" s="7">
        <v>2006</v>
      </c>
      <c r="H77" s="7" t="s">
        <v>452</v>
      </c>
      <c r="I77" s="14" t="str">
        <f>HYPERLINK("mailto:FCOServices.CEOOffice@fco.gov.uk","FCOServices.CEOOffice@fco.gov.uk")</f>
        <v>FCOServices.CEOOffice@fco.gov.uk</v>
      </c>
      <c r="J77" s="14" t="str">
        <f>HYPERLINK("https://www.fcoservices.gov.uk/","www.fcoservices.gov.uk")</f>
        <v>www.fcoservices.gov.uk</v>
      </c>
      <c r="K77" s="7" t="s">
        <v>453</v>
      </c>
      <c r="L77" s="7" t="s">
        <v>454</v>
      </c>
      <c r="M77" s="13" t="s">
        <v>71</v>
      </c>
      <c r="N77" s="15" t="s">
        <v>43</v>
      </c>
      <c r="O77" s="16" t="s">
        <v>455</v>
      </c>
      <c r="P77" s="15" t="s">
        <v>52</v>
      </c>
      <c r="Q77" s="15" t="s">
        <v>456</v>
      </c>
      <c r="R77" s="7" t="s">
        <v>37</v>
      </c>
      <c r="S77" s="7" t="s">
        <v>37</v>
      </c>
      <c r="T77" s="7" t="s">
        <v>43</v>
      </c>
      <c r="U77" s="7" t="s">
        <v>46</v>
      </c>
      <c r="V77" s="7"/>
      <c r="W77" s="26">
        <v>1115</v>
      </c>
      <c r="X77" s="18">
        <v>0</v>
      </c>
      <c r="Y77" s="18">
        <v>181371</v>
      </c>
      <c r="Z77" s="18">
        <f>IF(SUM(Y77)&lt;&gt;0,SUM(Y77),"")</f>
        <v>181371</v>
      </c>
      <c r="AA77" s="18">
        <v>167738</v>
      </c>
      <c r="AB77" s="18">
        <v>2626</v>
      </c>
      <c r="AC77" s="18">
        <v>0</v>
      </c>
      <c r="AD77" s="7" t="s">
        <v>457</v>
      </c>
      <c r="AE77" s="7"/>
      <c r="AF77" s="7"/>
      <c r="AG77" s="7"/>
      <c r="AH77" s="7"/>
      <c r="AI77" s="7"/>
      <c r="AJ77" s="7"/>
      <c r="AK77" s="7"/>
      <c r="AL77" s="7"/>
      <c r="AM77" s="7"/>
      <c r="AN77" s="7"/>
      <c r="AO77" s="7"/>
      <c r="AP77" s="7"/>
      <c r="AQ77" s="7"/>
      <c r="AR77" s="7"/>
      <c r="AS77" s="7"/>
      <c r="AT77" s="7"/>
      <c r="AU77" s="7"/>
      <c r="AV77" s="7"/>
      <c r="AW77" s="7"/>
      <c r="AX77" s="7"/>
      <c r="AY77" s="7"/>
      <c r="AZ77" s="7"/>
    </row>
    <row r="78" spans="1:52" ht="63" customHeight="1">
      <c r="A78" s="12" t="s">
        <v>458</v>
      </c>
      <c r="B78" s="7">
        <v>1</v>
      </c>
      <c r="C78" s="7" t="s">
        <v>334</v>
      </c>
      <c r="D78" s="7" t="s">
        <v>95</v>
      </c>
      <c r="E78" s="7" t="s">
        <v>37</v>
      </c>
      <c r="F78" s="7" t="s">
        <v>459</v>
      </c>
      <c r="G78" s="7">
        <v>2009</v>
      </c>
      <c r="H78" s="7"/>
      <c r="I78" s="6"/>
      <c r="J78" s="7"/>
      <c r="K78" s="7" t="s">
        <v>460</v>
      </c>
      <c r="L78" s="27"/>
      <c r="M78" s="13"/>
      <c r="N78" s="15"/>
      <c r="O78" s="16"/>
      <c r="P78" s="15"/>
      <c r="Q78" s="7"/>
      <c r="R78" s="7"/>
      <c r="S78" s="7"/>
      <c r="T78" s="7"/>
      <c r="U78" s="7"/>
      <c r="V78" s="7"/>
      <c r="W78" s="7">
        <v>0</v>
      </c>
      <c r="X78" s="18">
        <v>0</v>
      </c>
      <c r="Y78" s="18">
        <v>0</v>
      </c>
      <c r="Z78" s="18">
        <v>0</v>
      </c>
      <c r="AA78" s="18">
        <v>0</v>
      </c>
      <c r="AB78" s="18">
        <v>0</v>
      </c>
      <c r="AC78" s="18">
        <v>0</v>
      </c>
      <c r="AD78" s="7"/>
      <c r="AE78" s="13" t="s">
        <v>56</v>
      </c>
      <c r="AF78" s="7"/>
      <c r="AG78" s="7"/>
      <c r="AH78" s="7"/>
      <c r="AI78" s="7"/>
      <c r="AJ78" s="7"/>
      <c r="AK78" s="7"/>
      <c r="AL78" s="7"/>
      <c r="AM78" s="7"/>
      <c r="AN78" s="7"/>
      <c r="AO78" s="7"/>
      <c r="AP78" s="7"/>
      <c r="AQ78" s="7"/>
      <c r="AR78" s="7"/>
      <c r="AS78" s="7"/>
      <c r="AT78" s="7"/>
      <c r="AU78" s="7"/>
      <c r="AV78" s="7"/>
      <c r="AW78" s="7"/>
      <c r="AX78" s="7"/>
      <c r="AY78" s="7"/>
      <c r="AZ78" s="7"/>
    </row>
    <row r="79" spans="1:52" ht="63" customHeight="1">
      <c r="A79" s="20" t="s">
        <v>35</v>
      </c>
      <c r="B79" s="7">
        <v>1</v>
      </c>
      <c r="C79" s="7" t="s">
        <v>58</v>
      </c>
      <c r="D79" s="7" t="s">
        <v>233</v>
      </c>
      <c r="E79" s="7" t="s">
        <v>43</v>
      </c>
      <c r="F79" s="7" t="s">
        <v>461</v>
      </c>
      <c r="G79" s="7">
        <v>1999</v>
      </c>
      <c r="H79" s="7"/>
      <c r="I79" s="14" t="str">
        <f>HYPERLINK("mailto:board.sec@food.gov.uk","board.sec@food.gov.uk")</f>
        <v>board.sec@food.gov.uk</v>
      </c>
      <c r="J79" s="14" t="str">
        <f>HYPERLINK("https://food.gov.uk/about-us/our-board","https://food.gov.uk/about-us/our-board")</f>
        <v>https://food.gov.uk/about-us/our-board</v>
      </c>
      <c r="K79" s="7" t="s">
        <v>462</v>
      </c>
      <c r="L79" s="7" t="s">
        <v>463</v>
      </c>
      <c r="M79" s="7" t="s">
        <v>42</v>
      </c>
      <c r="N79" s="15" t="s">
        <v>43</v>
      </c>
      <c r="O79" s="16">
        <v>70000</v>
      </c>
      <c r="P79" s="15" t="s">
        <v>52</v>
      </c>
      <c r="Q79" s="15" t="s">
        <v>464</v>
      </c>
      <c r="R79" s="7" t="s">
        <v>43</v>
      </c>
      <c r="S79" s="7" t="s">
        <v>43</v>
      </c>
      <c r="T79" s="7" t="s">
        <v>43</v>
      </c>
      <c r="U79" s="7" t="s">
        <v>465</v>
      </c>
      <c r="V79" s="7">
        <v>2019</v>
      </c>
      <c r="W79" s="26">
        <v>1011</v>
      </c>
      <c r="X79" s="18">
        <v>87071</v>
      </c>
      <c r="Y79" s="18">
        <v>28936</v>
      </c>
      <c r="Z79" s="18">
        <v>116007</v>
      </c>
      <c r="AA79" s="18">
        <v>109437</v>
      </c>
      <c r="AB79" s="18">
        <v>6545</v>
      </c>
      <c r="AC79" s="18">
        <v>0</v>
      </c>
      <c r="AD79" s="7"/>
      <c r="AE79" s="7"/>
      <c r="AF79" s="7"/>
      <c r="AG79" s="7"/>
      <c r="AH79" s="7"/>
      <c r="AI79" s="7"/>
      <c r="AJ79" s="7"/>
      <c r="AK79" s="7"/>
      <c r="AL79" s="7"/>
      <c r="AM79" s="7"/>
      <c r="AN79" s="7"/>
      <c r="AO79" s="7"/>
      <c r="AP79" s="7"/>
      <c r="AQ79" s="7"/>
      <c r="AR79" s="7"/>
      <c r="AS79" s="7"/>
      <c r="AT79" s="7"/>
      <c r="AU79" s="7"/>
      <c r="AV79" s="7"/>
      <c r="AW79" s="7"/>
      <c r="AX79" s="7"/>
      <c r="AY79" s="7"/>
      <c r="AZ79" s="7"/>
    </row>
    <row r="80" spans="1:52" ht="63" customHeight="1">
      <c r="A80" s="41" t="s">
        <v>466</v>
      </c>
      <c r="B80" s="42">
        <v>1</v>
      </c>
      <c r="C80" s="42" t="s">
        <v>467</v>
      </c>
      <c r="D80" s="42" t="s">
        <v>108</v>
      </c>
      <c r="E80" s="7"/>
      <c r="F80" s="7"/>
      <c r="G80" s="7"/>
      <c r="H80" s="7"/>
      <c r="I80" s="7"/>
      <c r="J80" s="7"/>
      <c r="K80" s="7"/>
      <c r="L80" s="13"/>
      <c r="M80" s="13"/>
      <c r="N80" s="17"/>
      <c r="O80" s="16"/>
      <c r="P80" s="15"/>
      <c r="Q80" s="15"/>
      <c r="R80" s="7"/>
      <c r="S80" s="7"/>
      <c r="T80" s="7"/>
      <c r="U80" s="7"/>
      <c r="V80" s="7"/>
      <c r="W80" s="13"/>
      <c r="X80" s="18"/>
      <c r="Y80" s="18"/>
      <c r="Z80" s="18"/>
      <c r="AA80" s="18"/>
      <c r="AB80" s="18"/>
      <c r="AC80" s="18"/>
      <c r="AD80" s="7"/>
      <c r="AE80" s="7"/>
      <c r="AF80" s="7"/>
      <c r="AG80" s="7"/>
      <c r="AH80" s="7"/>
      <c r="AI80" s="7"/>
      <c r="AJ80" s="7"/>
      <c r="AK80" s="7"/>
      <c r="AL80" s="7"/>
      <c r="AM80" s="7"/>
      <c r="AN80" s="7"/>
      <c r="AO80" s="7"/>
      <c r="AP80" s="7"/>
      <c r="AQ80" s="7"/>
      <c r="AR80" s="7"/>
      <c r="AS80" s="7"/>
      <c r="AT80" s="7"/>
      <c r="AU80" s="7"/>
      <c r="AV80" s="7"/>
      <c r="AW80" s="7"/>
      <c r="AX80" s="7"/>
      <c r="AY80" s="7"/>
      <c r="AZ80" s="7"/>
    </row>
    <row r="81" spans="1:52" ht="63" customHeight="1">
      <c r="A81" s="20" t="s">
        <v>468</v>
      </c>
      <c r="B81" s="7">
        <v>1</v>
      </c>
      <c r="C81" s="13" t="s">
        <v>467</v>
      </c>
      <c r="D81" s="7" t="s">
        <v>108</v>
      </c>
      <c r="E81" s="7" t="s">
        <v>37</v>
      </c>
      <c r="F81" s="7" t="s">
        <v>469</v>
      </c>
      <c r="G81" s="7">
        <v>1997</v>
      </c>
      <c r="H81" s="7"/>
      <c r="I81" s="14" t="str">
        <f>HYPERLINK("mailto:James.Pendlebury@forestresearch.gov.uk","James.Pendlebury@forestresearch.gov.uk")</f>
        <v>James.Pendlebury@forestresearch.gov.uk</v>
      </c>
      <c r="J81" s="14" t="str">
        <f>HYPERLINK("https://www.forestresearch.gov.uk/","forestresearch.gov.uk")</f>
        <v>forestresearch.gov.uk</v>
      </c>
      <c r="K81" s="7" t="s">
        <v>470</v>
      </c>
      <c r="L81" s="13" t="s">
        <v>46</v>
      </c>
      <c r="M81" s="13" t="s">
        <v>46</v>
      </c>
      <c r="N81" s="17" t="s">
        <v>46</v>
      </c>
      <c r="O81" s="16"/>
      <c r="P81" s="15"/>
      <c r="Q81" s="15"/>
      <c r="R81" s="7" t="s">
        <v>37</v>
      </c>
      <c r="S81" s="7" t="s">
        <v>43</v>
      </c>
      <c r="T81" s="7" t="s">
        <v>43</v>
      </c>
      <c r="U81" s="7" t="s">
        <v>54</v>
      </c>
      <c r="V81" s="7"/>
      <c r="W81" s="13">
        <v>238</v>
      </c>
      <c r="X81" s="18">
        <v>9065</v>
      </c>
      <c r="Y81" s="18">
        <v>10406</v>
      </c>
      <c r="Z81" s="18">
        <v>19471</v>
      </c>
      <c r="AA81" s="18">
        <v>19444</v>
      </c>
      <c r="AB81" s="18">
        <v>1827</v>
      </c>
      <c r="AC81" s="18">
        <v>0</v>
      </c>
      <c r="AD81" s="7"/>
      <c r="AE81" s="7"/>
      <c r="AF81" s="7"/>
      <c r="AG81" s="7"/>
      <c r="AH81" s="7"/>
      <c r="AI81" s="7"/>
      <c r="AJ81" s="7"/>
      <c r="AK81" s="7"/>
      <c r="AL81" s="7"/>
      <c r="AM81" s="7"/>
      <c r="AN81" s="7"/>
      <c r="AO81" s="7"/>
      <c r="AP81" s="7"/>
      <c r="AQ81" s="7"/>
      <c r="AR81" s="7"/>
      <c r="AS81" s="7"/>
      <c r="AT81" s="7"/>
      <c r="AU81" s="7"/>
      <c r="AV81" s="7"/>
      <c r="AW81" s="7"/>
      <c r="AX81" s="7"/>
      <c r="AY81" s="7"/>
      <c r="AZ81" s="7"/>
    </row>
    <row r="82" spans="1:52" ht="63" customHeight="1">
      <c r="A82" s="20" t="s">
        <v>467</v>
      </c>
      <c r="B82" s="13">
        <v>1</v>
      </c>
      <c r="C82" s="7" t="s">
        <v>79</v>
      </c>
      <c r="D82" s="7" t="s">
        <v>233</v>
      </c>
      <c r="E82" s="7" t="s">
        <v>43</v>
      </c>
      <c r="F82" s="7" t="s">
        <v>471</v>
      </c>
      <c r="G82" s="7">
        <v>1919</v>
      </c>
      <c r="H82" s="13"/>
      <c r="I82" s="14" t="str">
        <f>HYPERLINK("mailto:commissioners@forestrycommission.gov.uk","commissioners@forestrycommission.gov.uk")</f>
        <v>commissioners@forestrycommission.gov.uk</v>
      </c>
      <c r="J82" s="14" t="str">
        <f>HYPERLINK("https://www.gov.uk/government/organisations/forestry-commission","https://www.gov.uk/government/organisations/forestry-commission")</f>
        <v>https://www.gov.uk/government/organisations/forestry-commission</v>
      </c>
      <c r="K82" s="7"/>
      <c r="L82" s="7" t="s">
        <v>472</v>
      </c>
      <c r="M82" s="7" t="s">
        <v>42</v>
      </c>
      <c r="N82" s="15" t="s">
        <v>43</v>
      </c>
      <c r="O82" s="16">
        <v>40021.919999999998</v>
      </c>
      <c r="P82" s="15" t="s">
        <v>52</v>
      </c>
      <c r="Q82" s="15"/>
      <c r="R82" s="7" t="s">
        <v>37</v>
      </c>
      <c r="S82" s="7" t="s">
        <v>43</v>
      </c>
      <c r="T82" s="7" t="s">
        <v>43</v>
      </c>
      <c r="U82" s="7" t="s">
        <v>54</v>
      </c>
      <c r="V82" s="7"/>
      <c r="W82" s="13">
        <v>202</v>
      </c>
      <c r="X82" s="18">
        <v>49807</v>
      </c>
      <c r="Y82" s="18">
        <v>19835</v>
      </c>
      <c r="Z82" s="18">
        <v>69642</v>
      </c>
      <c r="AA82" s="18">
        <v>61418</v>
      </c>
      <c r="AB82" s="18">
        <v>6185</v>
      </c>
      <c r="AC82" s="18">
        <v>38</v>
      </c>
      <c r="AD82" s="7"/>
      <c r="AE82" s="7"/>
      <c r="AF82" s="7"/>
      <c r="AG82" s="7"/>
      <c r="AH82" s="7"/>
      <c r="AI82" s="7"/>
      <c r="AJ82" s="7"/>
      <c r="AK82" s="7"/>
      <c r="AL82" s="7"/>
      <c r="AM82" s="7"/>
      <c r="AN82" s="7"/>
      <c r="AO82" s="7"/>
      <c r="AP82" s="7"/>
      <c r="AQ82" s="7"/>
      <c r="AR82" s="7"/>
      <c r="AS82" s="7"/>
      <c r="AT82" s="7"/>
      <c r="AU82" s="7"/>
      <c r="AV82" s="7"/>
      <c r="AW82" s="7"/>
      <c r="AX82" s="7"/>
      <c r="AY82" s="7"/>
      <c r="AZ82" s="7"/>
    </row>
    <row r="83" spans="1:52" ht="63" customHeight="1">
      <c r="A83" s="20" t="s">
        <v>473</v>
      </c>
      <c r="B83" s="7">
        <v>1</v>
      </c>
      <c r="C83" s="7" t="s">
        <v>122</v>
      </c>
      <c r="D83" s="7" t="s">
        <v>95</v>
      </c>
      <c r="E83" s="7" t="s">
        <v>43</v>
      </c>
      <c r="F83" s="7" t="s">
        <v>474</v>
      </c>
      <c r="G83" s="7">
        <v>2005</v>
      </c>
      <c r="H83" s="7"/>
      <c r="I83" s="14" t="str">
        <f>HYPERLINK("mailto:info@gamblingcommission.gov.uk","info@gamblingcommission.gov.uk")</f>
        <v>info@gamblingcommission.gov.uk</v>
      </c>
      <c r="J83" s="14" t="s">
        <v>475</v>
      </c>
      <c r="K83" s="13" t="s">
        <v>476</v>
      </c>
      <c r="L83" s="7" t="s">
        <v>477</v>
      </c>
      <c r="M83" s="13" t="s">
        <v>42</v>
      </c>
      <c r="N83" s="15" t="s">
        <v>43</v>
      </c>
      <c r="O83" s="16"/>
      <c r="P83" s="15"/>
      <c r="Q83" s="7" t="s">
        <v>313</v>
      </c>
      <c r="R83" s="7" t="s">
        <v>37</v>
      </c>
      <c r="S83" s="7" t="s">
        <v>43</v>
      </c>
      <c r="T83" s="7" t="s">
        <v>43</v>
      </c>
      <c r="U83" s="7" t="s">
        <v>54</v>
      </c>
      <c r="V83" s="7"/>
      <c r="W83" s="7">
        <v>362</v>
      </c>
      <c r="X83" s="18">
        <v>6721</v>
      </c>
      <c r="Y83" s="18">
        <v>18987</v>
      </c>
      <c r="Z83" s="18">
        <f>(X83+Y83)</f>
        <v>25708</v>
      </c>
      <c r="AA83" s="18">
        <v>8696</v>
      </c>
      <c r="AB83" s="18">
        <v>500</v>
      </c>
      <c r="AC83" s="18">
        <v>0</v>
      </c>
      <c r="AD83" s="7"/>
      <c r="AE83" s="7"/>
      <c r="AF83" s="7"/>
      <c r="AG83" s="7"/>
      <c r="AH83" s="7"/>
      <c r="AI83" s="7"/>
      <c r="AJ83" s="7"/>
      <c r="AK83" s="7"/>
      <c r="AL83" s="7"/>
      <c r="AM83" s="7"/>
      <c r="AN83" s="7"/>
      <c r="AO83" s="7"/>
      <c r="AP83" s="7"/>
      <c r="AQ83" s="7"/>
      <c r="AR83" s="7"/>
      <c r="AS83" s="7"/>
      <c r="AT83" s="7"/>
      <c r="AU83" s="7"/>
      <c r="AV83" s="7"/>
      <c r="AW83" s="7"/>
      <c r="AX83" s="7"/>
      <c r="AY83" s="7"/>
      <c r="AZ83" s="7"/>
    </row>
    <row r="84" spans="1:52" ht="63" customHeight="1">
      <c r="A84" s="20" t="s">
        <v>478</v>
      </c>
      <c r="B84" s="7">
        <v>1</v>
      </c>
      <c r="C84" s="7" t="s">
        <v>133</v>
      </c>
      <c r="D84" s="7" t="s">
        <v>95</v>
      </c>
      <c r="E84" s="7" t="s">
        <v>43</v>
      </c>
      <c r="F84" s="7" t="s">
        <v>479</v>
      </c>
      <c r="G84" s="7">
        <v>2005</v>
      </c>
      <c r="H84" s="7"/>
      <c r="I84" s="14" t="str">
        <f>HYPERLINK("mailto:enquiries@gla.gov.uk","enquiries@gla.gov.uk")</f>
        <v>enquiries@gla.gov.uk</v>
      </c>
      <c r="J84" s="14" t="str">
        <f>HYPERLINK("http://www.gla.gov.uk","http://www.gla.gov.uk")</f>
        <v>http://www.gla.gov.uk</v>
      </c>
      <c r="K84" s="13" t="s">
        <v>480</v>
      </c>
      <c r="L84" s="7" t="s">
        <v>481</v>
      </c>
      <c r="M84" s="7" t="s">
        <v>42</v>
      </c>
      <c r="N84" s="15" t="s">
        <v>43</v>
      </c>
      <c r="O84" s="16">
        <v>330</v>
      </c>
      <c r="P84" s="15" t="s">
        <v>44</v>
      </c>
      <c r="Q84" s="15" t="s">
        <v>482</v>
      </c>
      <c r="R84" s="7" t="s">
        <v>43</v>
      </c>
      <c r="S84" s="7" t="s">
        <v>43</v>
      </c>
      <c r="T84" s="7" t="s">
        <v>43</v>
      </c>
      <c r="U84" s="7" t="s">
        <v>54</v>
      </c>
      <c r="V84" s="7">
        <v>2014</v>
      </c>
      <c r="W84" s="7">
        <v>122</v>
      </c>
      <c r="X84" s="18">
        <v>5824</v>
      </c>
      <c r="Y84" s="18">
        <v>1214</v>
      </c>
      <c r="Z84" s="18">
        <v>7038</v>
      </c>
      <c r="AA84" s="18">
        <v>7227</v>
      </c>
      <c r="AB84" s="18">
        <v>0</v>
      </c>
      <c r="AC84" s="18">
        <v>0</v>
      </c>
      <c r="AD84" s="7" t="s">
        <v>483</v>
      </c>
      <c r="AE84" s="7"/>
      <c r="AF84" s="7"/>
      <c r="AG84" s="7"/>
      <c r="AH84" s="7"/>
      <c r="AI84" s="7"/>
      <c r="AJ84" s="7"/>
      <c r="AK84" s="7"/>
      <c r="AL84" s="7"/>
      <c r="AM84" s="7"/>
      <c r="AN84" s="7"/>
      <c r="AO84" s="7"/>
      <c r="AP84" s="7"/>
      <c r="AQ84" s="7"/>
      <c r="AR84" s="7"/>
      <c r="AS84" s="7"/>
      <c r="AT84" s="7"/>
      <c r="AU84" s="7"/>
      <c r="AV84" s="7"/>
      <c r="AW84" s="7"/>
      <c r="AX84" s="7"/>
      <c r="AY84" s="7"/>
      <c r="AZ84" s="7"/>
    </row>
    <row r="85" spans="1:52" ht="63" customHeight="1">
      <c r="A85" s="20" t="s">
        <v>484</v>
      </c>
      <c r="B85" s="7">
        <v>1</v>
      </c>
      <c r="C85" s="7" t="s">
        <v>122</v>
      </c>
      <c r="D85" s="7" t="s">
        <v>95</v>
      </c>
      <c r="E85" s="7" t="s">
        <v>37</v>
      </c>
      <c r="F85" s="7" t="s">
        <v>485</v>
      </c>
      <c r="G85" s="7">
        <v>1914</v>
      </c>
      <c r="H85" s="7"/>
      <c r="I85" s="14" t="str">
        <f>HYPERLINK("mailto:info@geffrye-museum.org.uk","info@geffrye-museum.org.uk")</f>
        <v>info@geffrye-museum.org.uk</v>
      </c>
      <c r="J85" s="14" t="s">
        <v>486</v>
      </c>
      <c r="K85" s="7" t="s">
        <v>197</v>
      </c>
      <c r="L85" s="13" t="s">
        <v>487</v>
      </c>
      <c r="M85" s="13" t="s">
        <v>42</v>
      </c>
      <c r="N85" s="15" t="s">
        <v>37</v>
      </c>
      <c r="O85" s="16"/>
      <c r="P85" s="15"/>
      <c r="Q85" s="7" t="s">
        <v>313</v>
      </c>
      <c r="R85" s="7" t="s">
        <v>37</v>
      </c>
      <c r="S85" s="7" t="s">
        <v>37</v>
      </c>
      <c r="T85" s="7" t="s">
        <v>43</v>
      </c>
      <c r="U85" s="7" t="s">
        <v>46</v>
      </c>
      <c r="V85" s="7">
        <v>2018</v>
      </c>
      <c r="W85" s="7">
        <v>31</v>
      </c>
      <c r="X85" s="18">
        <v>2096</v>
      </c>
      <c r="Y85" s="18">
        <v>3321</v>
      </c>
      <c r="Z85" s="18">
        <f>(X85+Y85)</f>
        <v>5417</v>
      </c>
      <c r="AA85" s="18">
        <v>1535</v>
      </c>
      <c r="AB85" s="18">
        <v>827</v>
      </c>
      <c r="AC85" s="18">
        <v>70</v>
      </c>
      <c r="AD85" s="7"/>
      <c r="AE85" s="7"/>
      <c r="AF85" s="7"/>
      <c r="AG85" s="7"/>
      <c r="AH85" s="7"/>
      <c r="AI85" s="7"/>
      <c r="AJ85" s="7"/>
      <c r="AK85" s="7"/>
      <c r="AL85" s="7"/>
      <c r="AM85" s="7"/>
      <c r="AN85" s="7"/>
      <c r="AO85" s="7"/>
      <c r="AP85" s="7"/>
      <c r="AQ85" s="7"/>
      <c r="AR85" s="7"/>
      <c r="AS85" s="7"/>
      <c r="AT85" s="7"/>
      <c r="AU85" s="7"/>
      <c r="AV85" s="7"/>
      <c r="AW85" s="7"/>
      <c r="AX85" s="7"/>
      <c r="AY85" s="7"/>
      <c r="AZ85" s="7"/>
    </row>
    <row r="86" spans="1:52" ht="63" customHeight="1">
      <c r="A86" s="20" t="s">
        <v>488</v>
      </c>
      <c r="B86" s="7">
        <v>1</v>
      </c>
      <c r="C86" s="7" t="s">
        <v>275</v>
      </c>
      <c r="D86" s="7" t="s">
        <v>233</v>
      </c>
      <c r="E86" s="7" t="s">
        <v>37</v>
      </c>
      <c r="F86" s="7" t="s">
        <v>489</v>
      </c>
      <c r="G86" s="7">
        <v>1919</v>
      </c>
      <c r="H86" s="7"/>
      <c r="I86" s="14" t="str">
        <f>HYPERLINK("mailto:enquiries@gad.gov.uk","enquiries@gad.gov.uk")</f>
        <v>enquiries@gad.gov.uk</v>
      </c>
      <c r="J86" s="14" t="str">
        <f>HYPERLINK("https://www.gov.uk/government/organisations/government-actuarys-department","www.gov.uk/gad")</f>
        <v>www.gov.uk/gad</v>
      </c>
      <c r="K86" s="13" t="s">
        <v>490</v>
      </c>
      <c r="L86" s="7" t="s">
        <v>491</v>
      </c>
      <c r="M86" s="7" t="s">
        <v>492</v>
      </c>
      <c r="N86" s="7" t="s">
        <v>43</v>
      </c>
      <c r="O86" s="16" t="s">
        <v>493</v>
      </c>
      <c r="P86" s="15" t="s">
        <v>52</v>
      </c>
      <c r="Q86" s="15"/>
      <c r="R86" s="7" t="s">
        <v>37</v>
      </c>
      <c r="S86" s="7" t="s">
        <v>37</v>
      </c>
      <c r="T86" s="7" t="s">
        <v>43</v>
      </c>
      <c r="U86" s="7" t="s">
        <v>54</v>
      </c>
      <c r="V86" s="7">
        <v>2018</v>
      </c>
      <c r="W86" s="7">
        <v>186</v>
      </c>
      <c r="X86" s="18">
        <v>0</v>
      </c>
      <c r="Y86" s="18">
        <v>20586</v>
      </c>
      <c r="Z86" s="18">
        <f>IF(SUM(Y86)&lt;&gt;0,SUM(Y86),"")</f>
        <v>20586</v>
      </c>
      <c r="AA86" s="18">
        <v>18974</v>
      </c>
      <c r="AB86" s="18">
        <v>226</v>
      </c>
      <c r="AC86" s="18">
        <v>-17</v>
      </c>
      <c r="AD86" s="7"/>
      <c r="AE86" s="7"/>
      <c r="AF86" s="7"/>
      <c r="AG86" s="7"/>
      <c r="AH86" s="7"/>
      <c r="AI86" s="7"/>
      <c r="AJ86" s="7"/>
      <c r="AK86" s="7"/>
      <c r="AL86" s="7"/>
      <c r="AM86" s="7"/>
      <c r="AN86" s="7"/>
      <c r="AO86" s="7"/>
      <c r="AP86" s="7"/>
      <c r="AQ86" s="7"/>
      <c r="AR86" s="7"/>
      <c r="AS86" s="7"/>
      <c r="AT86" s="7"/>
      <c r="AU86" s="7"/>
      <c r="AV86" s="7"/>
      <c r="AW86" s="7"/>
      <c r="AX86" s="7"/>
      <c r="AY86" s="7"/>
      <c r="AZ86" s="7"/>
    </row>
    <row r="87" spans="1:52" ht="63" customHeight="1">
      <c r="A87" s="20" t="s">
        <v>494</v>
      </c>
      <c r="B87" s="7">
        <v>1</v>
      </c>
      <c r="C87" s="7" t="s">
        <v>275</v>
      </c>
      <c r="D87" s="7" t="s">
        <v>108</v>
      </c>
      <c r="E87" s="7" t="s">
        <v>37</v>
      </c>
      <c r="F87" s="7" t="s">
        <v>495</v>
      </c>
      <c r="G87" s="7">
        <v>2015</v>
      </c>
      <c r="H87" s="7"/>
      <c r="I87" s="43" t="str">
        <f>HYPERLINK("mailto:correspondence@giaa.gsi.gov.uk","correspondence@giaa.gsi.gov.uk")</f>
        <v>correspondence@giaa.gsi.gov.uk</v>
      </c>
      <c r="J87" s="43" t="s">
        <v>496</v>
      </c>
      <c r="K87" s="15" t="s">
        <v>497</v>
      </c>
      <c r="L87" s="15" t="s">
        <v>498</v>
      </c>
      <c r="M87" s="7" t="s">
        <v>499</v>
      </c>
      <c r="N87" s="15" t="s">
        <v>56</v>
      </c>
      <c r="O87" s="16">
        <v>22500</v>
      </c>
      <c r="P87" s="15" t="s">
        <v>52</v>
      </c>
      <c r="Q87" s="17" t="s">
        <v>379</v>
      </c>
      <c r="R87" s="7" t="s">
        <v>63</v>
      </c>
      <c r="S87" s="7" t="s">
        <v>63</v>
      </c>
      <c r="T87" s="7" t="s">
        <v>56</v>
      </c>
      <c r="U87" s="7" t="s">
        <v>54</v>
      </c>
      <c r="V87" s="7">
        <v>2019</v>
      </c>
      <c r="W87" s="7">
        <v>422</v>
      </c>
      <c r="X87" s="18">
        <v>3059</v>
      </c>
      <c r="Y87" s="18">
        <v>36292</v>
      </c>
      <c r="Z87" s="18">
        <v>39351</v>
      </c>
      <c r="AA87" s="18">
        <v>39041</v>
      </c>
      <c r="AB87" s="18">
        <v>0</v>
      </c>
      <c r="AC87" s="18">
        <v>0</v>
      </c>
      <c r="AD87" s="7"/>
      <c r="AE87" s="7"/>
      <c r="AF87" s="7"/>
      <c r="AG87" s="7"/>
      <c r="AH87" s="7"/>
      <c r="AI87" s="7"/>
      <c r="AJ87" s="7"/>
      <c r="AK87" s="7"/>
      <c r="AL87" s="7"/>
      <c r="AM87" s="7"/>
      <c r="AN87" s="7"/>
      <c r="AO87" s="7"/>
      <c r="AP87" s="7"/>
      <c r="AQ87" s="7"/>
      <c r="AR87" s="7"/>
      <c r="AS87" s="7"/>
      <c r="AT87" s="7"/>
      <c r="AU87" s="7"/>
      <c r="AV87" s="7"/>
      <c r="AW87" s="7"/>
      <c r="AX87" s="7"/>
      <c r="AY87" s="7"/>
      <c r="AZ87" s="7"/>
    </row>
    <row r="88" spans="1:52" ht="63" customHeight="1">
      <c r="A88" s="20" t="s">
        <v>500</v>
      </c>
      <c r="B88" s="7">
        <v>1</v>
      </c>
      <c r="C88" s="7" t="s">
        <v>501</v>
      </c>
      <c r="D88" s="7" t="s">
        <v>233</v>
      </c>
      <c r="E88" s="7" t="s">
        <v>37</v>
      </c>
      <c r="F88" s="7" t="s">
        <v>502</v>
      </c>
      <c r="G88" s="7">
        <v>1996</v>
      </c>
      <c r="H88" s="7" t="s">
        <v>503</v>
      </c>
      <c r="I88" s="14" t="str">
        <f>HYPERLINK("mailto:thetreasurysolicitor@governmentlegal.gov.uk","thetreasurysolicitor@governmentlegal.gov.uk")</f>
        <v>thetreasurysolicitor@governmentlegal.gov.uk</v>
      </c>
      <c r="J88" s="14" t="str">
        <f>HYPERLINK("https://www.gov.uk/government/organisations/government-legal-department","https://www.gov.uk/government/organisations/government-legal-department")</f>
        <v>https://www.gov.uk/government/organisations/government-legal-department</v>
      </c>
      <c r="K88" s="13" t="s">
        <v>504</v>
      </c>
      <c r="L88" s="13" t="s">
        <v>504</v>
      </c>
      <c r="M88" s="7" t="s">
        <v>71</v>
      </c>
      <c r="N88" s="15" t="s">
        <v>43</v>
      </c>
      <c r="O88" s="16" t="s">
        <v>505</v>
      </c>
      <c r="P88" s="15"/>
      <c r="Q88" s="15"/>
      <c r="R88" s="7" t="s">
        <v>37</v>
      </c>
      <c r="S88" s="7" t="s">
        <v>37</v>
      </c>
      <c r="T88" s="7" t="s">
        <v>43</v>
      </c>
      <c r="U88" s="7" t="s">
        <v>54</v>
      </c>
      <c r="V88" s="7">
        <v>2001</v>
      </c>
      <c r="W88" s="26">
        <v>2504</v>
      </c>
      <c r="X88" s="18">
        <v>-5592</v>
      </c>
      <c r="Y88" s="18">
        <v>237462</v>
      </c>
      <c r="Z88" s="18">
        <v>231870</v>
      </c>
      <c r="AA88" s="18">
        <v>-5592</v>
      </c>
      <c r="AB88" s="18">
        <v>5126</v>
      </c>
      <c r="AC88" s="18">
        <v>0</v>
      </c>
      <c r="AD88" s="7"/>
      <c r="AE88" s="7"/>
      <c r="AF88" s="7"/>
      <c r="AG88" s="7"/>
      <c r="AH88" s="7"/>
      <c r="AI88" s="7"/>
      <c r="AJ88" s="7"/>
      <c r="AK88" s="7"/>
      <c r="AL88" s="7"/>
      <c r="AM88" s="7"/>
      <c r="AN88" s="7"/>
      <c r="AO88" s="7"/>
      <c r="AP88" s="7"/>
      <c r="AQ88" s="7"/>
      <c r="AR88" s="7"/>
      <c r="AS88" s="7"/>
      <c r="AT88" s="7"/>
      <c r="AU88" s="7"/>
      <c r="AV88" s="7"/>
      <c r="AW88" s="7"/>
      <c r="AX88" s="7"/>
      <c r="AY88" s="7"/>
      <c r="AZ88" s="7"/>
    </row>
    <row r="89" spans="1:52" ht="63" customHeight="1">
      <c r="A89" s="20" t="s">
        <v>506</v>
      </c>
      <c r="B89" s="7">
        <v>1</v>
      </c>
      <c r="C89" s="7" t="s">
        <v>170</v>
      </c>
      <c r="D89" s="7" t="s">
        <v>95</v>
      </c>
      <c r="E89" s="7" t="s">
        <v>37</v>
      </c>
      <c r="F89" s="7" t="s">
        <v>507</v>
      </c>
      <c r="G89" s="7">
        <v>1974</v>
      </c>
      <c r="H89" s="7"/>
      <c r="I89" s="14" t="str">
        <f>HYPERLINK("mailto:contact@gbcc.org.uk","contact@gbcc.org.uk")</f>
        <v>contact@gbcc.org.uk</v>
      </c>
      <c r="J89" s="14" t="str">
        <f>HYPERLINK("https://www.gbcc.org.uk/","https://www.gbcc.org.uk/")</f>
        <v>https://www.gbcc.org.uk/</v>
      </c>
      <c r="K89" s="7" t="s">
        <v>508</v>
      </c>
      <c r="L89" s="27" t="s">
        <v>509</v>
      </c>
      <c r="M89" s="13" t="s">
        <v>42</v>
      </c>
      <c r="N89" s="15" t="s">
        <v>37</v>
      </c>
      <c r="O89" s="16"/>
      <c r="P89" s="15"/>
      <c r="Q89" s="15" t="s">
        <v>510</v>
      </c>
      <c r="R89" s="7" t="s">
        <v>37</v>
      </c>
      <c r="S89" s="7" t="s">
        <v>37</v>
      </c>
      <c r="T89" s="7" t="s">
        <v>37</v>
      </c>
      <c r="U89" s="7" t="s">
        <v>46</v>
      </c>
      <c r="V89" s="7">
        <v>2019</v>
      </c>
      <c r="W89" s="7">
        <v>9</v>
      </c>
      <c r="X89" s="18">
        <v>682</v>
      </c>
      <c r="Y89" s="18">
        <v>203</v>
      </c>
      <c r="Z89" s="18">
        <v>885</v>
      </c>
      <c r="AA89" s="18">
        <v>935</v>
      </c>
      <c r="AB89" s="18">
        <v>0</v>
      </c>
      <c r="AC89" s="18">
        <v>0</v>
      </c>
      <c r="AD89" s="7"/>
      <c r="AE89" s="7"/>
      <c r="AF89" s="7"/>
      <c r="AG89" s="7"/>
      <c r="AH89" s="7"/>
      <c r="AI89" s="7"/>
      <c r="AJ89" s="7"/>
      <c r="AK89" s="7"/>
      <c r="AL89" s="7"/>
      <c r="AM89" s="7"/>
      <c r="AN89" s="7"/>
      <c r="AO89" s="7"/>
      <c r="AP89" s="7"/>
      <c r="AQ89" s="7"/>
      <c r="AR89" s="7"/>
      <c r="AS89" s="7"/>
      <c r="AT89" s="7"/>
      <c r="AU89" s="7"/>
      <c r="AV89" s="7"/>
      <c r="AW89" s="7"/>
      <c r="AX89" s="7"/>
      <c r="AY89" s="7"/>
      <c r="AZ89" s="7"/>
    </row>
    <row r="90" spans="1:52" ht="63" customHeight="1">
      <c r="A90" s="20" t="s">
        <v>511</v>
      </c>
      <c r="B90" s="7">
        <v>1</v>
      </c>
      <c r="C90" s="7" t="s">
        <v>512</v>
      </c>
      <c r="D90" s="7" t="s">
        <v>95</v>
      </c>
      <c r="E90" s="7" t="s">
        <v>43</v>
      </c>
      <c r="F90" s="7" t="s">
        <v>513</v>
      </c>
      <c r="G90" s="7">
        <v>2008</v>
      </c>
      <c r="H90" s="7" t="s">
        <v>514</v>
      </c>
      <c r="I90" s="14" t="str">
        <f>HYPERLINK("http://www.hse.gov.uk/contact/index.htm","http://www.hse.gov.uk/contact/index.htm")</f>
        <v>http://www.hse.gov.uk/contact/index.htm</v>
      </c>
      <c r="J90" s="14" t="str">
        <f>HYPERLINK("https://www.hse.gov.uk/","https://www.hse.gov.uk/")</f>
        <v>https://www.hse.gov.uk/</v>
      </c>
      <c r="K90" s="7" t="s">
        <v>515</v>
      </c>
      <c r="L90" s="7" t="s">
        <v>516</v>
      </c>
      <c r="M90" s="7" t="s">
        <v>42</v>
      </c>
      <c r="N90" s="15" t="s">
        <v>43</v>
      </c>
      <c r="O90" s="16">
        <v>84000</v>
      </c>
      <c r="P90" s="15" t="s">
        <v>52</v>
      </c>
      <c r="Q90" s="17" t="s">
        <v>517</v>
      </c>
      <c r="R90" s="7" t="s">
        <v>43</v>
      </c>
      <c r="S90" s="7" t="s">
        <v>43</v>
      </c>
      <c r="T90" s="7" t="s">
        <v>43</v>
      </c>
      <c r="U90" s="7" t="s">
        <v>54</v>
      </c>
      <c r="V90" s="7">
        <v>2018</v>
      </c>
      <c r="W90" s="26">
        <v>2453</v>
      </c>
      <c r="X90" s="18">
        <v>129000</v>
      </c>
      <c r="Y90" s="18">
        <v>91460</v>
      </c>
      <c r="Z90" s="18">
        <v>220460</v>
      </c>
      <c r="AA90" s="18">
        <v>122000</v>
      </c>
      <c r="AB90" s="18">
        <v>7000</v>
      </c>
      <c r="AC90" s="18">
        <v>0</v>
      </c>
      <c r="AD90" s="7" t="s">
        <v>518</v>
      </c>
      <c r="AE90" s="13" t="s">
        <v>56</v>
      </c>
      <c r="AF90" s="7"/>
      <c r="AG90" s="7"/>
      <c r="AH90" s="7"/>
      <c r="AI90" s="7"/>
      <c r="AJ90" s="7"/>
      <c r="AK90" s="7"/>
      <c r="AL90" s="7"/>
      <c r="AM90" s="7"/>
      <c r="AN90" s="7"/>
      <c r="AO90" s="7"/>
      <c r="AP90" s="7"/>
      <c r="AQ90" s="7"/>
      <c r="AR90" s="7"/>
      <c r="AS90" s="7"/>
      <c r="AT90" s="7"/>
      <c r="AU90" s="7"/>
      <c r="AV90" s="7"/>
      <c r="AW90" s="7"/>
      <c r="AX90" s="7"/>
      <c r="AY90" s="7"/>
      <c r="AZ90" s="7"/>
    </row>
    <row r="91" spans="1:52" ht="63" customHeight="1">
      <c r="A91" s="20" t="s">
        <v>519</v>
      </c>
      <c r="B91" s="7">
        <v>1</v>
      </c>
      <c r="C91" s="7" t="s">
        <v>58</v>
      </c>
      <c r="D91" s="7" t="s">
        <v>95</v>
      </c>
      <c r="E91" s="7" t="s">
        <v>37</v>
      </c>
      <c r="F91" s="7" t="s">
        <v>520</v>
      </c>
      <c r="G91" s="7">
        <v>2015</v>
      </c>
      <c r="H91" s="7"/>
      <c r="I91" s="14" t="str">
        <f>HYPERLINK("mailto:enquiries@nhsdigital.nhs.uk","enquiries@nhsdigital.nhs.uk")</f>
        <v>enquiries@nhsdigital.nhs.uk</v>
      </c>
      <c r="J91" s="14" t="str">
        <f>HYPERLINK("https://www.digital.nhs.uk/","https://www.digital.nhs.uk/")</f>
        <v>https://www.digital.nhs.uk/</v>
      </c>
      <c r="K91" s="7" t="s">
        <v>521</v>
      </c>
      <c r="L91" s="7" t="s">
        <v>522</v>
      </c>
      <c r="M91" s="7" t="s">
        <v>42</v>
      </c>
      <c r="N91" s="15" t="s">
        <v>43</v>
      </c>
      <c r="O91" s="16">
        <v>63000</v>
      </c>
      <c r="P91" s="15" t="s">
        <v>52</v>
      </c>
      <c r="Q91" s="15" t="s">
        <v>221</v>
      </c>
      <c r="R91" s="7" t="s">
        <v>43</v>
      </c>
      <c r="S91" s="7" t="s">
        <v>43</v>
      </c>
      <c r="T91" s="7" t="s">
        <v>43</v>
      </c>
      <c r="U91" s="7" t="s">
        <v>54</v>
      </c>
      <c r="V91" s="7"/>
      <c r="W91" s="39">
        <v>2891</v>
      </c>
      <c r="X91" s="18">
        <v>4438733</v>
      </c>
      <c r="Y91" s="18">
        <v>134693</v>
      </c>
      <c r="Z91" s="18">
        <v>4573426</v>
      </c>
      <c r="AA91" s="18">
        <v>4579599</v>
      </c>
      <c r="AB91" s="18">
        <v>467</v>
      </c>
      <c r="AC91" s="18">
        <v>44</v>
      </c>
      <c r="AD91" s="7"/>
      <c r="AE91" s="13" t="s">
        <v>56</v>
      </c>
      <c r="AF91" s="7"/>
      <c r="AG91" s="7"/>
      <c r="AH91" s="7"/>
      <c r="AI91" s="7"/>
      <c r="AJ91" s="7"/>
      <c r="AK91" s="7"/>
      <c r="AL91" s="7"/>
      <c r="AM91" s="7"/>
      <c r="AN91" s="7"/>
      <c r="AO91" s="7"/>
      <c r="AP91" s="7"/>
      <c r="AQ91" s="7"/>
      <c r="AR91" s="7"/>
      <c r="AS91" s="7"/>
      <c r="AT91" s="7"/>
      <c r="AU91" s="7"/>
      <c r="AV91" s="7"/>
      <c r="AW91" s="7"/>
      <c r="AX91" s="7"/>
      <c r="AY91" s="7"/>
      <c r="AZ91" s="7"/>
    </row>
    <row r="92" spans="1:52" ht="63" customHeight="1">
      <c r="A92" s="20" t="s">
        <v>523</v>
      </c>
      <c r="B92" s="7">
        <v>1</v>
      </c>
      <c r="C92" s="7" t="s">
        <v>58</v>
      </c>
      <c r="D92" s="7" t="s">
        <v>95</v>
      </c>
      <c r="E92" s="7" t="s">
        <v>37</v>
      </c>
      <c r="F92" s="7" t="s">
        <v>524</v>
      </c>
      <c r="G92" s="7">
        <v>2015</v>
      </c>
      <c r="H92" s="7" t="s">
        <v>525</v>
      </c>
      <c r="I92" s="14" t="str">
        <f>HYPERLINK("mailto:hee.enquiries@nhs.net","hee.enquiries@nhs.net")</f>
        <v>hee.enquiries@nhs.net</v>
      </c>
      <c r="J92" s="14" t="str">
        <f>HYPERLINK("http://hee.nhs.uk/","http://hee.nhs.uk/")</f>
        <v>http://hee.nhs.uk/</v>
      </c>
      <c r="K92" s="7" t="s">
        <v>526</v>
      </c>
      <c r="L92" s="7" t="s">
        <v>527</v>
      </c>
      <c r="M92" s="7" t="s">
        <v>42</v>
      </c>
      <c r="N92" s="15" t="s">
        <v>43</v>
      </c>
      <c r="O92" s="16" t="s">
        <v>528</v>
      </c>
      <c r="P92" s="15" t="s">
        <v>52</v>
      </c>
      <c r="Q92" s="15" t="s">
        <v>464</v>
      </c>
      <c r="R92" s="7" t="s">
        <v>43</v>
      </c>
      <c r="S92" s="7" t="s">
        <v>43</v>
      </c>
      <c r="T92" s="7" t="s">
        <v>43</v>
      </c>
      <c r="U92" s="7" t="s">
        <v>54</v>
      </c>
      <c r="V92" s="7"/>
      <c r="W92" s="26">
        <v>2166</v>
      </c>
      <c r="X92" s="18">
        <v>16007</v>
      </c>
      <c r="Y92" s="18">
        <v>263</v>
      </c>
      <c r="Z92" s="18">
        <v>16270</v>
      </c>
      <c r="AA92" s="18">
        <v>13737</v>
      </c>
      <c r="AB92" s="18">
        <v>1934</v>
      </c>
      <c r="AC92" s="18">
        <v>-44</v>
      </c>
      <c r="AD92" s="7"/>
      <c r="AE92" s="13" t="s">
        <v>56</v>
      </c>
      <c r="AF92" s="7"/>
      <c r="AG92" s="7"/>
      <c r="AH92" s="7"/>
      <c r="AI92" s="7"/>
      <c r="AJ92" s="7"/>
      <c r="AK92" s="7"/>
      <c r="AL92" s="7"/>
      <c r="AM92" s="7"/>
      <c r="AN92" s="7"/>
      <c r="AO92" s="7"/>
      <c r="AP92" s="7"/>
      <c r="AQ92" s="7"/>
      <c r="AR92" s="7"/>
      <c r="AS92" s="7"/>
      <c r="AT92" s="7"/>
      <c r="AU92" s="7"/>
      <c r="AV92" s="7"/>
      <c r="AW92" s="7"/>
      <c r="AX92" s="7"/>
      <c r="AY92" s="7"/>
      <c r="AZ92" s="7"/>
    </row>
    <row r="93" spans="1:52" ht="63" customHeight="1">
      <c r="A93" s="20" t="s">
        <v>529</v>
      </c>
      <c r="B93" s="7">
        <v>1</v>
      </c>
      <c r="C93" s="7" t="s">
        <v>58</v>
      </c>
      <c r="D93" s="7" t="s">
        <v>95</v>
      </c>
      <c r="E93" s="7" t="s">
        <v>43</v>
      </c>
      <c r="F93" s="7" t="s">
        <v>530</v>
      </c>
      <c r="G93" s="7">
        <v>2015</v>
      </c>
      <c r="H93" s="7" t="s">
        <v>531</v>
      </c>
      <c r="I93" s="14" t="str">
        <f>HYPERLINK("mailto:contact.hra@nhs.net","contact.hra@nhs.net")</f>
        <v>contact.hra@nhs.net</v>
      </c>
      <c r="J93" s="14" t="str">
        <f>HYPERLINK("http://www.hra.nhs.uk/","http://www.hra.nhs.uk/")</f>
        <v>http://www.hra.nhs.uk/</v>
      </c>
      <c r="K93" s="7" t="s">
        <v>532</v>
      </c>
      <c r="L93" s="7" t="s">
        <v>533</v>
      </c>
      <c r="M93" s="7" t="s">
        <v>42</v>
      </c>
      <c r="N93" s="15" t="s">
        <v>43</v>
      </c>
      <c r="O93" s="16">
        <v>45000</v>
      </c>
      <c r="P93" s="15" t="s">
        <v>52</v>
      </c>
      <c r="Q93" s="15" t="s">
        <v>534</v>
      </c>
      <c r="R93" s="7" t="s">
        <v>43</v>
      </c>
      <c r="S93" s="7" t="s">
        <v>43</v>
      </c>
      <c r="T93" s="7" t="s">
        <v>43</v>
      </c>
      <c r="U93" s="7" t="s">
        <v>54</v>
      </c>
      <c r="V93" s="7"/>
      <c r="W93" s="7">
        <v>207</v>
      </c>
      <c r="X93" s="18">
        <v>0</v>
      </c>
      <c r="Y93" s="18">
        <v>181371</v>
      </c>
      <c r="Z93" s="18">
        <f>IF(SUM(Y93)&lt;&gt;0,SUM(Y93),"")</f>
        <v>181371</v>
      </c>
      <c r="AA93" s="18">
        <v>167738</v>
      </c>
      <c r="AB93" s="18">
        <v>2626</v>
      </c>
      <c r="AC93" s="18">
        <v>0</v>
      </c>
      <c r="AD93" s="7" t="s">
        <v>457</v>
      </c>
      <c r="AE93" s="7"/>
      <c r="AF93" s="7"/>
      <c r="AG93" s="7"/>
      <c r="AH93" s="7"/>
      <c r="AI93" s="7"/>
      <c r="AJ93" s="7"/>
      <c r="AK93" s="7"/>
      <c r="AL93" s="7"/>
      <c r="AM93" s="7"/>
      <c r="AN93" s="7"/>
      <c r="AO93" s="7"/>
      <c r="AP93" s="7"/>
      <c r="AQ93" s="7"/>
      <c r="AR93" s="7"/>
      <c r="AS93" s="7"/>
      <c r="AT93" s="7"/>
      <c r="AU93" s="7"/>
      <c r="AV93" s="7"/>
      <c r="AW93" s="7"/>
      <c r="AX93" s="7"/>
      <c r="AY93" s="7"/>
      <c r="AZ93" s="7"/>
    </row>
    <row r="94" spans="1:52" ht="63" customHeight="1">
      <c r="A94" s="20" t="s">
        <v>535</v>
      </c>
      <c r="B94" s="7">
        <v>1</v>
      </c>
      <c r="C94" s="7" t="s">
        <v>89</v>
      </c>
      <c r="D94" s="7" t="s">
        <v>108</v>
      </c>
      <c r="E94" s="7" t="s">
        <v>37</v>
      </c>
      <c r="F94" s="7" t="s">
        <v>536</v>
      </c>
      <c r="G94" s="7">
        <v>2011</v>
      </c>
      <c r="H94" s="7"/>
      <c r="I94" s="14" t="str">
        <f>HYPERLINK("mailto:general.queries@justice.gov.uk","general.queries@justice.gov.uk")</f>
        <v>general.queries@justice.gov.uk</v>
      </c>
      <c r="J94" s="14" t="s">
        <v>537</v>
      </c>
      <c r="K94" s="7" t="s">
        <v>538</v>
      </c>
      <c r="L94" s="7" t="s">
        <v>539</v>
      </c>
      <c r="M94" s="7" t="s">
        <v>42</v>
      </c>
      <c r="N94" s="15" t="s">
        <v>43</v>
      </c>
      <c r="O94" s="16">
        <v>20000</v>
      </c>
      <c r="P94" s="15" t="s">
        <v>52</v>
      </c>
      <c r="Q94" s="17" t="s">
        <v>540</v>
      </c>
      <c r="R94" s="7" t="s">
        <v>37</v>
      </c>
      <c r="S94" s="7" t="s">
        <v>43</v>
      </c>
      <c r="T94" s="7" t="s">
        <v>43</v>
      </c>
      <c r="U94" s="7" t="s">
        <v>54</v>
      </c>
      <c r="V94" s="7"/>
      <c r="W94" s="39">
        <v>16219</v>
      </c>
      <c r="X94" s="18">
        <v>992534</v>
      </c>
      <c r="Y94" s="18">
        <v>696845</v>
      </c>
      <c r="Z94" s="18">
        <v>1689379</v>
      </c>
      <c r="AA94" s="18">
        <v>1662392</v>
      </c>
      <c r="AB94" s="18">
        <v>169869</v>
      </c>
      <c r="AC94" s="18">
        <v>20519</v>
      </c>
      <c r="AD94" s="7"/>
      <c r="AE94" s="7"/>
      <c r="AF94" s="7"/>
      <c r="AG94" s="7"/>
      <c r="AH94" s="7"/>
      <c r="AI94" s="7"/>
      <c r="AJ94" s="7"/>
      <c r="AK94" s="7"/>
      <c r="AL94" s="7"/>
      <c r="AM94" s="7"/>
      <c r="AN94" s="7"/>
      <c r="AO94" s="7"/>
      <c r="AP94" s="7"/>
      <c r="AQ94" s="7"/>
      <c r="AR94" s="7"/>
      <c r="AS94" s="7"/>
      <c r="AT94" s="7"/>
      <c r="AU94" s="7"/>
      <c r="AV94" s="7"/>
      <c r="AW94" s="7"/>
      <c r="AX94" s="7"/>
      <c r="AY94" s="7"/>
      <c r="AZ94" s="7"/>
    </row>
    <row r="95" spans="1:52" ht="63" customHeight="1">
      <c r="A95" s="20" t="s">
        <v>541</v>
      </c>
      <c r="B95" s="7">
        <v>1</v>
      </c>
      <c r="C95" s="7" t="s">
        <v>94</v>
      </c>
      <c r="D95" s="7" t="s">
        <v>233</v>
      </c>
      <c r="E95" s="7" t="s">
        <v>37</v>
      </c>
      <c r="F95" s="7" t="s">
        <v>542</v>
      </c>
      <c r="G95" s="7">
        <v>1862</v>
      </c>
      <c r="H95" s="7" t="s">
        <v>543</v>
      </c>
      <c r="I95" s="14" t="str">
        <f>HYPERLINK("https://help.landregistry.gov.uk/app/contactus_general","Please complete an enquiry form online")</f>
        <v>Please complete an enquiry form online</v>
      </c>
      <c r="J95" s="14" t="str">
        <f>HYPERLINK("http://www.gov.uk/land-registry","http://www.gov.uk/land-registry")</f>
        <v>http://www.gov.uk/land-registry</v>
      </c>
      <c r="K95" s="7" t="s">
        <v>544</v>
      </c>
      <c r="L95" s="7" t="s">
        <v>545</v>
      </c>
      <c r="M95" s="7" t="s">
        <v>42</v>
      </c>
      <c r="N95" s="15" t="s">
        <v>43</v>
      </c>
      <c r="O95" s="16">
        <v>55000</v>
      </c>
      <c r="P95" s="15" t="s">
        <v>52</v>
      </c>
      <c r="Q95" s="15" t="s">
        <v>193</v>
      </c>
      <c r="R95" s="7" t="s">
        <v>37</v>
      </c>
      <c r="S95" s="7" t="s">
        <v>37</v>
      </c>
      <c r="T95" s="7" t="s">
        <v>43</v>
      </c>
      <c r="U95" s="7" t="s">
        <v>546</v>
      </c>
      <c r="V95" s="7">
        <v>2016</v>
      </c>
      <c r="W95" s="26">
        <v>5074</v>
      </c>
      <c r="X95" s="18">
        <v>0</v>
      </c>
      <c r="Y95" s="18">
        <v>326288</v>
      </c>
      <c r="Z95" s="18">
        <f>IF(SUM(Y95)&lt;&gt;0,SUM(Y95),"")</f>
        <v>326288</v>
      </c>
      <c r="AA95" s="18">
        <v>321224</v>
      </c>
      <c r="AB95" s="18">
        <v>16856</v>
      </c>
      <c r="AC95" s="18">
        <v>0</v>
      </c>
      <c r="AD95" s="7" t="s">
        <v>547</v>
      </c>
      <c r="AE95" s="7"/>
      <c r="AF95" s="7"/>
      <c r="AG95" s="7"/>
      <c r="AH95" s="7"/>
      <c r="AI95" s="7"/>
      <c r="AJ95" s="7"/>
      <c r="AK95" s="7"/>
      <c r="AL95" s="7"/>
      <c r="AM95" s="7"/>
      <c r="AN95" s="7"/>
      <c r="AO95" s="7"/>
      <c r="AP95" s="7"/>
      <c r="AQ95" s="7"/>
      <c r="AR95" s="7"/>
      <c r="AS95" s="7"/>
      <c r="AT95" s="7"/>
      <c r="AU95" s="7"/>
      <c r="AV95" s="7"/>
      <c r="AW95" s="7"/>
      <c r="AX95" s="7"/>
      <c r="AY95" s="7"/>
      <c r="AZ95" s="7"/>
    </row>
    <row r="96" spans="1:52" ht="63" customHeight="1">
      <c r="A96" s="20" t="s">
        <v>548</v>
      </c>
      <c r="B96" s="7">
        <v>1</v>
      </c>
      <c r="C96" s="7" t="s">
        <v>89</v>
      </c>
      <c r="D96" s="7" t="s">
        <v>108</v>
      </c>
      <c r="E96" s="7" t="s">
        <v>37</v>
      </c>
      <c r="F96" s="7" t="s">
        <v>549</v>
      </c>
      <c r="G96" s="7">
        <v>2008</v>
      </c>
      <c r="H96" s="7" t="s">
        <v>550</v>
      </c>
      <c r="I96" s="14" t="str">
        <f>HYPERLINK("mailto:public.enquiries@noms.gsi.gov.uk","public.enquiries@noms.gsi.gov.uk")</f>
        <v>public.enquiries@noms.gsi.gov.uk</v>
      </c>
      <c r="J96" s="14" t="str">
        <f>HYPERLINK("https://www.gov.uk/government/organisations/her-majestys-prison-and-probation-service/about","https://www.gov.uk/government/organisations/her-majestys-prison-and-probation-service/about")</f>
        <v>https://www.gov.uk/government/organisations/her-majestys-prison-and-probation-service/about</v>
      </c>
      <c r="K96" s="7" t="s">
        <v>538</v>
      </c>
      <c r="L96" s="13" t="s">
        <v>46</v>
      </c>
      <c r="M96" s="13" t="s">
        <v>46</v>
      </c>
      <c r="N96" s="17" t="s">
        <v>46</v>
      </c>
      <c r="O96" s="16"/>
      <c r="P96" s="15" t="s">
        <v>52</v>
      </c>
      <c r="Q96" s="17" t="s">
        <v>551</v>
      </c>
      <c r="R96" s="7" t="s">
        <v>37</v>
      </c>
      <c r="S96" s="7" t="s">
        <v>37</v>
      </c>
      <c r="T96" s="7" t="s">
        <v>43</v>
      </c>
      <c r="U96" s="7" t="s">
        <v>552</v>
      </c>
      <c r="V96" s="13">
        <v>2011</v>
      </c>
      <c r="W96" s="39">
        <v>48781</v>
      </c>
      <c r="X96" s="18">
        <v>4249000</v>
      </c>
      <c r="Y96" s="18">
        <v>245575</v>
      </c>
      <c r="Z96" s="18">
        <v>4494575</v>
      </c>
      <c r="AA96" s="18">
        <v>3998274</v>
      </c>
      <c r="AB96" s="18">
        <v>68751</v>
      </c>
      <c r="AC96" s="18">
        <v>187000</v>
      </c>
      <c r="AD96" s="7"/>
      <c r="AE96" s="7"/>
      <c r="AF96" s="7"/>
      <c r="AG96" s="7"/>
      <c r="AH96" s="7"/>
      <c r="AI96" s="7"/>
      <c r="AJ96" s="7"/>
      <c r="AK96" s="7"/>
      <c r="AL96" s="7"/>
      <c r="AM96" s="7"/>
      <c r="AN96" s="7"/>
      <c r="AO96" s="7"/>
      <c r="AP96" s="7"/>
      <c r="AQ96" s="7"/>
      <c r="AR96" s="7"/>
      <c r="AS96" s="7"/>
      <c r="AT96" s="7"/>
      <c r="AU96" s="7"/>
      <c r="AV96" s="7"/>
      <c r="AW96" s="7"/>
      <c r="AX96" s="7"/>
      <c r="AY96" s="7"/>
      <c r="AZ96" s="7"/>
    </row>
    <row r="97" spans="1:52" ht="63" customHeight="1">
      <c r="A97" s="20" t="s">
        <v>553</v>
      </c>
      <c r="B97" s="7">
        <v>1</v>
      </c>
      <c r="C97" s="7" t="s">
        <v>275</v>
      </c>
      <c r="D97" s="7" t="s">
        <v>233</v>
      </c>
      <c r="E97" s="7" t="s">
        <v>37</v>
      </c>
      <c r="F97" s="7" t="s">
        <v>554</v>
      </c>
      <c r="G97" s="7">
        <v>2005</v>
      </c>
      <c r="H97" s="7"/>
      <c r="I97" s="28" t="s">
        <v>555</v>
      </c>
      <c r="J97" s="14" t="s">
        <v>556</v>
      </c>
      <c r="K97" s="7" t="s">
        <v>557</v>
      </c>
      <c r="L97" s="7" t="s">
        <v>558</v>
      </c>
      <c r="M97" s="7" t="s">
        <v>71</v>
      </c>
      <c r="N97" s="15" t="s">
        <v>43</v>
      </c>
      <c r="O97" s="16" t="s">
        <v>559</v>
      </c>
      <c r="P97" s="15" t="s">
        <v>52</v>
      </c>
      <c r="Q97" s="17" t="s">
        <v>560</v>
      </c>
      <c r="R97" s="7" t="s">
        <v>37</v>
      </c>
      <c r="S97" s="7" t="s">
        <v>37</v>
      </c>
      <c r="T97" s="7" t="s">
        <v>37</v>
      </c>
      <c r="U97" s="7" t="s">
        <v>54</v>
      </c>
      <c r="V97" s="7"/>
      <c r="W97" s="39">
        <v>58773</v>
      </c>
      <c r="X97" s="18">
        <v>44052593.456494696</v>
      </c>
      <c r="Y97" s="18">
        <v>181300</v>
      </c>
      <c r="Z97" s="18">
        <v>44233893</v>
      </c>
      <c r="AA97" s="18">
        <v>3708986.5234028101</v>
      </c>
      <c r="AB97" s="18">
        <v>378.4</v>
      </c>
      <c r="AC97" s="18">
        <v>40160966</v>
      </c>
      <c r="AD97" s="7"/>
      <c r="AE97" s="7"/>
      <c r="AF97" s="7"/>
      <c r="AG97" s="7"/>
      <c r="AH97" s="7"/>
      <c r="AI97" s="7"/>
      <c r="AJ97" s="7"/>
      <c r="AK97" s="7"/>
      <c r="AL97" s="7"/>
      <c r="AM97" s="7"/>
      <c r="AN97" s="7"/>
      <c r="AO97" s="7"/>
      <c r="AP97" s="7"/>
      <c r="AQ97" s="7"/>
      <c r="AR97" s="7"/>
      <c r="AS97" s="7"/>
      <c r="AT97" s="7"/>
      <c r="AU97" s="7"/>
      <c r="AV97" s="7"/>
      <c r="AW97" s="7"/>
      <c r="AX97" s="7"/>
      <c r="AY97" s="7"/>
      <c r="AZ97" s="7"/>
    </row>
    <row r="98" spans="1:52" ht="63" customHeight="1">
      <c r="A98" s="20" t="s">
        <v>561</v>
      </c>
      <c r="B98" s="7">
        <v>1</v>
      </c>
      <c r="C98" s="7" t="s">
        <v>206</v>
      </c>
      <c r="D98" s="7" t="s">
        <v>95</v>
      </c>
      <c r="E98" s="7" t="s">
        <v>37</v>
      </c>
      <c r="F98" s="7" t="s">
        <v>562</v>
      </c>
      <c r="G98" s="7">
        <v>2009</v>
      </c>
      <c r="H98" s="7"/>
      <c r="I98" s="14" t="str">
        <f>HYPERLINK("mailto:HS2enquiries@hs2.org.uk","HS2enquiries@hs2.org.uk")</f>
        <v>HS2enquiries@hs2.org.uk</v>
      </c>
      <c r="J98" s="14" t="str">
        <f>HYPERLINK("https://www.gov.uk/government/organisations/high-speed-two-limited","www.gov.uk/HS2")</f>
        <v>www.gov.uk/HS2</v>
      </c>
      <c r="K98" s="7" t="s">
        <v>563</v>
      </c>
      <c r="L98" s="27" t="s">
        <v>564</v>
      </c>
      <c r="M98" s="13" t="s">
        <v>42</v>
      </c>
      <c r="N98" s="15" t="s">
        <v>43</v>
      </c>
      <c r="O98" s="16">
        <v>200000</v>
      </c>
      <c r="P98" s="15" t="s">
        <v>52</v>
      </c>
      <c r="Q98" s="17" t="s">
        <v>100</v>
      </c>
      <c r="R98" s="7" t="s">
        <v>43</v>
      </c>
      <c r="S98" s="7" t="s">
        <v>43</v>
      </c>
      <c r="T98" s="7" t="s">
        <v>43</v>
      </c>
      <c r="U98" s="7" t="s">
        <v>54</v>
      </c>
      <c r="V98" s="7">
        <v>2018</v>
      </c>
      <c r="W98" s="26">
        <v>1389</v>
      </c>
      <c r="X98" s="18">
        <v>1730000</v>
      </c>
      <c r="Y98" s="18">
        <v>105000</v>
      </c>
      <c r="Z98" s="18">
        <v>1835000</v>
      </c>
      <c r="AA98" s="18">
        <v>1826403</v>
      </c>
      <c r="AB98" s="18">
        <v>255162</v>
      </c>
      <c r="AC98" s="18">
        <v>2135</v>
      </c>
      <c r="AD98" s="7" t="s">
        <v>565</v>
      </c>
      <c r="AE98" s="7"/>
      <c r="AF98" s="7"/>
      <c r="AG98" s="7"/>
      <c r="AH98" s="7"/>
      <c r="AI98" s="7"/>
      <c r="AJ98" s="7"/>
      <c r="AK98" s="7"/>
      <c r="AL98" s="7"/>
      <c r="AM98" s="7"/>
      <c r="AN98" s="7"/>
      <c r="AO98" s="7"/>
      <c r="AP98" s="7"/>
      <c r="AQ98" s="7"/>
      <c r="AR98" s="7"/>
      <c r="AS98" s="7"/>
      <c r="AT98" s="7"/>
      <c r="AU98" s="7"/>
      <c r="AV98" s="7"/>
      <c r="AW98" s="7"/>
      <c r="AX98" s="7"/>
      <c r="AY98" s="7"/>
      <c r="AZ98" s="7"/>
    </row>
    <row r="99" spans="1:52" ht="63" customHeight="1">
      <c r="A99" s="20" t="s">
        <v>566</v>
      </c>
      <c r="B99" s="7">
        <v>1</v>
      </c>
      <c r="C99" s="7" t="s">
        <v>122</v>
      </c>
      <c r="D99" s="7" t="s">
        <v>95</v>
      </c>
      <c r="E99" s="7" t="s">
        <v>37</v>
      </c>
      <c r="F99" s="7" t="s">
        <v>567</v>
      </c>
      <c r="G99" s="7">
        <v>1984</v>
      </c>
      <c r="H99" s="7" t="s">
        <v>568</v>
      </c>
      <c r="I99" s="14" t="str">
        <f>HYPERLINK("mailto:customers@historicengland.org.uk","customers@historicengland.org.uk")</f>
        <v>customers@historicengland.org.uk</v>
      </c>
      <c r="J99" s="14" t="s">
        <v>569</v>
      </c>
      <c r="K99" s="7" t="s">
        <v>570</v>
      </c>
      <c r="L99" s="7" t="s">
        <v>571</v>
      </c>
      <c r="M99" s="13" t="s">
        <v>42</v>
      </c>
      <c r="N99" s="15" t="s">
        <v>43</v>
      </c>
      <c r="O99" s="16">
        <v>40000</v>
      </c>
      <c r="P99" s="15" t="s">
        <v>52</v>
      </c>
      <c r="Q99" s="7" t="s">
        <v>572</v>
      </c>
      <c r="R99" s="7" t="s">
        <v>37</v>
      </c>
      <c r="S99" s="7" t="s">
        <v>43</v>
      </c>
      <c r="T99" s="7" t="s">
        <v>43</v>
      </c>
      <c r="U99" s="7" t="s">
        <v>54</v>
      </c>
      <c r="V99" s="7"/>
      <c r="W99" s="7">
        <v>822.6</v>
      </c>
      <c r="X99" s="18">
        <v>91606</v>
      </c>
      <c r="Y99" s="18">
        <v>14337</v>
      </c>
      <c r="Z99" s="18">
        <f>(X99+Y99)</f>
        <v>105943</v>
      </c>
      <c r="AA99" s="18">
        <v>73920</v>
      </c>
      <c r="AB99" s="18">
        <v>17322</v>
      </c>
      <c r="AC99" s="18">
        <v>2101</v>
      </c>
      <c r="AD99" s="7"/>
      <c r="AE99" s="7"/>
      <c r="AF99" s="7"/>
      <c r="AG99" s="7"/>
      <c r="AH99" s="7"/>
      <c r="AI99" s="7"/>
      <c r="AJ99" s="7"/>
      <c r="AK99" s="7"/>
      <c r="AL99" s="7"/>
      <c r="AM99" s="7"/>
      <c r="AN99" s="7"/>
      <c r="AO99" s="7"/>
      <c r="AP99" s="7"/>
      <c r="AQ99" s="7"/>
      <c r="AR99" s="7"/>
      <c r="AS99" s="7"/>
      <c r="AT99" s="7"/>
      <c r="AU99" s="7"/>
      <c r="AV99" s="7"/>
      <c r="AW99" s="7"/>
      <c r="AX99" s="7"/>
      <c r="AY99" s="7"/>
      <c r="AZ99" s="7"/>
    </row>
    <row r="100" spans="1:52" ht="63" customHeight="1">
      <c r="A100" s="20" t="s">
        <v>573</v>
      </c>
      <c r="B100" s="7">
        <v>1</v>
      </c>
      <c r="C100" s="7" t="s">
        <v>212</v>
      </c>
      <c r="D100" s="7" t="s">
        <v>95</v>
      </c>
      <c r="E100" s="7" t="s">
        <v>37</v>
      </c>
      <c r="F100" s="7" t="s">
        <v>574</v>
      </c>
      <c r="G100" s="7">
        <v>2008</v>
      </c>
      <c r="H100" s="7" t="s">
        <v>575</v>
      </c>
      <c r="I100" s="14" t="str">
        <f>HYPERLINK("mailto:enquiries@homesengland.gov.uk","enquiries@homesengland.gov.uk")</f>
        <v>enquiries@homesengland.gov.uk</v>
      </c>
      <c r="J100" s="14" t="s">
        <v>576</v>
      </c>
      <c r="K100" s="13" t="s">
        <v>577</v>
      </c>
      <c r="L100" s="27" t="s">
        <v>578</v>
      </c>
      <c r="M100" s="13" t="s">
        <v>42</v>
      </c>
      <c r="N100" s="15" t="s">
        <v>43</v>
      </c>
      <c r="O100" s="16">
        <v>68000</v>
      </c>
      <c r="P100" s="15" t="s">
        <v>52</v>
      </c>
      <c r="Q100" s="17" t="s">
        <v>419</v>
      </c>
      <c r="R100" s="7" t="s">
        <v>37</v>
      </c>
      <c r="S100" s="7" t="s">
        <v>43</v>
      </c>
      <c r="T100" s="7" t="s">
        <v>43</v>
      </c>
      <c r="U100" s="7" t="s">
        <v>46</v>
      </c>
      <c r="V100" s="7">
        <v>2016</v>
      </c>
      <c r="W100" s="26">
        <v>1016</v>
      </c>
      <c r="X100" s="18">
        <v>4094000</v>
      </c>
      <c r="Y100" s="18">
        <v>1340000</v>
      </c>
      <c r="Z100" s="18">
        <v>5434000</v>
      </c>
      <c r="AA100" s="18">
        <v>124000</v>
      </c>
      <c r="AB100" s="18">
        <v>5403000</v>
      </c>
      <c r="AC100" s="18">
        <v>175000</v>
      </c>
      <c r="AD100" s="7"/>
      <c r="AE100" s="13" t="s">
        <v>56</v>
      </c>
      <c r="AF100" s="7"/>
      <c r="AG100" s="7"/>
      <c r="AH100" s="7"/>
      <c r="AI100" s="7"/>
      <c r="AJ100" s="7"/>
      <c r="AK100" s="7"/>
      <c r="AL100" s="7"/>
      <c r="AM100" s="7"/>
      <c r="AN100" s="7"/>
      <c r="AO100" s="7"/>
      <c r="AP100" s="7"/>
      <c r="AQ100" s="7"/>
      <c r="AR100" s="7"/>
      <c r="AS100" s="7"/>
      <c r="AT100" s="7"/>
      <c r="AU100" s="7"/>
      <c r="AV100" s="7"/>
      <c r="AW100" s="7"/>
      <c r="AX100" s="7"/>
      <c r="AY100" s="7"/>
      <c r="AZ100" s="7"/>
    </row>
    <row r="101" spans="1:52" ht="63" customHeight="1">
      <c r="A101" s="20" t="s">
        <v>579</v>
      </c>
      <c r="B101" s="7">
        <v>1</v>
      </c>
      <c r="C101" s="7" t="s">
        <v>122</v>
      </c>
      <c r="D101" s="7" t="s">
        <v>95</v>
      </c>
      <c r="E101" s="7" t="s">
        <v>37</v>
      </c>
      <c r="F101" s="7" t="s">
        <v>580</v>
      </c>
      <c r="G101" s="7">
        <v>1901</v>
      </c>
      <c r="H101" s="7"/>
      <c r="I101" s="14" t="str">
        <f>HYPERLINK("mailto:enquiry@horniman.ac.uk","enquiry@horniman.ac.uk")</f>
        <v>enquiry@horniman.ac.uk</v>
      </c>
      <c r="J101" s="14" t="s">
        <v>581</v>
      </c>
      <c r="K101" s="7" t="s">
        <v>582</v>
      </c>
      <c r="L101" s="7" t="s">
        <v>583</v>
      </c>
      <c r="M101" s="7" t="s">
        <v>42</v>
      </c>
      <c r="N101" s="15" t="s">
        <v>37</v>
      </c>
      <c r="O101" s="16"/>
      <c r="P101" s="15"/>
      <c r="Q101" s="13" t="s">
        <v>584</v>
      </c>
      <c r="R101" s="7" t="s">
        <v>37</v>
      </c>
      <c r="S101" s="7" t="s">
        <v>43</v>
      </c>
      <c r="T101" s="7" t="s">
        <v>43</v>
      </c>
      <c r="U101" s="7" t="s">
        <v>54</v>
      </c>
      <c r="V101" s="7">
        <v>2017</v>
      </c>
      <c r="W101" s="7">
        <v>117</v>
      </c>
      <c r="X101" s="18">
        <v>3870</v>
      </c>
      <c r="Y101" s="18">
        <v>3620</v>
      </c>
      <c r="Z101" s="18">
        <f t="shared" ref="Z101:Z102" si="3">(X101+Y101)</f>
        <v>7490</v>
      </c>
      <c r="AA101" s="18">
        <v>3752</v>
      </c>
      <c r="AB101" s="18">
        <v>477</v>
      </c>
      <c r="AC101" s="18">
        <v>0</v>
      </c>
      <c r="AD101" s="7"/>
      <c r="AE101" s="7"/>
      <c r="AF101" s="7"/>
      <c r="AG101" s="7"/>
      <c r="AH101" s="7"/>
      <c r="AI101" s="7"/>
      <c r="AJ101" s="7"/>
      <c r="AK101" s="7"/>
      <c r="AL101" s="7"/>
      <c r="AM101" s="7"/>
      <c r="AN101" s="7"/>
      <c r="AO101" s="7"/>
      <c r="AP101" s="7"/>
      <c r="AQ101" s="7"/>
      <c r="AR101" s="7"/>
      <c r="AS101" s="7"/>
      <c r="AT101" s="7"/>
      <c r="AU101" s="7"/>
      <c r="AV101" s="7"/>
      <c r="AW101" s="7"/>
      <c r="AX101" s="7"/>
      <c r="AY101" s="7"/>
      <c r="AZ101" s="7"/>
    </row>
    <row r="102" spans="1:52" ht="63" customHeight="1">
      <c r="A102" s="20" t="s">
        <v>585</v>
      </c>
      <c r="B102" s="7">
        <v>1</v>
      </c>
      <c r="C102" s="7" t="s">
        <v>122</v>
      </c>
      <c r="D102" s="7" t="s">
        <v>95</v>
      </c>
      <c r="E102" s="7" t="s">
        <v>37</v>
      </c>
      <c r="F102" s="7" t="s">
        <v>586</v>
      </c>
      <c r="G102" s="7">
        <v>1961</v>
      </c>
      <c r="H102" s="7"/>
      <c r="I102" s="14" t="str">
        <f>HYPERLINK("mailto:annabel.fearn@hblb.org.uk","annabel.fearn@hblb.org.uk")</f>
        <v>annabel.fearn@hblb.org.uk</v>
      </c>
      <c r="J102" s="14" t="s">
        <v>587</v>
      </c>
      <c r="K102" s="7" t="s">
        <v>588</v>
      </c>
      <c r="L102" s="7" t="s">
        <v>589</v>
      </c>
      <c r="M102" s="13" t="s">
        <v>42</v>
      </c>
      <c r="N102" s="15" t="s">
        <v>43</v>
      </c>
      <c r="O102" s="16">
        <v>63020</v>
      </c>
      <c r="P102" s="15" t="s">
        <v>52</v>
      </c>
      <c r="Q102" s="7" t="s">
        <v>590</v>
      </c>
      <c r="R102" s="7" t="s">
        <v>37</v>
      </c>
      <c r="S102" s="7" t="s">
        <v>37</v>
      </c>
      <c r="T102" s="7" t="s">
        <v>43</v>
      </c>
      <c r="U102" s="7"/>
      <c r="V102" s="7"/>
      <c r="W102" s="7">
        <v>10.199999999999999</v>
      </c>
      <c r="X102" s="18">
        <v>0</v>
      </c>
      <c r="Y102" s="18">
        <v>0</v>
      </c>
      <c r="Z102" s="18">
        <f t="shared" si="3"/>
        <v>0</v>
      </c>
      <c r="AA102" s="18">
        <v>0</v>
      </c>
      <c r="AB102" s="18">
        <v>0</v>
      </c>
      <c r="AC102" s="18">
        <v>0</v>
      </c>
      <c r="AD102" s="7"/>
      <c r="AE102" s="7"/>
      <c r="AF102" s="7"/>
      <c r="AG102" s="7"/>
      <c r="AH102" s="7"/>
      <c r="AI102" s="7"/>
      <c r="AJ102" s="7"/>
      <c r="AK102" s="7"/>
      <c r="AL102" s="7"/>
      <c r="AM102" s="7"/>
      <c r="AN102" s="7"/>
      <c r="AO102" s="7"/>
      <c r="AP102" s="7"/>
      <c r="AQ102" s="7"/>
      <c r="AR102" s="7"/>
      <c r="AS102" s="7"/>
      <c r="AT102" s="7"/>
      <c r="AU102" s="7"/>
      <c r="AV102" s="7"/>
      <c r="AW102" s="7"/>
      <c r="AX102" s="7"/>
      <c r="AY102" s="7"/>
      <c r="AZ102" s="7"/>
    </row>
    <row r="103" spans="1:52" ht="63" customHeight="1">
      <c r="A103" s="20" t="s">
        <v>591</v>
      </c>
      <c r="B103" s="7">
        <v>1</v>
      </c>
      <c r="C103" s="7" t="s">
        <v>48</v>
      </c>
      <c r="D103" s="7" t="s">
        <v>36</v>
      </c>
      <c r="E103" s="7" t="s">
        <v>37</v>
      </c>
      <c r="F103" s="7" t="s">
        <v>592</v>
      </c>
      <c r="G103" s="7">
        <v>2000</v>
      </c>
      <c r="H103" s="7"/>
      <c r="I103" s="14" t="str">
        <f>HYPERLINK("mailto:enquiry@lordsappointments.gov.uk","enquiry@lordsappointments.gov.uk")</f>
        <v>enquiry@lordsappointments.gov.uk</v>
      </c>
      <c r="J103" s="14" t="str">
        <f>HYPERLINK("http://lordsappointments.independent.gov.uk/","http://lordsappointments.independent.gov.uk/")</f>
        <v>http://lordsappointments.independent.gov.uk/</v>
      </c>
      <c r="K103" s="7" t="s">
        <v>593</v>
      </c>
      <c r="L103" s="27" t="s">
        <v>594</v>
      </c>
      <c r="M103" s="13" t="s">
        <v>42</v>
      </c>
      <c r="N103" s="15" t="s">
        <v>43</v>
      </c>
      <c r="O103" s="16">
        <v>8000</v>
      </c>
      <c r="P103" s="15"/>
      <c r="Q103" s="22" t="s">
        <v>595</v>
      </c>
      <c r="R103" s="7" t="s">
        <v>37</v>
      </c>
      <c r="S103" s="7" t="s">
        <v>43</v>
      </c>
      <c r="T103" s="7" t="s">
        <v>43</v>
      </c>
      <c r="U103" s="7" t="s">
        <v>54</v>
      </c>
      <c r="V103" s="7">
        <v>2013</v>
      </c>
      <c r="W103" s="7">
        <v>0.5</v>
      </c>
      <c r="X103" s="18">
        <v>69</v>
      </c>
      <c r="Y103" s="18">
        <v>0</v>
      </c>
      <c r="Z103" s="18">
        <v>69</v>
      </c>
      <c r="AA103" s="18">
        <v>34</v>
      </c>
      <c r="AB103" s="18">
        <v>0</v>
      </c>
      <c r="AC103" s="18">
        <v>0</v>
      </c>
      <c r="AD103" s="7" t="s">
        <v>596</v>
      </c>
      <c r="AE103" s="13" t="s">
        <v>56</v>
      </c>
      <c r="AF103" s="7"/>
      <c r="AG103" s="7"/>
      <c r="AH103" s="7"/>
      <c r="AI103" s="7"/>
      <c r="AJ103" s="7"/>
      <c r="AK103" s="7"/>
      <c r="AL103" s="7"/>
      <c r="AM103" s="7"/>
      <c r="AN103" s="7"/>
      <c r="AO103" s="7"/>
      <c r="AP103" s="7"/>
      <c r="AQ103" s="7"/>
      <c r="AR103" s="7"/>
      <c r="AS103" s="7"/>
      <c r="AT103" s="7"/>
      <c r="AU103" s="7"/>
      <c r="AV103" s="7"/>
      <c r="AW103" s="7"/>
      <c r="AX103" s="7"/>
      <c r="AY103" s="7"/>
      <c r="AZ103" s="7"/>
    </row>
    <row r="104" spans="1:52" ht="63" customHeight="1">
      <c r="A104" s="20" t="s">
        <v>597</v>
      </c>
      <c r="B104" s="7">
        <v>1</v>
      </c>
      <c r="C104" s="7" t="s">
        <v>58</v>
      </c>
      <c r="D104" s="7" t="s">
        <v>95</v>
      </c>
      <c r="E104" s="7" t="s">
        <v>43</v>
      </c>
      <c r="F104" s="7" t="s">
        <v>598</v>
      </c>
      <c r="G104" s="7">
        <v>1991</v>
      </c>
      <c r="H104" s="7"/>
      <c r="I104" s="14" t="str">
        <f>HYPERLINK("mailto:enquiriesteam@hfea.gov.uk","enquiriesteam@hfea.gov.uk")</f>
        <v>enquiriesteam@hfea.gov.uk</v>
      </c>
      <c r="J104" s="14" t="str">
        <f>HYPERLINK("http://www.hfea.gov.uk/","http://www.hfea.gov.uk/")</f>
        <v>http://www.hfea.gov.uk/</v>
      </c>
      <c r="K104" s="7" t="s">
        <v>599</v>
      </c>
      <c r="L104" s="7" t="s">
        <v>600</v>
      </c>
      <c r="M104" s="7" t="s">
        <v>42</v>
      </c>
      <c r="N104" s="15" t="s">
        <v>43</v>
      </c>
      <c r="O104" s="16">
        <v>47360</v>
      </c>
      <c r="P104" s="15" t="s">
        <v>52</v>
      </c>
      <c r="Q104" s="15" t="s">
        <v>534</v>
      </c>
      <c r="R104" s="7" t="s">
        <v>43</v>
      </c>
      <c r="S104" s="7" t="s">
        <v>43</v>
      </c>
      <c r="T104" s="7" t="s">
        <v>43</v>
      </c>
      <c r="U104" s="7" t="s">
        <v>54</v>
      </c>
      <c r="V104" s="7">
        <v>2017</v>
      </c>
      <c r="W104" s="7">
        <v>67</v>
      </c>
      <c r="X104" s="18">
        <v>933.625</v>
      </c>
      <c r="Y104" s="18">
        <v>5598</v>
      </c>
      <c r="Z104" s="18">
        <v>6532</v>
      </c>
      <c r="AA104" s="18">
        <v>6515</v>
      </c>
      <c r="AB104" s="18">
        <v>464</v>
      </c>
      <c r="AC104" s="18">
        <v>46</v>
      </c>
      <c r="AD104" s="7"/>
      <c r="AE104" s="13" t="s">
        <v>56</v>
      </c>
      <c r="AF104" s="7"/>
      <c r="AG104" s="7"/>
      <c r="AH104" s="7"/>
      <c r="AI104" s="7"/>
      <c r="AJ104" s="7"/>
      <c r="AK104" s="7"/>
      <c r="AL104" s="7"/>
      <c r="AM104" s="7"/>
      <c r="AN104" s="7"/>
      <c r="AO104" s="7"/>
      <c r="AP104" s="7"/>
      <c r="AQ104" s="7"/>
      <c r="AR104" s="7"/>
      <c r="AS104" s="7"/>
      <c r="AT104" s="7"/>
      <c r="AU104" s="7"/>
      <c r="AV104" s="7"/>
      <c r="AW104" s="7"/>
      <c r="AX104" s="7"/>
      <c r="AY104" s="7"/>
      <c r="AZ104" s="7"/>
    </row>
    <row r="105" spans="1:52" ht="63" customHeight="1">
      <c r="A105" s="20" t="s">
        <v>601</v>
      </c>
      <c r="B105" s="7">
        <v>1</v>
      </c>
      <c r="C105" s="7" t="s">
        <v>58</v>
      </c>
      <c r="D105" s="7" t="s">
        <v>95</v>
      </c>
      <c r="E105" s="7" t="s">
        <v>43</v>
      </c>
      <c r="F105" s="7" t="s">
        <v>602</v>
      </c>
      <c r="G105" s="7">
        <v>2005</v>
      </c>
      <c r="H105" s="7"/>
      <c r="I105" s="14" t="str">
        <f>HYPERLINK("mailto:enquiries@hta.gov.uk","enquiries@hta.gov.uk")</f>
        <v>enquiries@hta.gov.uk</v>
      </c>
      <c r="J105" s="14" t="str">
        <f>HYPERLINK("http://www.hta.gov.uk/","http://www.hta.gov.uk/")</f>
        <v>http://www.hta.gov.uk/</v>
      </c>
      <c r="K105" s="7" t="s">
        <v>599</v>
      </c>
      <c r="L105" s="7" t="s">
        <v>603</v>
      </c>
      <c r="M105" s="7" t="s">
        <v>42</v>
      </c>
      <c r="N105" s="15" t="s">
        <v>43</v>
      </c>
      <c r="O105" s="16">
        <v>42000</v>
      </c>
      <c r="P105" s="15" t="s">
        <v>52</v>
      </c>
      <c r="Q105" s="15" t="s">
        <v>464</v>
      </c>
      <c r="R105" s="7" t="s">
        <v>43</v>
      </c>
      <c r="S105" s="7" t="s">
        <v>43</v>
      </c>
      <c r="T105" s="7" t="s">
        <v>43</v>
      </c>
      <c r="U105" s="7" t="s">
        <v>54</v>
      </c>
      <c r="V105" s="7">
        <v>2017</v>
      </c>
      <c r="W105" s="7">
        <v>49.5</v>
      </c>
      <c r="X105" s="18">
        <v>703</v>
      </c>
      <c r="Y105" s="18">
        <v>4180</v>
      </c>
      <c r="Z105" s="18">
        <v>4883</v>
      </c>
      <c r="AA105" s="18">
        <v>4800</v>
      </c>
      <c r="AB105" s="18">
        <v>33</v>
      </c>
      <c r="AC105" s="18">
        <v>11</v>
      </c>
      <c r="AD105" s="7"/>
      <c r="AE105" s="13" t="s">
        <v>56</v>
      </c>
      <c r="AF105" s="7"/>
      <c r="AG105" s="7"/>
      <c r="AH105" s="7"/>
      <c r="AI105" s="7"/>
      <c r="AJ105" s="7"/>
      <c r="AK105" s="7"/>
      <c r="AL105" s="7"/>
      <c r="AM105" s="7"/>
      <c r="AN105" s="7"/>
      <c r="AO105" s="7"/>
      <c r="AP105" s="7"/>
      <c r="AQ105" s="7"/>
      <c r="AR105" s="7"/>
      <c r="AS105" s="7"/>
      <c r="AT105" s="7"/>
      <c r="AU105" s="7"/>
      <c r="AV105" s="7"/>
      <c r="AW105" s="7"/>
      <c r="AX105" s="7"/>
      <c r="AY105" s="7"/>
      <c r="AZ105" s="7"/>
    </row>
    <row r="106" spans="1:52" ht="63" customHeight="1">
      <c r="A106" s="20" t="s">
        <v>604</v>
      </c>
      <c r="B106" s="7">
        <v>1</v>
      </c>
      <c r="C106" s="7" t="s">
        <v>122</v>
      </c>
      <c r="D106" s="7" t="s">
        <v>95</v>
      </c>
      <c r="E106" s="7" t="s">
        <v>37</v>
      </c>
      <c r="F106" s="7" t="s">
        <v>605</v>
      </c>
      <c r="G106" s="7">
        <v>1917</v>
      </c>
      <c r="H106" s="7"/>
      <c r="I106" s="14" t="str">
        <f>HYPERLINK("mailto:mail@iwm.org.uk","mail@iwm.org.uk")</f>
        <v>mail@iwm.org.uk</v>
      </c>
      <c r="J106" s="14" t="s">
        <v>606</v>
      </c>
      <c r="K106" s="7" t="s">
        <v>197</v>
      </c>
      <c r="L106" s="7" t="s">
        <v>607</v>
      </c>
      <c r="M106" s="13" t="s">
        <v>42</v>
      </c>
      <c r="N106" s="15" t="s">
        <v>37</v>
      </c>
      <c r="O106" s="16"/>
      <c r="P106" s="15"/>
      <c r="Q106" s="13" t="s">
        <v>608</v>
      </c>
      <c r="R106" s="7" t="s">
        <v>37</v>
      </c>
      <c r="S106" s="7" t="s">
        <v>43</v>
      </c>
      <c r="T106" s="7" t="s">
        <v>43</v>
      </c>
      <c r="U106" s="7" t="s">
        <v>54</v>
      </c>
      <c r="V106" s="7">
        <v>2017</v>
      </c>
      <c r="W106" s="7">
        <v>464</v>
      </c>
      <c r="X106" s="18">
        <v>25739</v>
      </c>
      <c r="Y106" s="18">
        <v>43478</v>
      </c>
      <c r="Z106" s="18">
        <f>(X106+Y106)</f>
        <v>69217</v>
      </c>
      <c r="AA106" s="18">
        <v>28770</v>
      </c>
      <c r="AB106" s="18">
        <v>-4892</v>
      </c>
      <c r="AC106" s="18">
        <v>5521</v>
      </c>
      <c r="AD106" s="7"/>
      <c r="AE106" s="7"/>
      <c r="AF106" s="7"/>
      <c r="AG106" s="7"/>
      <c r="AH106" s="7"/>
      <c r="AI106" s="7"/>
      <c r="AJ106" s="7"/>
      <c r="AK106" s="7"/>
      <c r="AL106" s="7"/>
      <c r="AM106" s="7"/>
      <c r="AN106" s="7"/>
      <c r="AO106" s="7"/>
      <c r="AP106" s="7"/>
      <c r="AQ106" s="7"/>
      <c r="AR106" s="7"/>
      <c r="AS106" s="7"/>
      <c r="AT106" s="7"/>
      <c r="AU106" s="7"/>
      <c r="AV106" s="7"/>
      <c r="AW106" s="7"/>
      <c r="AX106" s="7"/>
      <c r="AY106" s="7"/>
      <c r="AZ106" s="7"/>
    </row>
    <row r="107" spans="1:52" ht="63" customHeight="1">
      <c r="A107" s="20" t="s">
        <v>609</v>
      </c>
      <c r="B107" s="7">
        <v>1</v>
      </c>
      <c r="C107" s="7" t="s">
        <v>89</v>
      </c>
      <c r="D107" s="7" t="s">
        <v>36</v>
      </c>
      <c r="E107" s="7" t="s">
        <v>37</v>
      </c>
      <c r="F107" s="13" t="s">
        <v>610</v>
      </c>
      <c r="G107" s="7">
        <v>2009</v>
      </c>
      <c r="H107" s="7"/>
      <c r="I107" s="14" t="str">
        <f>HYPERLINK("mailto:iap@justice.gov.uk","iap@justice.gov.uk")</f>
        <v>iap@justice.gov.uk</v>
      </c>
      <c r="J107" s="14" t="str">
        <f>HYPERLINK("http://iapdeathsincustody.independent.gov.uk/","http://iapdeathsincustody.independent.gov.uk/")</f>
        <v>http://iapdeathsincustody.independent.gov.uk/</v>
      </c>
      <c r="K107" s="7" t="s">
        <v>611</v>
      </c>
      <c r="L107" s="7" t="s">
        <v>612</v>
      </c>
      <c r="M107" s="13" t="s">
        <v>42</v>
      </c>
      <c r="N107" s="15" t="s">
        <v>43</v>
      </c>
      <c r="O107" s="16">
        <v>30000</v>
      </c>
      <c r="P107" s="15" t="s">
        <v>52</v>
      </c>
      <c r="Q107" s="17" t="s">
        <v>100</v>
      </c>
      <c r="R107" s="7" t="s">
        <v>37</v>
      </c>
      <c r="S107" s="7" t="s">
        <v>43</v>
      </c>
      <c r="T107" s="7" t="s">
        <v>43</v>
      </c>
      <c r="U107" s="7"/>
      <c r="V107" s="7">
        <v>2018</v>
      </c>
      <c r="W107" s="7">
        <v>3</v>
      </c>
      <c r="X107" s="18">
        <v>210</v>
      </c>
      <c r="Y107" s="18">
        <v>0</v>
      </c>
      <c r="Z107" s="18">
        <v>210</v>
      </c>
      <c r="AA107" s="18">
        <v>210</v>
      </c>
      <c r="AB107" s="18">
        <v>0</v>
      </c>
      <c r="AC107" s="18">
        <v>0</v>
      </c>
      <c r="AD107" s="7"/>
      <c r="AE107" s="7"/>
      <c r="AF107" s="7"/>
      <c r="AG107" s="7"/>
      <c r="AH107" s="7"/>
      <c r="AI107" s="7"/>
      <c r="AJ107" s="7"/>
      <c r="AK107" s="7"/>
      <c r="AL107" s="7"/>
      <c r="AM107" s="7"/>
      <c r="AN107" s="7"/>
      <c r="AO107" s="7"/>
      <c r="AP107" s="7"/>
      <c r="AQ107" s="7"/>
      <c r="AR107" s="7"/>
      <c r="AS107" s="7"/>
      <c r="AT107" s="7"/>
      <c r="AU107" s="7"/>
      <c r="AV107" s="7"/>
      <c r="AW107" s="7"/>
      <c r="AX107" s="7"/>
      <c r="AY107" s="7"/>
      <c r="AZ107" s="7"/>
    </row>
    <row r="108" spans="1:52" ht="63" customHeight="1">
      <c r="A108" s="20" t="s">
        <v>613</v>
      </c>
      <c r="B108" s="7">
        <v>1</v>
      </c>
      <c r="C108" s="7" t="s">
        <v>79</v>
      </c>
      <c r="D108" s="7" t="s">
        <v>36</v>
      </c>
      <c r="E108" s="7" t="s">
        <v>37</v>
      </c>
      <c r="F108" s="7" t="s">
        <v>614</v>
      </c>
      <c r="G108" s="7">
        <v>2002</v>
      </c>
      <c r="H108" s="7" t="s">
        <v>615</v>
      </c>
      <c r="I108" s="14" t="str">
        <f>HYPERLINK("mailto:reviewappealsteam@rpa.gov.uk","reviewappealsteam@rpa.gov.uk")</f>
        <v>reviewappealsteam@rpa.gov.uk</v>
      </c>
      <c r="J108" s="14" t="str">
        <f>HYPERLINK("https://www.gov.uk/government /organisations/rural-payments-agency","https://www.gov.uk/government
/organisations/rural-payments-agency")</f>
        <v>https://www.gov.uk/government
/organisations/rural-payments-agency</v>
      </c>
      <c r="K108" s="7" t="s">
        <v>616</v>
      </c>
      <c r="L108" s="7" t="s">
        <v>617</v>
      </c>
      <c r="M108" s="27" t="s">
        <v>71</v>
      </c>
      <c r="N108" s="15" t="s">
        <v>43</v>
      </c>
      <c r="O108" s="16">
        <v>179</v>
      </c>
      <c r="P108" s="15" t="s">
        <v>44</v>
      </c>
      <c r="Q108" s="15"/>
      <c r="R108" s="7" t="s">
        <v>37</v>
      </c>
      <c r="S108" s="7" t="s">
        <v>37</v>
      </c>
      <c r="T108" s="7" t="s">
        <v>43</v>
      </c>
      <c r="U108" s="7" t="s">
        <v>54</v>
      </c>
      <c r="V108" s="7">
        <v>2017</v>
      </c>
      <c r="W108" s="7">
        <v>3</v>
      </c>
      <c r="X108" s="18">
        <v>0</v>
      </c>
      <c r="Y108" s="18">
        <v>0</v>
      </c>
      <c r="Z108" s="18">
        <v>0</v>
      </c>
      <c r="AA108" s="18">
        <v>0</v>
      </c>
      <c r="AB108" s="18">
        <v>0</v>
      </c>
      <c r="AC108" s="18">
        <v>0</v>
      </c>
      <c r="AD108" s="7"/>
      <c r="AE108" s="7"/>
      <c r="AF108" s="7"/>
      <c r="AG108" s="7"/>
      <c r="AH108" s="7"/>
      <c r="AI108" s="7"/>
      <c r="AJ108" s="7"/>
      <c r="AK108" s="7"/>
      <c r="AL108" s="7"/>
      <c r="AM108" s="7"/>
      <c r="AN108" s="7"/>
      <c r="AO108" s="7"/>
      <c r="AP108" s="7"/>
      <c r="AQ108" s="7"/>
      <c r="AR108" s="7"/>
      <c r="AS108" s="7"/>
      <c r="AT108" s="7"/>
      <c r="AU108" s="7"/>
      <c r="AV108" s="7"/>
      <c r="AW108" s="7"/>
      <c r="AX108" s="7"/>
      <c r="AY108" s="7"/>
      <c r="AZ108" s="7"/>
    </row>
    <row r="109" spans="1:52" ht="63" customHeight="1">
      <c r="A109" s="20" t="s">
        <v>618</v>
      </c>
      <c r="B109" s="7">
        <v>1</v>
      </c>
      <c r="C109" s="7" t="s">
        <v>309</v>
      </c>
      <c r="D109" s="7" t="s">
        <v>95</v>
      </c>
      <c r="E109" s="7" t="s">
        <v>37</v>
      </c>
      <c r="F109" s="7" t="s">
        <v>619</v>
      </c>
      <c r="G109" s="7">
        <v>2011</v>
      </c>
      <c r="H109" s="7"/>
      <c r="I109" s="14" t="str">
        <f>HYPERLINK("mailto:ICAI-Enquiries@icai.independent.gov.uk","ICAI-Enquiries@icai.independent.gov.uk")</f>
        <v>ICAI-Enquiries@icai.independent.gov.uk</v>
      </c>
      <c r="J109" s="14" t="str">
        <f>HYPERLINK("https://icai.independent.gov.uk/","https://icai.independent.gov.uk/")</f>
        <v>https://icai.independent.gov.uk/</v>
      </c>
      <c r="K109" s="7" t="s">
        <v>620</v>
      </c>
      <c r="L109" s="44" t="s">
        <v>621</v>
      </c>
      <c r="M109" s="13" t="s">
        <v>42</v>
      </c>
      <c r="N109" s="15" t="s">
        <v>43</v>
      </c>
      <c r="O109" s="16">
        <v>97000</v>
      </c>
      <c r="P109" s="15" t="s">
        <v>52</v>
      </c>
      <c r="Q109" s="15" t="s">
        <v>374</v>
      </c>
      <c r="R109" s="7" t="s">
        <v>37</v>
      </c>
      <c r="S109" s="7" t="s">
        <v>43</v>
      </c>
      <c r="T109" s="7" t="s">
        <v>43</v>
      </c>
      <c r="U109" s="7" t="s">
        <v>46</v>
      </c>
      <c r="V109" s="7">
        <v>2017</v>
      </c>
      <c r="W109" s="7">
        <v>10</v>
      </c>
      <c r="X109" s="18">
        <v>987</v>
      </c>
      <c r="Y109" s="18">
        <v>0</v>
      </c>
      <c r="Z109" s="18">
        <v>987</v>
      </c>
      <c r="AA109" s="18">
        <v>0</v>
      </c>
      <c r="AB109" s="18">
        <v>0</v>
      </c>
      <c r="AC109" s="18">
        <v>987</v>
      </c>
      <c r="AD109" s="7"/>
      <c r="AE109" s="13" t="s">
        <v>56</v>
      </c>
      <c r="AF109" s="7"/>
      <c r="AG109" s="7"/>
      <c r="AH109" s="7"/>
      <c r="AI109" s="7"/>
      <c r="AJ109" s="7"/>
      <c r="AK109" s="7"/>
      <c r="AL109" s="7"/>
      <c r="AM109" s="7"/>
      <c r="AN109" s="7"/>
      <c r="AO109" s="7"/>
      <c r="AP109" s="7"/>
      <c r="AQ109" s="7"/>
      <c r="AR109" s="7"/>
      <c r="AS109" s="7"/>
      <c r="AT109" s="7"/>
      <c r="AU109" s="7"/>
      <c r="AV109" s="7"/>
      <c r="AW109" s="7"/>
      <c r="AX109" s="7"/>
      <c r="AY109" s="7"/>
      <c r="AZ109" s="7"/>
    </row>
    <row r="110" spans="1:52" ht="63" customHeight="1">
      <c r="A110" s="20" t="s">
        <v>622</v>
      </c>
      <c r="B110" s="7">
        <v>1</v>
      </c>
      <c r="C110" s="7" t="s">
        <v>206</v>
      </c>
      <c r="D110" s="7" t="s">
        <v>36</v>
      </c>
      <c r="E110" s="7" t="s">
        <v>37</v>
      </c>
      <c r="F110" s="7" t="s">
        <v>623</v>
      </c>
      <c r="G110" s="7">
        <v>2018</v>
      </c>
      <c r="H110" s="7"/>
      <c r="I110" s="14" t="str">
        <f>HYPERLINK("mailto:ContactICCAN@iccan.gov.uk","ContactICCAN@iccan.gov.uk")</f>
        <v>ContactICCAN@iccan.gov.uk</v>
      </c>
      <c r="J110" s="14" t="str">
        <f>HYPERLINK("https://iccan.gov.uk/","https://iccan.gov.uk/")</f>
        <v>https://iccan.gov.uk/</v>
      </c>
      <c r="K110" s="7" t="s">
        <v>624</v>
      </c>
      <c r="L110" s="27" t="s">
        <v>625</v>
      </c>
      <c r="M110" s="7" t="s">
        <v>42</v>
      </c>
      <c r="N110" s="15" t="s">
        <v>43</v>
      </c>
      <c r="O110" s="16">
        <v>630</v>
      </c>
      <c r="P110" s="15" t="s">
        <v>44</v>
      </c>
      <c r="Q110" s="15" t="s">
        <v>626</v>
      </c>
      <c r="R110" s="7" t="s">
        <v>37</v>
      </c>
      <c r="S110" s="7" t="s">
        <v>37</v>
      </c>
      <c r="T110" s="7" t="s">
        <v>43</v>
      </c>
      <c r="U110" s="7" t="s">
        <v>46</v>
      </c>
      <c r="V110" s="7"/>
      <c r="W110" s="27">
        <v>14</v>
      </c>
      <c r="X110" s="18">
        <v>0</v>
      </c>
      <c r="Y110" s="18">
        <v>0</v>
      </c>
      <c r="Z110" s="18">
        <v>0</v>
      </c>
      <c r="AA110" s="18">
        <v>0</v>
      </c>
      <c r="AB110" s="18">
        <v>0</v>
      </c>
      <c r="AC110" s="18">
        <v>44</v>
      </c>
      <c r="AD110" s="7"/>
      <c r="AE110" s="13" t="s">
        <v>56</v>
      </c>
      <c r="AF110" s="7"/>
      <c r="AG110" s="7"/>
      <c r="AH110" s="7"/>
      <c r="AI110" s="7"/>
      <c r="AJ110" s="7"/>
      <c r="AK110" s="7"/>
      <c r="AL110" s="7"/>
      <c r="AM110" s="7"/>
      <c r="AN110" s="7"/>
      <c r="AO110" s="7"/>
      <c r="AP110" s="7"/>
      <c r="AQ110" s="7"/>
      <c r="AR110" s="7"/>
      <c r="AS110" s="7"/>
      <c r="AT110" s="7"/>
      <c r="AU110" s="7"/>
      <c r="AV110" s="7"/>
      <c r="AW110" s="7"/>
      <c r="AX110" s="7"/>
      <c r="AY110" s="7"/>
      <c r="AZ110" s="7"/>
    </row>
    <row r="111" spans="1:52" ht="63" customHeight="1">
      <c r="A111" s="20" t="s">
        <v>627</v>
      </c>
      <c r="B111" s="7">
        <v>1</v>
      </c>
      <c r="C111" s="7" t="s">
        <v>65</v>
      </c>
      <c r="D111" s="7" t="s">
        <v>95</v>
      </c>
      <c r="E111" s="7" t="s">
        <v>37</v>
      </c>
      <c r="F111" s="13" t="s">
        <v>628</v>
      </c>
      <c r="G111" s="7">
        <v>2010</v>
      </c>
      <c r="H111" s="7"/>
      <c r="I111" s="14" t="str">
        <f>HYPERLINK("mailto:AF-Compensation-Policy@mod.gov.uk","AF-Compensation-Policy@mod.gov.uk")</f>
        <v>AF-Compensation-Policy@mod.gov.uk</v>
      </c>
      <c r="J111" s="14" t="str">
        <f>HYPERLINK("https://www.gov.uk/government/organsiations/independent-medical-expert-group","https://www.gov.uk/government/organsiations/independent-medical-expert-group")</f>
        <v>https://www.gov.uk/government/organsiations/independent-medical-expert-group</v>
      </c>
      <c r="K111" s="7" t="s">
        <v>629</v>
      </c>
      <c r="L111" s="27" t="s">
        <v>630</v>
      </c>
      <c r="M111" s="13" t="s">
        <v>71</v>
      </c>
      <c r="N111" s="15" t="s">
        <v>37</v>
      </c>
      <c r="O111" s="16"/>
      <c r="P111" s="15"/>
      <c r="Q111" s="17" t="s">
        <v>631</v>
      </c>
      <c r="R111" s="7" t="s">
        <v>37</v>
      </c>
      <c r="S111" s="7" t="s">
        <v>37</v>
      </c>
      <c r="T111" s="7" t="s">
        <v>43</v>
      </c>
      <c r="U111" s="7"/>
      <c r="V111" s="7">
        <v>2015</v>
      </c>
      <c r="W111" s="7">
        <v>0</v>
      </c>
      <c r="X111" s="18">
        <v>0</v>
      </c>
      <c r="Y111" s="18">
        <v>0</v>
      </c>
      <c r="Z111" s="18">
        <v>0</v>
      </c>
      <c r="AA111" s="18">
        <v>0</v>
      </c>
      <c r="AB111" s="18">
        <v>0</v>
      </c>
      <c r="AC111" s="18">
        <v>0</v>
      </c>
      <c r="AD111" s="7"/>
      <c r="AE111" s="13" t="s">
        <v>56</v>
      </c>
      <c r="AF111" s="7"/>
      <c r="AG111" s="7"/>
      <c r="AH111" s="7"/>
      <c r="AI111" s="7"/>
      <c r="AJ111" s="7"/>
      <c r="AK111" s="7"/>
      <c r="AL111" s="7"/>
      <c r="AM111" s="7"/>
      <c r="AN111" s="7"/>
      <c r="AO111" s="7"/>
      <c r="AP111" s="7"/>
      <c r="AQ111" s="7"/>
      <c r="AR111" s="7"/>
      <c r="AS111" s="7"/>
      <c r="AT111" s="7"/>
      <c r="AU111" s="7"/>
      <c r="AV111" s="7"/>
      <c r="AW111" s="7"/>
      <c r="AX111" s="7"/>
      <c r="AY111" s="7"/>
      <c r="AZ111" s="7"/>
    </row>
    <row r="112" spans="1:52" ht="63" customHeight="1">
      <c r="A112" s="20" t="s">
        <v>632</v>
      </c>
      <c r="B112" s="7">
        <v>1</v>
      </c>
      <c r="C112" s="7" t="s">
        <v>133</v>
      </c>
      <c r="D112" s="7" t="s">
        <v>95</v>
      </c>
      <c r="E112" s="7" t="s">
        <v>43</v>
      </c>
      <c r="F112" s="7" t="s">
        <v>633</v>
      </c>
      <c r="G112" s="7">
        <v>2018</v>
      </c>
      <c r="H112" s="7"/>
      <c r="I112" s="14" t="s">
        <v>634</v>
      </c>
      <c r="J112" s="14" t="str">
        <f>HYPERLINK("https://www.policeconduct.gov.uk/","https://www.policeconduct.gov.uk/")</f>
        <v>https://www.policeconduct.gov.uk/</v>
      </c>
      <c r="K112" s="7" t="s">
        <v>635</v>
      </c>
      <c r="L112" s="7" t="s">
        <v>636</v>
      </c>
      <c r="M112" s="13" t="s">
        <v>71</v>
      </c>
      <c r="N112" s="15" t="s">
        <v>43</v>
      </c>
      <c r="O112" s="16">
        <v>175000</v>
      </c>
      <c r="P112" s="15" t="s">
        <v>52</v>
      </c>
      <c r="Q112" s="15" t="s">
        <v>374</v>
      </c>
      <c r="R112" s="7" t="s">
        <v>37</v>
      </c>
      <c r="S112" s="7" t="s">
        <v>43</v>
      </c>
      <c r="T112" s="7" t="s">
        <v>43</v>
      </c>
      <c r="U112" s="7" t="s">
        <v>46</v>
      </c>
      <c r="V112" s="7">
        <v>2015</v>
      </c>
      <c r="W112" s="7">
        <v>982</v>
      </c>
      <c r="X112" s="18">
        <v>70645</v>
      </c>
      <c r="Y112" s="18">
        <v>300</v>
      </c>
      <c r="Z112" s="18">
        <v>70945</v>
      </c>
      <c r="AA112" s="18">
        <v>76665</v>
      </c>
      <c r="AB112" s="18">
        <v>715</v>
      </c>
      <c r="AC112" s="18">
        <v>0</v>
      </c>
      <c r="AD112" s="7" t="s">
        <v>637</v>
      </c>
      <c r="AE112" s="13" t="s">
        <v>56</v>
      </c>
      <c r="AF112" s="7"/>
      <c r="AG112" s="7"/>
      <c r="AH112" s="7"/>
      <c r="AI112" s="7"/>
      <c r="AJ112" s="7"/>
      <c r="AK112" s="7"/>
      <c r="AL112" s="7"/>
      <c r="AM112" s="7"/>
      <c r="AN112" s="7"/>
      <c r="AO112" s="7"/>
      <c r="AP112" s="7"/>
      <c r="AQ112" s="7"/>
      <c r="AR112" s="7"/>
      <c r="AS112" s="7"/>
      <c r="AT112" s="7"/>
      <c r="AU112" s="7"/>
      <c r="AV112" s="7"/>
      <c r="AW112" s="7"/>
      <c r="AX112" s="7"/>
      <c r="AY112" s="7"/>
      <c r="AZ112" s="7"/>
    </row>
    <row r="113" spans="1:52" ht="63" customHeight="1">
      <c r="A113" s="20" t="s">
        <v>638</v>
      </c>
      <c r="B113" s="7">
        <v>1</v>
      </c>
      <c r="C113" s="7" t="s">
        <v>58</v>
      </c>
      <c r="D113" s="7" t="s">
        <v>36</v>
      </c>
      <c r="E113" s="7" t="s">
        <v>37</v>
      </c>
      <c r="F113" s="7" t="s">
        <v>639</v>
      </c>
      <c r="G113" s="7">
        <v>2003</v>
      </c>
      <c r="H113" s="7"/>
      <c r="I113" s="14" t="str">
        <f>HYPERLINK("mailto:irpinfo@dhsc.gov.uk","irpinfo@dhsc.gov.uk")</f>
        <v>irpinfo@dhsc.gov.uk</v>
      </c>
      <c r="J113" s="14" t="str">
        <f>HYPERLINK("https://www.gov.uk/government/organisations/independent-reconfiguration-panel","https://www.gov.uk/government/organisations/independent-reconfiguration-panel")</f>
        <v>https://www.gov.uk/government/organisations/independent-reconfiguration-panel</v>
      </c>
      <c r="K113" s="7" t="s">
        <v>640</v>
      </c>
      <c r="L113" s="7" t="s">
        <v>641</v>
      </c>
      <c r="M113" s="7" t="s">
        <v>42</v>
      </c>
      <c r="N113" s="15" t="s">
        <v>43</v>
      </c>
      <c r="O113" s="16">
        <v>36780</v>
      </c>
      <c r="P113" s="15" t="s">
        <v>52</v>
      </c>
      <c r="Q113" s="17" t="s">
        <v>642</v>
      </c>
      <c r="R113" s="7" t="s">
        <v>43</v>
      </c>
      <c r="S113" s="7" t="s">
        <v>43</v>
      </c>
      <c r="T113" s="7" t="s">
        <v>43</v>
      </c>
      <c r="U113" s="7" t="s">
        <v>54</v>
      </c>
      <c r="V113" s="7">
        <v>2015</v>
      </c>
      <c r="W113" s="7">
        <v>1.5</v>
      </c>
      <c r="X113" s="18">
        <v>0</v>
      </c>
      <c r="Y113" s="18">
        <v>0</v>
      </c>
      <c r="Z113" s="18">
        <v>0</v>
      </c>
      <c r="AA113" s="18">
        <v>99</v>
      </c>
      <c r="AB113" s="18">
        <v>0</v>
      </c>
      <c r="AC113" s="18">
        <v>0</v>
      </c>
      <c r="AD113" s="7"/>
      <c r="AE113" s="13" t="s">
        <v>56</v>
      </c>
      <c r="AF113" s="7"/>
      <c r="AG113" s="7"/>
      <c r="AH113" s="7"/>
      <c r="AI113" s="7"/>
      <c r="AJ113" s="7"/>
      <c r="AK113" s="7"/>
      <c r="AL113" s="7"/>
      <c r="AM113" s="7"/>
      <c r="AN113" s="7"/>
      <c r="AO113" s="7"/>
      <c r="AP113" s="7"/>
      <c r="AQ113" s="7"/>
      <c r="AR113" s="7"/>
      <c r="AS113" s="7"/>
      <c r="AT113" s="7"/>
      <c r="AU113" s="7"/>
      <c r="AV113" s="7"/>
      <c r="AW113" s="7"/>
      <c r="AX113" s="7"/>
      <c r="AY113" s="7"/>
      <c r="AZ113" s="7"/>
    </row>
    <row r="114" spans="1:52" ht="63" customHeight="1">
      <c r="A114" s="20" t="s">
        <v>643</v>
      </c>
      <c r="B114" s="7">
        <v>1</v>
      </c>
      <c r="C114" s="7" t="s">
        <v>512</v>
      </c>
      <c r="D114" s="7" t="s">
        <v>36</v>
      </c>
      <c r="E114" s="7" t="s">
        <v>43</v>
      </c>
      <c r="F114" s="13" t="s">
        <v>644</v>
      </c>
      <c r="G114" s="7">
        <v>1948</v>
      </c>
      <c r="H114" s="7"/>
      <c r="I114" s="14" t="s">
        <v>645</v>
      </c>
      <c r="J114" s="14" t="str">
        <f>HYPERLINK("http://www.gov.uk/iiac","http://www.gov.uk/iiac")</f>
        <v>http://www.gov.uk/iiac</v>
      </c>
      <c r="K114" s="7" t="s">
        <v>646</v>
      </c>
      <c r="L114" s="7" t="s">
        <v>647</v>
      </c>
      <c r="M114" s="7" t="s">
        <v>42</v>
      </c>
      <c r="N114" s="15" t="s">
        <v>43</v>
      </c>
      <c r="O114" s="16">
        <v>15000</v>
      </c>
      <c r="P114" s="15" t="s">
        <v>52</v>
      </c>
      <c r="Q114" s="15" t="s">
        <v>648</v>
      </c>
      <c r="R114" s="7" t="s">
        <v>43</v>
      </c>
      <c r="S114" s="7" t="s">
        <v>43</v>
      </c>
      <c r="T114" s="7" t="s">
        <v>43</v>
      </c>
      <c r="U114" s="7" t="s">
        <v>46</v>
      </c>
      <c r="V114" s="7">
        <v>2015</v>
      </c>
      <c r="W114" s="7">
        <v>2.1</v>
      </c>
      <c r="X114" s="18">
        <v>0</v>
      </c>
      <c r="Y114" s="18">
        <v>0</v>
      </c>
      <c r="Z114" s="18">
        <v>0</v>
      </c>
      <c r="AA114" s="18">
        <v>0</v>
      </c>
      <c r="AB114" s="18">
        <v>0</v>
      </c>
      <c r="AC114" s="18">
        <v>0</v>
      </c>
      <c r="AD114" s="7" t="s">
        <v>46</v>
      </c>
      <c r="AE114" s="7"/>
      <c r="AF114" s="7"/>
      <c r="AG114" s="7"/>
      <c r="AH114" s="7"/>
      <c r="AI114" s="7"/>
      <c r="AJ114" s="7"/>
      <c r="AK114" s="7"/>
      <c r="AL114" s="7"/>
      <c r="AM114" s="7"/>
      <c r="AN114" s="7"/>
      <c r="AO114" s="7"/>
      <c r="AP114" s="7"/>
      <c r="AQ114" s="7"/>
      <c r="AR114" s="7"/>
      <c r="AS114" s="7"/>
      <c r="AT114" s="7"/>
      <c r="AU114" s="7"/>
      <c r="AV114" s="7"/>
      <c r="AW114" s="7"/>
      <c r="AX114" s="7"/>
      <c r="AY114" s="7"/>
      <c r="AZ114" s="7"/>
    </row>
    <row r="115" spans="1:52" ht="63" customHeight="1">
      <c r="A115" s="12" t="s">
        <v>649</v>
      </c>
      <c r="B115" s="7">
        <v>1</v>
      </c>
      <c r="C115" s="7" t="s">
        <v>122</v>
      </c>
      <c r="D115" s="7" t="s">
        <v>95</v>
      </c>
      <c r="E115" s="7" t="s">
        <v>43</v>
      </c>
      <c r="F115" s="7" t="s">
        <v>650</v>
      </c>
      <c r="G115" s="7">
        <v>1984</v>
      </c>
      <c r="H115" s="7"/>
      <c r="I115" s="14" t="str">
        <f>HYPERLINK("mailto:casework@ico.org.uk","casework@ico.org.uk")</f>
        <v>casework@ico.org.uk</v>
      </c>
      <c r="J115" s="14" t="s">
        <v>651</v>
      </c>
      <c r="K115" s="7" t="s">
        <v>652</v>
      </c>
      <c r="L115" s="7" t="s">
        <v>653</v>
      </c>
      <c r="M115" s="27" t="s">
        <v>42</v>
      </c>
      <c r="N115" s="15" t="s">
        <v>43</v>
      </c>
      <c r="O115" s="16">
        <v>160000</v>
      </c>
      <c r="P115" s="15" t="s">
        <v>52</v>
      </c>
      <c r="Q115" s="7" t="s">
        <v>374</v>
      </c>
      <c r="R115" s="7" t="s">
        <v>37</v>
      </c>
      <c r="S115" s="7" t="s">
        <v>43</v>
      </c>
      <c r="T115" s="7" t="s">
        <v>43</v>
      </c>
      <c r="U115" s="7" t="s">
        <v>654</v>
      </c>
      <c r="V115" s="7">
        <v>2018</v>
      </c>
      <c r="W115" s="7">
        <v>679.7</v>
      </c>
      <c r="X115" s="18">
        <v>2896</v>
      </c>
      <c r="Y115" s="18">
        <v>39980</v>
      </c>
      <c r="Z115" s="18">
        <f>(X115+Y115)</f>
        <v>42876</v>
      </c>
      <c r="AA115" s="18">
        <v>3444</v>
      </c>
      <c r="AB115" s="18">
        <v>647</v>
      </c>
      <c r="AC115" s="18">
        <v>105</v>
      </c>
      <c r="AD115" s="7"/>
      <c r="AE115" s="7"/>
      <c r="AF115" s="7"/>
      <c r="AG115" s="7"/>
      <c r="AH115" s="7"/>
      <c r="AI115" s="7"/>
      <c r="AJ115" s="7"/>
      <c r="AK115" s="7"/>
      <c r="AL115" s="7"/>
      <c r="AM115" s="7"/>
      <c r="AN115" s="7"/>
      <c r="AO115" s="7"/>
      <c r="AP115" s="7"/>
      <c r="AQ115" s="7"/>
      <c r="AR115" s="7"/>
      <c r="AS115" s="7"/>
      <c r="AT115" s="7"/>
      <c r="AU115" s="7"/>
      <c r="AV115" s="7"/>
      <c r="AW115" s="7"/>
      <c r="AX115" s="7"/>
      <c r="AY115" s="7"/>
      <c r="AZ115" s="7"/>
    </row>
    <row r="116" spans="1:52" ht="63" customHeight="1">
      <c r="A116" s="12" t="s">
        <v>655</v>
      </c>
      <c r="B116" s="7">
        <v>1</v>
      </c>
      <c r="C116" s="7" t="s">
        <v>89</v>
      </c>
      <c r="D116" s="7" t="s">
        <v>95</v>
      </c>
      <c r="E116" s="7" t="s">
        <v>37</v>
      </c>
      <c r="F116" s="7" t="s">
        <v>656</v>
      </c>
      <c r="G116" s="7">
        <v>1976</v>
      </c>
      <c r="H116" s="7"/>
      <c r="I116" s="13" t="s">
        <v>657</v>
      </c>
      <c r="J116" s="14" t="str">
        <f>HYPERLINK("https://www.gov.uk/government/organisations/insolvency-rules-committee","https://www.gov.uk/government/organisations/insolvency-rules-committee")</f>
        <v>https://www.gov.uk/government/organisations/insolvency-rules-committee</v>
      </c>
      <c r="K116" s="7" t="s">
        <v>658</v>
      </c>
      <c r="L116" s="7" t="s">
        <v>659</v>
      </c>
      <c r="M116" s="7" t="s">
        <v>71</v>
      </c>
      <c r="N116" s="15" t="s">
        <v>37</v>
      </c>
      <c r="O116" s="16"/>
      <c r="P116" s="7"/>
      <c r="Q116" s="44" t="s">
        <v>660</v>
      </c>
      <c r="R116" s="7" t="s">
        <v>37</v>
      </c>
      <c r="S116" s="7" t="s">
        <v>37</v>
      </c>
      <c r="T116" s="7" t="s">
        <v>37</v>
      </c>
      <c r="U116" s="7" t="s">
        <v>46</v>
      </c>
      <c r="V116" s="7"/>
      <c r="W116" s="7">
        <v>0</v>
      </c>
      <c r="X116" s="18">
        <v>0</v>
      </c>
      <c r="Y116" s="18">
        <v>0</v>
      </c>
      <c r="Z116" s="18">
        <v>0</v>
      </c>
      <c r="AA116" s="18">
        <v>0</v>
      </c>
      <c r="AB116" s="18">
        <v>0</v>
      </c>
      <c r="AC116" s="18">
        <v>0</v>
      </c>
      <c r="AD116" s="7"/>
      <c r="AE116" s="7"/>
      <c r="AF116" s="7"/>
      <c r="AG116" s="7"/>
      <c r="AH116" s="7"/>
      <c r="AI116" s="7"/>
      <c r="AJ116" s="7"/>
      <c r="AK116" s="7"/>
      <c r="AL116" s="7"/>
      <c r="AM116" s="7"/>
      <c r="AN116" s="7"/>
      <c r="AO116" s="7"/>
      <c r="AP116" s="7"/>
      <c r="AQ116" s="7"/>
      <c r="AR116" s="7"/>
      <c r="AS116" s="7"/>
      <c r="AT116" s="7"/>
      <c r="AU116" s="7"/>
      <c r="AV116" s="7"/>
      <c r="AW116" s="7"/>
      <c r="AX116" s="7"/>
      <c r="AY116" s="7"/>
      <c r="AZ116" s="7"/>
    </row>
    <row r="117" spans="1:52" ht="63" customHeight="1">
      <c r="A117" s="20" t="s">
        <v>661</v>
      </c>
      <c r="B117" s="7">
        <v>1</v>
      </c>
      <c r="C117" s="7" t="s">
        <v>94</v>
      </c>
      <c r="D117" s="7" t="s">
        <v>108</v>
      </c>
      <c r="E117" s="7" t="s">
        <v>56</v>
      </c>
      <c r="F117" s="7" t="s">
        <v>662</v>
      </c>
      <c r="G117" s="7">
        <v>1990</v>
      </c>
      <c r="H117" s="7"/>
      <c r="I117" s="14" t="str">
        <f>HYPERLINK("https://www.insolvencydirect.bis.gov.uk/ExternalOnlineForms/GeneralEnquiry.aspx","Contact form on website")</f>
        <v>Contact form on website</v>
      </c>
      <c r="J117" s="14" t="str">
        <f>HYPERLINK("https://www.gov.uk/government/organisations/insolvency-service","https://www.gov.uk/government/organisations/insolvency-service")</f>
        <v>https://www.gov.uk/government/organisations/insolvency-service</v>
      </c>
      <c r="K117" s="7" t="s">
        <v>97</v>
      </c>
      <c r="L117" s="7" t="s">
        <v>663</v>
      </c>
      <c r="M117" s="7" t="s">
        <v>42</v>
      </c>
      <c r="N117" s="15" t="s">
        <v>56</v>
      </c>
      <c r="O117" s="16" t="s">
        <v>664</v>
      </c>
      <c r="P117" s="15" t="s">
        <v>52</v>
      </c>
      <c r="Q117" s="15" t="s">
        <v>665</v>
      </c>
      <c r="R117" s="7" t="s">
        <v>63</v>
      </c>
      <c r="S117" s="7" t="s">
        <v>63</v>
      </c>
      <c r="T117" s="7" t="s">
        <v>56</v>
      </c>
      <c r="U117" s="7" t="s">
        <v>54</v>
      </c>
      <c r="V117" s="7">
        <v>2016</v>
      </c>
      <c r="W117" s="26">
        <v>1783</v>
      </c>
      <c r="X117" s="18">
        <v>185527</v>
      </c>
      <c r="Y117" s="18">
        <v>96471</v>
      </c>
      <c r="Z117" s="18">
        <f>(X117+Y117)</f>
        <v>281998</v>
      </c>
      <c r="AA117" s="18">
        <v>111150</v>
      </c>
      <c r="AB117" s="18">
        <v>3264</v>
      </c>
      <c r="AC117" s="18">
        <v>190584</v>
      </c>
      <c r="AD117" s="7"/>
      <c r="AE117" s="7"/>
      <c r="AF117" s="7"/>
      <c r="AG117" s="7"/>
      <c r="AH117" s="7"/>
      <c r="AI117" s="7"/>
      <c r="AJ117" s="7"/>
      <c r="AK117" s="7"/>
      <c r="AL117" s="7"/>
      <c r="AM117" s="7"/>
      <c r="AN117" s="7"/>
      <c r="AO117" s="7"/>
      <c r="AP117" s="7"/>
      <c r="AQ117" s="7"/>
      <c r="AR117" s="7"/>
      <c r="AS117" s="7"/>
      <c r="AT117" s="7"/>
      <c r="AU117" s="7"/>
      <c r="AV117" s="7"/>
      <c r="AW117" s="7"/>
      <c r="AX117" s="7"/>
      <c r="AY117" s="7"/>
      <c r="AZ117" s="7"/>
    </row>
    <row r="118" spans="1:52" ht="63" customHeight="1">
      <c r="A118" s="20" t="s">
        <v>666</v>
      </c>
      <c r="B118" s="7">
        <v>1</v>
      </c>
      <c r="C118" s="7" t="s">
        <v>334</v>
      </c>
      <c r="D118" s="7" t="s">
        <v>95</v>
      </c>
      <c r="E118" s="7" t="s">
        <v>37</v>
      </c>
      <c r="F118" s="27" t="s">
        <v>667</v>
      </c>
      <c r="G118" s="7">
        <v>2017</v>
      </c>
      <c r="H118" s="7"/>
      <c r="I118" s="14" t="str">
        <f>HYPERLINK("mailto:enquiries.ifa@education.gov.uk","enquiries.ifa@education.gov.uk")</f>
        <v>enquiries.ifa@education.gov.uk</v>
      </c>
      <c r="J118" s="14" t="str">
        <f>HYPERLINK("https://www.instituteforapprenticeships.org/","https://www.instituteforapprenticeships.org/")</f>
        <v>https://www.instituteforapprenticeships.org/</v>
      </c>
      <c r="K118" s="7" t="s">
        <v>668</v>
      </c>
      <c r="L118" s="27" t="s">
        <v>669</v>
      </c>
      <c r="M118" s="13" t="s">
        <v>42</v>
      </c>
      <c r="N118" s="15" t="s">
        <v>43</v>
      </c>
      <c r="O118" s="16">
        <v>15000</v>
      </c>
      <c r="P118" s="15" t="s">
        <v>52</v>
      </c>
      <c r="Q118" s="7"/>
      <c r="R118" s="7" t="s">
        <v>37</v>
      </c>
      <c r="S118" s="7" t="s">
        <v>43</v>
      </c>
      <c r="T118" s="7" t="s">
        <v>43</v>
      </c>
      <c r="U118" s="7" t="s">
        <v>46</v>
      </c>
      <c r="V118" s="7"/>
      <c r="W118" s="7">
        <v>142</v>
      </c>
      <c r="X118" s="18">
        <v>15781</v>
      </c>
      <c r="Y118" s="18">
        <v>376</v>
      </c>
      <c r="Z118" s="18">
        <v>16157</v>
      </c>
      <c r="AA118" s="18">
        <v>13537</v>
      </c>
      <c r="AB118" s="18">
        <v>153</v>
      </c>
      <c r="AC118" s="18">
        <v>0</v>
      </c>
      <c r="AD118" s="7" t="s">
        <v>670</v>
      </c>
      <c r="AE118" s="13" t="s">
        <v>56</v>
      </c>
      <c r="AF118" s="7"/>
      <c r="AG118" s="7"/>
      <c r="AH118" s="7"/>
      <c r="AI118" s="7"/>
      <c r="AJ118" s="7"/>
      <c r="AK118" s="7"/>
      <c r="AL118" s="7"/>
      <c r="AM118" s="7"/>
      <c r="AN118" s="7"/>
      <c r="AO118" s="7"/>
      <c r="AP118" s="7"/>
      <c r="AQ118" s="7"/>
      <c r="AR118" s="7"/>
      <c r="AS118" s="7"/>
      <c r="AT118" s="7"/>
      <c r="AU118" s="7"/>
      <c r="AV118" s="7"/>
      <c r="AW118" s="7"/>
      <c r="AX118" s="7"/>
      <c r="AY118" s="7"/>
      <c r="AZ118" s="7"/>
    </row>
    <row r="119" spans="1:52" ht="63" customHeight="1">
      <c r="A119" s="20" t="s">
        <v>671</v>
      </c>
      <c r="B119" s="7">
        <v>1</v>
      </c>
      <c r="C119" s="7" t="s">
        <v>94</v>
      </c>
      <c r="D119" s="7" t="s">
        <v>108</v>
      </c>
      <c r="E119" s="7" t="s">
        <v>63</v>
      </c>
      <c r="F119" s="7" t="s">
        <v>672</v>
      </c>
      <c r="G119" s="7">
        <v>1852</v>
      </c>
      <c r="H119" s="7" t="s">
        <v>673</v>
      </c>
      <c r="I119" s="14" t="str">
        <f>HYPERLINK("mailto:information@ipo.gov.uk","information@ipo.gov.uk")</f>
        <v>information@ipo.gov.uk</v>
      </c>
      <c r="J119" s="14" t="str">
        <f>HYPERLINK("https://www.gov.uk/government/organisations/intellectual-property-office","https://www.gov.uk/government/organisations/intellectual-property-office")</f>
        <v>https://www.gov.uk/government/organisations/intellectual-property-office</v>
      </c>
      <c r="K119" s="7" t="s">
        <v>347</v>
      </c>
      <c r="L119" s="7" t="s">
        <v>674</v>
      </c>
      <c r="M119" s="7" t="s">
        <v>42</v>
      </c>
      <c r="N119" s="15" t="s">
        <v>56</v>
      </c>
      <c r="O119" s="16">
        <v>10000</v>
      </c>
      <c r="P119" s="15" t="s">
        <v>52</v>
      </c>
      <c r="Q119" s="17" t="s">
        <v>675</v>
      </c>
      <c r="R119" s="7" t="s">
        <v>63</v>
      </c>
      <c r="S119" s="7" t="s">
        <v>56</v>
      </c>
      <c r="T119" s="7" t="s">
        <v>56</v>
      </c>
      <c r="U119" s="7" t="s">
        <v>54</v>
      </c>
      <c r="V119" s="7"/>
      <c r="W119" s="26">
        <v>1074</v>
      </c>
      <c r="X119" s="18">
        <v>0</v>
      </c>
      <c r="Y119" s="18">
        <v>99370</v>
      </c>
      <c r="Z119" s="18">
        <f>IF(SUM(Y119)&lt;&gt;0,SUM(Y119),"")</f>
        <v>99370</v>
      </c>
      <c r="AA119" s="18">
        <v>99370</v>
      </c>
      <c r="AB119" s="18">
        <v>338</v>
      </c>
      <c r="AC119" s="18">
        <v>0</v>
      </c>
      <c r="AD119" s="7" t="s">
        <v>676</v>
      </c>
      <c r="AE119" s="7"/>
      <c r="AF119" s="7"/>
      <c r="AG119" s="7"/>
      <c r="AH119" s="7"/>
      <c r="AI119" s="7"/>
      <c r="AJ119" s="7"/>
      <c r="AK119" s="7"/>
      <c r="AL119" s="7"/>
      <c r="AM119" s="7"/>
      <c r="AN119" s="7"/>
      <c r="AO119" s="7"/>
      <c r="AP119" s="7"/>
      <c r="AQ119" s="7"/>
      <c r="AR119" s="7"/>
      <c r="AS119" s="7"/>
      <c r="AT119" s="7"/>
      <c r="AU119" s="7"/>
      <c r="AV119" s="7"/>
      <c r="AW119" s="7"/>
      <c r="AX119" s="7"/>
      <c r="AY119" s="7"/>
      <c r="AZ119" s="7"/>
    </row>
    <row r="120" spans="1:52" ht="63" customHeight="1">
      <c r="A120" s="20" t="s">
        <v>677</v>
      </c>
      <c r="B120" s="7">
        <v>1</v>
      </c>
      <c r="C120" s="7" t="s">
        <v>133</v>
      </c>
      <c r="D120" s="7" t="s">
        <v>678</v>
      </c>
      <c r="E120" s="7" t="s">
        <v>37</v>
      </c>
      <c r="F120" s="7" t="s">
        <v>679</v>
      </c>
      <c r="G120" s="7">
        <v>2000</v>
      </c>
      <c r="H120" s="7"/>
      <c r="I120" s="14" t="str">
        <f>HYPERLINK("mailto:info@ipt-uk.com","info@ipt-uk.com")</f>
        <v>info@ipt-uk.com</v>
      </c>
      <c r="J120" s="14" t="str">
        <f>HYPERLINK("https://www.ipt-uk.com/","https://www.ipt-uk.com/")</f>
        <v>https://www.ipt-uk.com/</v>
      </c>
      <c r="K120" s="7" t="s">
        <v>680</v>
      </c>
      <c r="L120" s="7" t="s">
        <v>681</v>
      </c>
      <c r="M120" s="7" t="s">
        <v>42</v>
      </c>
      <c r="N120" s="15" t="s">
        <v>37</v>
      </c>
      <c r="O120" s="16"/>
      <c r="P120" s="15"/>
      <c r="Q120" s="15" t="s">
        <v>682</v>
      </c>
      <c r="R120" s="7" t="s">
        <v>37</v>
      </c>
      <c r="S120" s="7" t="s">
        <v>37</v>
      </c>
      <c r="T120" s="7" t="s">
        <v>37</v>
      </c>
      <c r="U120" s="7" t="s">
        <v>46</v>
      </c>
      <c r="V120" s="7">
        <v>2009</v>
      </c>
      <c r="W120" s="7">
        <v>5</v>
      </c>
      <c r="X120" s="18">
        <v>655</v>
      </c>
      <c r="Y120" s="18">
        <v>0</v>
      </c>
      <c r="Z120" s="18">
        <v>655</v>
      </c>
      <c r="AA120" s="18">
        <v>736</v>
      </c>
      <c r="AB120" s="18">
        <v>0</v>
      </c>
      <c r="AC120" s="18">
        <v>0</v>
      </c>
      <c r="AD120" s="7"/>
      <c r="AE120" s="7"/>
      <c r="AF120" s="7"/>
      <c r="AG120" s="7"/>
      <c r="AH120" s="7"/>
      <c r="AI120" s="7"/>
      <c r="AJ120" s="7"/>
      <c r="AK120" s="7"/>
      <c r="AL120" s="7"/>
      <c r="AM120" s="7"/>
      <c r="AN120" s="7"/>
      <c r="AO120" s="7"/>
      <c r="AP120" s="7"/>
      <c r="AQ120" s="7"/>
      <c r="AR120" s="7"/>
      <c r="AS120" s="7"/>
      <c r="AT120" s="7"/>
      <c r="AU120" s="7"/>
      <c r="AV120" s="7"/>
      <c r="AW120" s="7"/>
      <c r="AX120" s="7"/>
      <c r="AY120" s="7"/>
      <c r="AZ120" s="7"/>
    </row>
    <row r="121" spans="1:52" ht="63" customHeight="1">
      <c r="A121" s="20" t="s">
        <v>683</v>
      </c>
      <c r="B121" s="7">
        <v>1</v>
      </c>
      <c r="C121" s="7" t="s">
        <v>79</v>
      </c>
      <c r="D121" s="7" t="s">
        <v>95</v>
      </c>
      <c r="E121" s="7" t="s">
        <v>37</v>
      </c>
      <c r="F121" s="7" t="s">
        <v>684</v>
      </c>
      <c r="G121" s="7">
        <v>1990</v>
      </c>
      <c r="H121" s="7"/>
      <c r="I121" s="14" t="str">
        <f>HYPERLINK("mailto:comment@jncc.gov.uk","comment@jncc.gov.uk")</f>
        <v>comment@jncc.gov.uk</v>
      </c>
      <c r="J121" s="14" t="str">
        <f>HYPERLINK("http://jncc.defra.gov.uk/","http://jncc.defra.gov.uk/")</f>
        <v>http://jncc.defra.gov.uk/</v>
      </c>
      <c r="K121" s="7" t="s">
        <v>685</v>
      </c>
      <c r="L121" s="7" t="s">
        <v>686</v>
      </c>
      <c r="M121" s="13" t="s">
        <v>42</v>
      </c>
      <c r="N121" s="15" t="s">
        <v>43</v>
      </c>
      <c r="O121" s="16">
        <v>40059</v>
      </c>
      <c r="P121" s="15" t="s">
        <v>52</v>
      </c>
      <c r="Q121" s="7" t="s">
        <v>687</v>
      </c>
      <c r="R121" s="7" t="s">
        <v>43</v>
      </c>
      <c r="S121" s="7" t="s">
        <v>43</v>
      </c>
      <c r="T121" s="7" t="s">
        <v>43</v>
      </c>
      <c r="U121" s="7" t="s">
        <v>54</v>
      </c>
      <c r="V121" s="7">
        <v>2016</v>
      </c>
      <c r="W121" s="39">
        <v>200.25</v>
      </c>
      <c r="X121" s="18">
        <v>11565</v>
      </c>
      <c r="Y121" s="18">
        <v>789</v>
      </c>
      <c r="Z121" s="18">
        <v>12354</v>
      </c>
      <c r="AA121" s="18">
        <v>13062</v>
      </c>
      <c r="AB121" s="18">
        <v>87</v>
      </c>
      <c r="AC121" s="18">
        <v>1</v>
      </c>
      <c r="AD121" s="7"/>
      <c r="AE121" s="7"/>
      <c r="AF121" s="7"/>
      <c r="AG121" s="7"/>
      <c r="AH121" s="7"/>
      <c r="AI121" s="7"/>
      <c r="AJ121" s="7"/>
      <c r="AK121" s="7"/>
      <c r="AL121" s="7"/>
      <c r="AM121" s="7"/>
      <c r="AN121" s="7"/>
      <c r="AO121" s="7"/>
      <c r="AP121" s="7"/>
      <c r="AQ121" s="7"/>
      <c r="AR121" s="7"/>
      <c r="AS121" s="7"/>
      <c r="AT121" s="7"/>
      <c r="AU121" s="7"/>
      <c r="AV121" s="7"/>
      <c r="AW121" s="7"/>
      <c r="AX121" s="7"/>
      <c r="AY121" s="7"/>
      <c r="AZ121" s="7"/>
    </row>
    <row r="122" spans="1:52" ht="63" customHeight="1">
      <c r="A122" s="20" t="s">
        <v>688</v>
      </c>
      <c r="B122" s="7">
        <v>1</v>
      </c>
      <c r="C122" s="7" t="s">
        <v>89</v>
      </c>
      <c r="D122" s="7" t="s">
        <v>95</v>
      </c>
      <c r="E122" s="7" t="s">
        <v>37</v>
      </c>
      <c r="F122" s="7" t="s">
        <v>689</v>
      </c>
      <c r="G122" s="7">
        <v>2006</v>
      </c>
      <c r="H122" s="7"/>
      <c r="I122" s="14" t="s">
        <v>690</v>
      </c>
      <c r="J122" s="14" t="s">
        <v>691</v>
      </c>
      <c r="K122" s="7" t="s">
        <v>692</v>
      </c>
      <c r="L122" s="7" t="s">
        <v>693</v>
      </c>
      <c r="M122" s="7" t="s">
        <v>71</v>
      </c>
      <c r="N122" s="15" t="s">
        <v>43</v>
      </c>
      <c r="O122" s="16" t="s">
        <v>694</v>
      </c>
      <c r="P122" s="15" t="s">
        <v>52</v>
      </c>
      <c r="Q122" s="44" t="s">
        <v>193</v>
      </c>
      <c r="R122" s="7" t="s">
        <v>37</v>
      </c>
      <c r="S122" s="7" t="s">
        <v>43</v>
      </c>
      <c r="T122" s="7" t="s">
        <v>43</v>
      </c>
      <c r="U122" s="7" t="s">
        <v>695</v>
      </c>
      <c r="V122" s="7">
        <v>2014</v>
      </c>
      <c r="W122" s="7">
        <v>62</v>
      </c>
      <c r="X122" s="18">
        <v>6937</v>
      </c>
      <c r="Y122" s="18">
        <v>0</v>
      </c>
      <c r="Z122" s="18">
        <v>6937</v>
      </c>
      <c r="AA122" s="18">
        <v>6687</v>
      </c>
      <c r="AB122" s="18">
        <v>0</v>
      </c>
      <c r="AC122" s="18">
        <v>0</v>
      </c>
      <c r="AD122" s="7"/>
      <c r="AE122" s="7"/>
      <c r="AF122" s="7"/>
      <c r="AG122" s="7"/>
      <c r="AH122" s="7"/>
      <c r="AI122" s="7"/>
      <c r="AJ122" s="7"/>
      <c r="AK122" s="7"/>
      <c r="AL122" s="7"/>
      <c r="AM122" s="7"/>
      <c r="AN122" s="7"/>
      <c r="AO122" s="7"/>
      <c r="AP122" s="7"/>
      <c r="AQ122" s="7"/>
      <c r="AR122" s="7"/>
      <c r="AS122" s="7"/>
      <c r="AT122" s="7"/>
      <c r="AU122" s="7"/>
      <c r="AV122" s="7"/>
      <c r="AW122" s="7"/>
      <c r="AX122" s="7"/>
      <c r="AY122" s="7"/>
      <c r="AZ122" s="7"/>
    </row>
    <row r="123" spans="1:52" ht="63" customHeight="1">
      <c r="A123" s="20" t="s">
        <v>696</v>
      </c>
      <c r="B123" s="7">
        <v>1</v>
      </c>
      <c r="C123" s="7" t="s">
        <v>94</v>
      </c>
      <c r="D123" s="7" t="s">
        <v>36</v>
      </c>
      <c r="E123" s="7" t="s">
        <v>63</v>
      </c>
      <c r="F123" s="7" t="s">
        <v>697</v>
      </c>
      <c r="G123" s="7">
        <v>2002</v>
      </c>
      <c r="H123" s="7"/>
      <c r="I123" s="14" t="str">
        <f>HYPERLINK("mailto:Carol.Gurajena@landregistry.gov.uk","Carol.Gurajena@landregistry.gov.uk")</f>
        <v>Carol.Gurajena@landregistry.gov.uk</v>
      </c>
      <c r="J123" s="14" t="str">
        <f>HYPERLINK("https://www.gov.uk/government/organisations/land-registration-rule-committee","https://www.gov.uk/government/organisations/land-registration-rule-committee")</f>
        <v>https://www.gov.uk/government/organisations/land-registration-rule-committee</v>
      </c>
      <c r="K123" s="7" t="s">
        <v>347</v>
      </c>
      <c r="L123" s="7" t="s">
        <v>698</v>
      </c>
      <c r="M123" s="7" t="s">
        <v>42</v>
      </c>
      <c r="N123" s="15" t="s">
        <v>37</v>
      </c>
      <c r="O123" s="16"/>
      <c r="P123" s="15"/>
      <c r="Q123" s="15"/>
      <c r="R123" s="7" t="s">
        <v>63</v>
      </c>
      <c r="S123" s="7" t="s">
        <v>63</v>
      </c>
      <c r="T123" s="7" t="s">
        <v>63</v>
      </c>
      <c r="U123" s="7" t="s">
        <v>46</v>
      </c>
      <c r="V123" s="7">
        <v>2015</v>
      </c>
      <c r="W123" s="7">
        <v>0</v>
      </c>
      <c r="X123" s="18">
        <v>0</v>
      </c>
      <c r="Y123" s="18">
        <v>0</v>
      </c>
      <c r="Z123" s="18">
        <v>0</v>
      </c>
      <c r="AA123" s="18">
        <v>0</v>
      </c>
      <c r="AB123" s="18">
        <v>0</v>
      </c>
      <c r="AC123" s="18">
        <v>0</v>
      </c>
      <c r="AD123" s="7"/>
      <c r="AE123" s="7"/>
      <c r="AF123" s="7"/>
      <c r="AG123" s="7"/>
      <c r="AH123" s="7"/>
      <c r="AI123" s="7"/>
      <c r="AJ123" s="7"/>
      <c r="AK123" s="7"/>
      <c r="AL123" s="7"/>
      <c r="AM123" s="7"/>
      <c r="AN123" s="7"/>
      <c r="AO123" s="7"/>
      <c r="AP123" s="7"/>
      <c r="AQ123" s="7"/>
      <c r="AR123" s="7"/>
      <c r="AS123" s="7"/>
      <c r="AT123" s="7"/>
      <c r="AU123" s="7"/>
      <c r="AV123" s="7"/>
      <c r="AW123" s="7"/>
      <c r="AX123" s="7"/>
      <c r="AY123" s="7"/>
      <c r="AZ123" s="7"/>
    </row>
    <row r="124" spans="1:52" ht="63" customHeight="1">
      <c r="A124" s="8" t="s">
        <v>699</v>
      </c>
      <c r="B124" s="7">
        <v>1</v>
      </c>
      <c r="C124" s="7" t="s">
        <v>89</v>
      </c>
      <c r="D124" s="7" t="s">
        <v>36</v>
      </c>
      <c r="E124" s="7" t="s">
        <v>37</v>
      </c>
      <c r="F124" s="7" t="s">
        <v>700</v>
      </c>
      <c r="G124" s="7">
        <v>1965</v>
      </c>
      <c r="H124" s="7"/>
      <c r="I124" s="14" t="str">
        <f>HYPERLINK("mailto:enquiries@lawcommission.gsi.gov.uk","enquiries@lawcommission.gsi.gov.uk")</f>
        <v>enquiries@lawcommission.gsi.gov.uk</v>
      </c>
      <c r="J124" s="14" t="str">
        <f>HYPERLINK("https://www.lawcom.gov.uk/","https://www.lawcom.gov.uk/")</f>
        <v>https://www.lawcom.gov.uk/</v>
      </c>
      <c r="K124" s="7" t="s">
        <v>701</v>
      </c>
      <c r="L124" s="27" t="s">
        <v>702</v>
      </c>
      <c r="M124" s="27" t="s">
        <v>42</v>
      </c>
      <c r="N124" s="15" t="s">
        <v>37</v>
      </c>
      <c r="O124" s="16"/>
      <c r="P124" s="15"/>
      <c r="Q124" s="15" t="s">
        <v>374</v>
      </c>
      <c r="R124" s="7" t="s">
        <v>37</v>
      </c>
      <c r="S124" s="7" t="s">
        <v>43</v>
      </c>
      <c r="T124" s="7" t="s">
        <v>43</v>
      </c>
      <c r="U124" s="7" t="s">
        <v>54</v>
      </c>
      <c r="V124" s="7">
        <v>2019</v>
      </c>
      <c r="W124" s="7">
        <v>55.5</v>
      </c>
      <c r="X124" s="18">
        <v>2277</v>
      </c>
      <c r="Y124" s="18">
        <v>1900</v>
      </c>
      <c r="Z124" s="18">
        <f>(X124+Y124)</f>
        <v>4177</v>
      </c>
      <c r="AA124" s="18">
        <v>4197</v>
      </c>
      <c r="AB124" s="18">
        <v>0</v>
      </c>
      <c r="AC124" s="18">
        <v>0</v>
      </c>
      <c r="AD124" s="7"/>
      <c r="AE124" s="13" t="s">
        <v>56</v>
      </c>
      <c r="AF124" s="7"/>
      <c r="AG124" s="7"/>
      <c r="AH124" s="7"/>
      <c r="AI124" s="7"/>
      <c r="AJ124" s="7"/>
      <c r="AK124" s="7"/>
      <c r="AL124" s="7"/>
      <c r="AM124" s="7"/>
      <c r="AN124" s="7"/>
      <c r="AO124" s="7"/>
      <c r="AP124" s="7"/>
      <c r="AQ124" s="7"/>
      <c r="AR124" s="7"/>
      <c r="AS124" s="7"/>
      <c r="AT124" s="7"/>
      <c r="AU124" s="7"/>
      <c r="AV124" s="7"/>
      <c r="AW124" s="7"/>
      <c r="AX124" s="7"/>
      <c r="AY124" s="7"/>
      <c r="AZ124" s="7"/>
    </row>
    <row r="125" spans="1:52" ht="63" customHeight="1">
      <c r="A125" s="20" t="s">
        <v>703</v>
      </c>
      <c r="B125" s="7">
        <v>1</v>
      </c>
      <c r="C125" s="7" t="s">
        <v>212</v>
      </c>
      <c r="D125" s="7" t="s">
        <v>95</v>
      </c>
      <c r="E125" s="7" t="s">
        <v>37</v>
      </c>
      <c r="F125" s="13" t="s">
        <v>704</v>
      </c>
      <c r="G125" s="7">
        <v>1994</v>
      </c>
      <c r="H125" s="7"/>
      <c r="I125" s="14" t="str">
        <f>HYPERLINK("mailto:info@lease-advice.org","info@lease-advice.org
")</f>
        <v xml:space="preserve">info@lease-advice.org
</v>
      </c>
      <c r="J125" s="14" t="str">
        <f>HYPERLINK("http://www.lease-advice.org","www.lease-advice.org
")</f>
        <v xml:space="preserve">www.lease-advice.org
</v>
      </c>
      <c r="K125" s="7" t="s">
        <v>705</v>
      </c>
      <c r="L125" s="27" t="s">
        <v>706</v>
      </c>
      <c r="M125" s="27" t="s">
        <v>42</v>
      </c>
      <c r="N125" s="15" t="s">
        <v>43</v>
      </c>
      <c r="O125" s="16">
        <v>654</v>
      </c>
      <c r="P125" s="15" t="s">
        <v>44</v>
      </c>
      <c r="Q125" s="17" t="s">
        <v>707</v>
      </c>
      <c r="R125" s="7" t="s">
        <v>37</v>
      </c>
      <c r="S125" s="7" t="s">
        <v>43</v>
      </c>
      <c r="T125" s="7" t="s">
        <v>43</v>
      </c>
      <c r="U125" s="7" t="s">
        <v>54</v>
      </c>
      <c r="V125" s="7">
        <v>2018</v>
      </c>
      <c r="W125" s="7">
        <v>23.1</v>
      </c>
      <c r="X125" s="18">
        <v>1596</v>
      </c>
      <c r="Y125" s="18">
        <v>30</v>
      </c>
      <c r="Z125" s="18">
        <v>1626</v>
      </c>
      <c r="AA125" s="18">
        <v>1589</v>
      </c>
      <c r="AB125" s="18">
        <v>0</v>
      </c>
      <c r="AC125" s="18">
        <v>0</v>
      </c>
      <c r="AD125" s="7"/>
      <c r="AE125" s="13" t="s">
        <v>56</v>
      </c>
      <c r="AF125" s="7"/>
      <c r="AG125" s="7"/>
      <c r="AH125" s="7"/>
      <c r="AI125" s="7"/>
      <c r="AJ125" s="7"/>
      <c r="AK125" s="7"/>
      <c r="AL125" s="7"/>
      <c r="AM125" s="7"/>
      <c r="AN125" s="7"/>
      <c r="AO125" s="7"/>
      <c r="AP125" s="7"/>
      <c r="AQ125" s="7"/>
      <c r="AR125" s="7"/>
      <c r="AS125" s="7"/>
      <c r="AT125" s="7"/>
      <c r="AU125" s="7"/>
      <c r="AV125" s="7"/>
      <c r="AW125" s="7"/>
      <c r="AX125" s="7"/>
      <c r="AY125" s="7"/>
      <c r="AZ125" s="7"/>
    </row>
    <row r="126" spans="1:52" ht="63" customHeight="1">
      <c r="A126" s="20" t="s">
        <v>708</v>
      </c>
      <c r="B126" s="7">
        <v>1</v>
      </c>
      <c r="C126" s="7" t="s">
        <v>89</v>
      </c>
      <c r="D126" s="7" t="s">
        <v>108</v>
      </c>
      <c r="E126" s="7" t="s">
        <v>37</v>
      </c>
      <c r="F126" s="27" t="s">
        <v>709</v>
      </c>
      <c r="G126" s="7">
        <v>2013</v>
      </c>
      <c r="H126" s="7"/>
      <c r="I126" s="14" t="str">
        <f>HYPERLINK("mailto:CentralisedAppeals@justice.gov.uk","CentralisedAppeals@justice.gov.uk")</f>
        <v>CentralisedAppeals@justice.gov.uk</v>
      </c>
      <c r="J126" s="14" t="str">
        <f>HYPERLINK("https://www.gov.uk/legal-aid","https://www.gov.uk/legal-aid")</f>
        <v>https://www.gov.uk/legal-aid</v>
      </c>
      <c r="K126" s="7" t="s">
        <v>710</v>
      </c>
      <c r="L126" s="27" t="s">
        <v>711</v>
      </c>
      <c r="M126" s="27" t="s">
        <v>71</v>
      </c>
      <c r="N126" s="15" t="s">
        <v>43</v>
      </c>
      <c r="O126" s="16">
        <v>97000</v>
      </c>
      <c r="P126" s="15" t="s">
        <v>52</v>
      </c>
      <c r="Q126" s="44" t="s">
        <v>46</v>
      </c>
      <c r="R126" s="7" t="s">
        <v>37</v>
      </c>
      <c r="S126" s="7" t="s">
        <v>37</v>
      </c>
      <c r="T126" s="7" t="s">
        <v>37</v>
      </c>
      <c r="U126" s="7" t="s">
        <v>54</v>
      </c>
      <c r="V126" s="7"/>
      <c r="W126" s="26">
        <v>1198</v>
      </c>
      <c r="X126" s="18">
        <v>0</v>
      </c>
      <c r="Y126" s="18">
        <v>56943</v>
      </c>
      <c r="Z126" s="18">
        <f t="shared" ref="Z126:Z127" si="4">IF(SUM(Y126)&lt;&gt;0,SUM(Y126),"")</f>
        <v>56943</v>
      </c>
      <c r="AA126" s="18">
        <v>1717675</v>
      </c>
      <c r="AB126" s="18">
        <v>4843</v>
      </c>
      <c r="AC126" s="18">
        <v>-38505</v>
      </c>
      <c r="AD126" s="7"/>
      <c r="AE126" s="7"/>
      <c r="AF126" s="7"/>
      <c r="AG126" s="7"/>
      <c r="AH126" s="7"/>
      <c r="AI126" s="7"/>
      <c r="AJ126" s="7"/>
      <c r="AK126" s="7"/>
      <c r="AL126" s="7"/>
      <c r="AM126" s="7"/>
      <c r="AN126" s="7"/>
      <c r="AO126" s="7"/>
      <c r="AP126" s="7"/>
      <c r="AQ126" s="7"/>
      <c r="AR126" s="7"/>
      <c r="AS126" s="7"/>
      <c r="AT126" s="7"/>
      <c r="AU126" s="7"/>
      <c r="AV126" s="7"/>
      <c r="AW126" s="7"/>
      <c r="AX126" s="7"/>
      <c r="AY126" s="7"/>
      <c r="AZ126" s="7"/>
    </row>
    <row r="127" spans="1:52" ht="63" customHeight="1">
      <c r="A127" s="20" t="s">
        <v>712</v>
      </c>
      <c r="B127" s="7">
        <v>1</v>
      </c>
      <c r="C127" s="7" t="s">
        <v>89</v>
      </c>
      <c r="D127" s="7" t="s">
        <v>95</v>
      </c>
      <c r="E127" s="7" t="s">
        <v>43</v>
      </c>
      <c r="F127" s="6" t="s">
        <v>713</v>
      </c>
      <c r="G127" s="7">
        <v>2009</v>
      </c>
      <c r="H127" s="7"/>
      <c r="I127" s="14" t="str">
        <f>HYPERLINK("mailto:contactus@legalservicesboard.org.uk","contactus@legalservicesboard.org.uk")</f>
        <v>contactus@legalservicesboard.org.uk</v>
      </c>
      <c r="J127" s="14" t="str">
        <f>HYPERLINK("http://www.legalservicesboard.org.uk/","http://www.legalservicesboard.org.uk/")</f>
        <v>http://www.legalservicesboard.org.uk/</v>
      </c>
      <c r="K127" s="7" t="s">
        <v>352</v>
      </c>
      <c r="L127" s="27" t="s">
        <v>714</v>
      </c>
      <c r="M127" s="27" t="s">
        <v>42</v>
      </c>
      <c r="N127" s="15" t="s">
        <v>43</v>
      </c>
      <c r="O127" s="16">
        <v>63000</v>
      </c>
      <c r="P127" s="15" t="s">
        <v>52</v>
      </c>
      <c r="Q127" s="17" t="s">
        <v>715</v>
      </c>
      <c r="R127" s="7" t="s">
        <v>37</v>
      </c>
      <c r="S127" s="7" t="s">
        <v>43</v>
      </c>
      <c r="T127" s="7" t="s">
        <v>43</v>
      </c>
      <c r="U127" s="7"/>
      <c r="V127" s="7">
        <v>2017</v>
      </c>
      <c r="W127" s="7">
        <v>33</v>
      </c>
      <c r="X127" s="18">
        <v>0</v>
      </c>
      <c r="Y127" s="18">
        <v>3798</v>
      </c>
      <c r="Z127" s="18">
        <f t="shared" si="4"/>
        <v>3798</v>
      </c>
      <c r="AA127" s="18">
        <v>3683</v>
      </c>
      <c r="AB127" s="18">
        <v>0</v>
      </c>
      <c r="AC127" s="18">
        <v>0</v>
      </c>
      <c r="AD127" s="7"/>
      <c r="AE127" s="7"/>
      <c r="AF127" s="7"/>
      <c r="AG127" s="7"/>
      <c r="AH127" s="7"/>
      <c r="AI127" s="7"/>
      <c r="AJ127" s="7"/>
      <c r="AK127" s="7"/>
      <c r="AL127" s="7"/>
      <c r="AM127" s="7"/>
      <c r="AN127" s="7"/>
      <c r="AO127" s="7"/>
      <c r="AP127" s="7"/>
      <c r="AQ127" s="7"/>
      <c r="AR127" s="7"/>
      <c r="AS127" s="7"/>
      <c r="AT127" s="7"/>
      <c r="AU127" s="7"/>
      <c r="AV127" s="7"/>
      <c r="AW127" s="7"/>
      <c r="AX127" s="7"/>
      <c r="AY127" s="7"/>
      <c r="AZ127" s="7"/>
    </row>
    <row r="128" spans="1:52" ht="63" customHeight="1">
      <c r="A128" s="12" t="s">
        <v>716</v>
      </c>
      <c r="B128" s="7">
        <v>1</v>
      </c>
      <c r="C128" s="7" t="s">
        <v>334</v>
      </c>
      <c r="D128" s="7" t="s">
        <v>95</v>
      </c>
      <c r="E128" s="7" t="s">
        <v>37</v>
      </c>
      <c r="F128" s="7" t="s">
        <v>717</v>
      </c>
      <c r="G128" s="7">
        <v>2017</v>
      </c>
      <c r="H128" s="7"/>
      <c r="I128" s="14" t="str">
        <f>HYPERLINK("mailto:info@LocatED.co.uk","info@LocatED.co.uk")</f>
        <v>info@LocatED.co.uk</v>
      </c>
      <c r="J128" s="14" t="str">
        <f>HYPERLINK("https://located.co.uk/","https://located.co.uk/")</f>
        <v>https://located.co.uk/</v>
      </c>
      <c r="K128" s="7" t="s">
        <v>718</v>
      </c>
      <c r="L128" s="27" t="s">
        <v>719</v>
      </c>
      <c r="M128" s="6" t="s">
        <v>42</v>
      </c>
      <c r="N128" s="15" t="s">
        <v>43</v>
      </c>
      <c r="O128" s="16">
        <v>25000</v>
      </c>
      <c r="P128" s="15" t="s">
        <v>52</v>
      </c>
      <c r="Q128" s="13" t="s">
        <v>560</v>
      </c>
      <c r="R128" s="7" t="s">
        <v>37</v>
      </c>
      <c r="S128" s="7" t="s">
        <v>43</v>
      </c>
      <c r="T128" s="7" t="s">
        <v>43</v>
      </c>
      <c r="U128" s="7" t="s">
        <v>46</v>
      </c>
      <c r="V128" s="7"/>
      <c r="W128" s="7">
        <v>52</v>
      </c>
      <c r="X128" s="18">
        <v>11861</v>
      </c>
      <c r="Y128" s="18">
        <v>0</v>
      </c>
      <c r="Z128" s="18">
        <v>11861</v>
      </c>
      <c r="AA128" s="18">
        <v>5761</v>
      </c>
      <c r="AB128" s="18">
        <v>6099</v>
      </c>
      <c r="AC128" s="18">
        <v>0</v>
      </c>
      <c r="AD128" s="7" t="s">
        <v>720</v>
      </c>
      <c r="AE128" s="13" t="s">
        <v>56</v>
      </c>
      <c r="AF128" s="7"/>
      <c r="AG128" s="7"/>
      <c r="AH128" s="7"/>
      <c r="AI128" s="7"/>
      <c r="AJ128" s="7"/>
      <c r="AK128" s="7"/>
      <c r="AL128" s="7"/>
      <c r="AM128" s="7"/>
      <c r="AN128" s="7"/>
      <c r="AO128" s="7"/>
      <c r="AP128" s="7"/>
      <c r="AQ128" s="7"/>
      <c r="AR128" s="7"/>
      <c r="AS128" s="7"/>
      <c r="AT128" s="7"/>
      <c r="AU128" s="7"/>
      <c r="AV128" s="7"/>
      <c r="AW128" s="7"/>
      <c r="AX128" s="7"/>
      <c r="AY128" s="7"/>
      <c r="AZ128" s="7"/>
    </row>
    <row r="129" spans="1:52" ht="63" customHeight="1">
      <c r="A129" s="20" t="s">
        <v>721</v>
      </c>
      <c r="B129" s="7">
        <v>1</v>
      </c>
      <c r="C129" s="7" t="s">
        <v>94</v>
      </c>
      <c r="D129" s="7" t="s">
        <v>95</v>
      </c>
      <c r="E129" s="7" t="s">
        <v>63</v>
      </c>
      <c r="F129" s="7" t="s">
        <v>722</v>
      </c>
      <c r="G129" s="7">
        <v>1997</v>
      </c>
      <c r="H129" s="7"/>
      <c r="I129" s="14" t="str">
        <f>HYPERLINK("mailto:lpc@lowpay.gov.uk","lpc@lowpay.gov.uk")</f>
        <v>lpc@lowpay.gov.uk</v>
      </c>
      <c r="J129" s="14" t="str">
        <f>HYPERLINK("https://www.gov.uk/government/organisations/low-pay-commission","https://www.gov.uk/government/organisations/low-pay-commission")</f>
        <v>https://www.gov.uk/government/organisations/low-pay-commission</v>
      </c>
      <c r="K129" s="7" t="s">
        <v>97</v>
      </c>
      <c r="L129" s="7" t="s">
        <v>723</v>
      </c>
      <c r="M129" s="7" t="s">
        <v>42</v>
      </c>
      <c r="N129" s="15" t="s">
        <v>56</v>
      </c>
      <c r="O129" s="16">
        <v>530.96</v>
      </c>
      <c r="P129" s="15" t="s">
        <v>44</v>
      </c>
      <c r="Q129" s="17" t="s">
        <v>724</v>
      </c>
      <c r="R129" s="7" t="s">
        <v>63</v>
      </c>
      <c r="S129" s="7" t="s">
        <v>63</v>
      </c>
      <c r="T129" s="7" t="s">
        <v>56</v>
      </c>
      <c r="U129" s="7" t="s">
        <v>46</v>
      </c>
      <c r="V129" s="7">
        <v>2013</v>
      </c>
      <c r="W129" s="7">
        <v>8</v>
      </c>
      <c r="X129" s="18">
        <v>834</v>
      </c>
      <c r="Y129" s="18">
        <v>0</v>
      </c>
      <c r="Z129" s="18">
        <v>834</v>
      </c>
      <c r="AA129" s="18">
        <v>830.60299999999995</v>
      </c>
      <c r="AB129" s="18">
        <v>0</v>
      </c>
      <c r="AC129" s="18">
        <v>0</v>
      </c>
      <c r="AD129" s="7" t="s">
        <v>185</v>
      </c>
      <c r="AE129" s="7"/>
      <c r="AF129" s="7"/>
      <c r="AG129" s="7"/>
      <c r="AH129" s="7"/>
      <c r="AI129" s="7"/>
      <c r="AJ129" s="7"/>
      <c r="AK129" s="7"/>
      <c r="AL129" s="7"/>
      <c r="AM129" s="7"/>
      <c r="AN129" s="7"/>
      <c r="AO129" s="7"/>
      <c r="AP129" s="7"/>
      <c r="AQ129" s="7"/>
      <c r="AR129" s="7"/>
      <c r="AS129" s="7"/>
      <c r="AT129" s="7"/>
      <c r="AU129" s="7"/>
      <c r="AV129" s="7"/>
      <c r="AW129" s="7"/>
      <c r="AX129" s="7"/>
      <c r="AY129" s="7"/>
      <c r="AZ129" s="7"/>
    </row>
    <row r="130" spans="1:52" ht="63" customHeight="1">
      <c r="A130" s="20" t="s">
        <v>725</v>
      </c>
      <c r="B130" s="7">
        <v>1</v>
      </c>
      <c r="C130" s="7" t="s">
        <v>79</v>
      </c>
      <c r="D130" s="7" t="s">
        <v>95</v>
      </c>
      <c r="E130" s="7" t="s">
        <v>43</v>
      </c>
      <c r="F130" s="7" t="s">
        <v>726</v>
      </c>
      <c r="G130" s="7">
        <v>2009</v>
      </c>
      <c r="H130" s="7"/>
      <c r="I130" s="14" t="str">
        <f>HYPERLINK("mailto:info@marinemanagement.org.uk","info@marinemanagement.org.uk")</f>
        <v>info@marinemanagement.org.uk</v>
      </c>
      <c r="J130" s="14" t="str">
        <f>HYPERLINK("https://www.gov.uk/government/ organisations/marine-management-organisation","https://www.gov.uk/government/
organisations/marine-management-organisation")</f>
        <v>https://www.gov.uk/government/
organisations/marine-management-organisation</v>
      </c>
      <c r="K130" s="7" t="s">
        <v>727</v>
      </c>
      <c r="L130" s="7" t="s">
        <v>728</v>
      </c>
      <c r="M130" s="13" t="s">
        <v>42</v>
      </c>
      <c r="N130" s="15" t="s">
        <v>43</v>
      </c>
      <c r="O130" s="16">
        <v>40459</v>
      </c>
      <c r="P130" s="15" t="s">
        <v>52</v>
      </c>
      <c r="Q130" s="17" t="s">
        <v>729</v>
      </c>
      <c r="R130" s="7" t="s">
        <v>37</v>
      </c>
      <c r="S130" s="7" t="s">
        <v>43</v>
      </c>
      <c r="T130" s="7" t="s">
        <v>43</v>
      </c>
      <c r="U130" s="7" t="s">
        <v>54</v>
      </c>
      <c r="V130" s="7">
        <v>2015</v>
      </c>
      <c r="W130" s="7">
        <v>317</v>
      </c>
      <c r="X130" s="18">
        <v>19834</v>
      </c>
      <c r="Y130" s="18">
        <v>8599</v>
      </c>
      <c r="Z130" s="18">
        <v>28433</v>
      </c>
      <c r="AA130" s="18">
        <v>23784</v>
      </c>
      <c r="AB130" s="18">
        <v>1864</v>
      </c>
      <c r="AC130" s="18">
        <v>0</v>
      </c>
      <c r="AD130" s="7"/>
      <c r="AE130" s="7"/>
      <c r="AF130" s="7"/>
      <c r="AG130" s="7"/>
      <c r="AH130" s="7"/>
      <c r="AI130" s="7"/>
      <c r="AJ130" s="7"/>
      <c r="AK130" s="7"/>
      <c r="AL130" s="7"/>
      <c r="AM130" s="7"/>
      <c r="AN130" s="7"/>
      <c r="AO130" s="7"/>
      <c r="AP130" s="7"/>
      <c r="AQ130" s="7"/>
      <c r="AR130" s="7"/>
      <c r="AS130" s="7"/>
      <c r="AT130" s="7"/>
      <c r="AU130" s="7"/>
      <c r="AV130" s="7"/>
      <c r="AW130" s="7"/>
      <c r="AX130" s="7"/>
      <c r="AY130" s="7"/>
      <c r="AZ130" s="7"/>
    </row>
    <row r="131" spans="1:52" ht="63" customHeight="1">
      <c r="A131" s="20" t="s">
        <v>730</v>
      </c>
      <c r="B131" s="7">
        <v>1</v>
      </c>
      <c r="C131" s="7" t="s">
        <v>206</v>
      </c>
      <c r="D131" s="7" t="s">
        <v>108</v>
      </c>
      <c r="E131" s="7" t="s">
        <v>37</v>
      </c>
      <c r="F131" s="7" t="s">
        <v>731</v>
      </c>
      <c r="G131" s="7">
        <v>1998</v>
      </c>
      <c r="H131" s="7"/>
      <c r="I131" s="14" t="str">
        <f>HYPERLINK("mailto:infoline@mcga.gov.uk","infoline@mcga.gov.uk")</f>
        <v>infoline@mcga.gov.uk</v>
      </c>
      <c r="J131" s="14" t="str">
        <f>HYPERLINK("https://www.gov.uk/government/organisations/maritime-and-coastguard-agency","www.gov.uk/mca")</f>
        <v>www.gov.uk/mca</v>
      </c>
      <c r="K131" s="7" t="s">
        <v>624</v>
      </c>
      <c r="L131" s="7" t="s">
        <v>732</v>
      </c>
      <c r="M131" s="7" t="s">
        <v>42</v>
      </c>
      <c r="N131" s="15" t="s">
        <v>43</v>
      </c>
      <c r="O131" s="16">
        <v>548</v>
      </c>
      <c r="P131" s="15" t="s">
        <v>44</v>
      </c>
      <c r="Q131" s="15" t="s">
        <v>733</v>
      </c>
      <c r="R131" s="7" t="s">
        <v>37</v>
      </c>
      <c r="S131" s="7" t="s">
        <v>37</v>
      </c>
      <c r="T131" s="7" t="s">
        <v>43</v>
      </c>
      <c r="U131" s="7" t="s">
        <v>54</v>
      </c>
      <c r="V131" s="7">
        <v>2019</v>
      </c>
      <c r="W131" s="26">
        <v>1101</v>
      </c>
      <c r="X131" s="18">
        <v>360900</v>
      </c>
      <c r="Y131" s="18">
        <v>14869</v>
      </c>
      <c r="Z131" s="18">
        <v>375769</v>
      </c>
      <c r="AA131" s="18">
        <f>322396+Y131</f>
        <v>337265</v>
      </c>
      <c r="AB131" s="18">
        <v>11566</v>
      </c>
      <c r="AC131" s="18">
        <v>1000</v>
      </c>
      <c r="AD131" s="18"/>
      <c r="AE131" s="18"/>
      <c r="AF131" s="18"/>
      <c r="AG131" s="18"/>
      <c r="AH131" s="7"/>
      <c r="AI131" s="7"/>
      <c r="AJ131" s="7"/>
      <c r="AK131" s="7"/>
      <c r="AL131" s="7"/>
      <c r="AM131" s="7"/>
      <c r="AN131" s="7"/>
      <c r="AO131" s="7"/>
      <c r="AP131" s="7"/>
      <c r="AQ131" s="7"/>
      <c r="AR131" s="7"/>
      <c r="AS131" s="7"/>
      <c r="AT131" s="7"/>
      <c r="AU131" s="7"/>
      <c r="AV131" s="7"/>
      <c r="AW131" s="7"/>
      <c r="AX131" s="7"/>
      <c r="AY131" s="7"/>
      <c r="AZ131" s="7"/>
    </row>
    <row r="132" spans="1:52" ht="63" customHeight="1">
      <c r="A132" s="12" t="s">
        <v>734</v>
      </c>
      <c r="B132" s="7">
        <v>1</v>
      </c>
      <c r="C132" s="7" t="s">
        <v>170</v>
      </c>
      <c r="D132" s="7" t="s">
        <v>95</v>
      </c>
      <c r="E132" s="7" t="s">
        <v>37</v>
      </c>
      <c r="F132" s="7" t="s">
        <v>735</v>
      </c>
      <c r="G132" s="7">
        <v>1953</v>
      </c>
      <c r="H132" s="7"/>
      <c r="I132" s="14" t="str">
        <f>HYPERLINK("mailto:apps@marshallscholarship.org","apps@marshallscholarship.org")</f>
        <v>apps@marshallscholarship.org</v>
      </c>
      <c r="J132" s="14" t="str">
        <f>HYPERLINK("http://www.marshallscholarship.org","http://www.marshallscholarship.org")</f>
        <v>http://www.marshallscholarship.org</v>
      </c>
      <c r="K132" s="7" t="s">
        <v>736</v>
      </c>
      <c r="L132" s="27" t="s">
        <v>737</v>
      </c>
      <c r="M132" s="27" t="s">
        <v>42</v>
      </c>
      <c r="N132" s="37" t="s">
        <v>37</v>
      </c>
      <c r="O132" s="16"/>
      <c r="P132" s="15"/>
      <c r="Q132" s="15" t="s">
        <v>137</v>
      </c>
      <c r="R132" s="7" t="s">
        <v>37</v>
      </c>
      <c r="S132" s="7" t="s">
        <v>37</v>
      </c>
      <c r="T132" s="7" t="s">
        <v>43</v>
      </c>
      <c r="U132" s="7" t="s">
        <v>46</v>
      </c>
      <c r="V132" s="7">
        <v>2019</v>
      </c>
      <c r="W132" s="7">
        <v>0</v>
      </c>
      <c r="X132" s="18">
        <v>2550</v>
      </c>
      <c r="Y132" s="18">
        <v>83</v>
      </c>
      <c r="Z132" s="18">
        <v>2633</v>
      </c>
      <c r="AA132" s="18">
        <v>2413</v>
      </c>
      <c r="AB132" s="18">
        <v>0</v>
      </c>
      <c r="AC132" s="18">
        <v>0</v>
      </c>
      <c r="AD132" s="18"/>
      <c r="AE132" s="18"/>
      <c r="AF132" s="18"/>
      <c r="AG132" s="18"/>
      <c r="AH132" s="7"/>
      <c r="AI132" s="7"/>
      <c r="AJ132" s="7"/>
      <c r="AK132" s="7"/>
      <c r="AL132" s="7"/>
      <c r="AM132" s="7"/>
      <c r="AN132" s="7"/>
      <c r="AO132" s="7"/>
      <c r="AP132" s="7"/>
      <c r="AQ132" s="7"/>
      <c r="AR132" s="7"/>
      <c r="AS132" s="7"/>
      <c r="AT132" s="7"/>
      <c r="AU132" s="7"/>
      <c r="AV132" s="7"/>
      <c r="AW132" s="7"/>
      <c r="AX132" s="7"/>
      <c r="AY132" s="7"/>
      <c r="AZ132" s="7"/>
    </row>
    <row r="133" spans="1:52" ht="63" customHeight="1">
      <c r="A133" s="12" t="s">
        <v>738</v>
      </c>
      <c r="B133" s="7">
        <v>1</v>
      </c>
      <c r="C133" s="7" t="s">
        <v>58</v>
      </c>
      <c r="D133" s="7" t="s">
        <v>108</v>
      </c>
      <c r="E133" s="7" t="s">
        <v>56</v>
      </c>
      <c r="F133" s="7" t="s">
        <v>739</v>
      </c>
      <c r="G133" s="7">
        <v>2003</v>
      </c>
      <c r="H133" s="7" t="s">
        <v>740</v>
      </c>
      <c r="I133" s="14" t="str">
        <f>HYPERLINK("mailto:info@mhra.gov.uk","info@mhra.gov.uk")</f>
        <v>info@mhra.gov.uk</v>
      </c>
      <c r="J133" s="14" t="str">
        <f>HYPERLINK("https://www.gov.uk/government/organisations/medicines-and-healthcare-products-regulatory-agency","https://www.gov.uk/government/organisations/medicines-and-healthcare-products-regulatory-agency")</f>
        <v>https://www.gov.uk/government/organisations/medicines-and-healthcare-products-regulatory-agency</v>
      </c>
      <c r="K133" s="7" t="s">
        <v>741</v>
      </c>
      <c r="L133" s="6" t="s">
        <v>742</v>
      </c>
      <c r="M133" s="6" t="s">
        <v>42</v>
      </c>
      <c r="N133" s="6" t="s">
        <v>43</v>
      </c>
      <c r="O133" s="16" t="s">
        <v>528</v>
      </c>
      <c r="P133" s="15" t="s">
        <v>52</v>
      </c>
      <c r="Q133" s="15" t="s">
        <v>221</v>
      </c>
      <c r="R133" s="7" t="s">
        <v>43</v>
      </c>
      <c r="S133" s="7" t="s">
        <v>43</v>
      </c>
      <c r="T133" s="7" t="s">
        <v>43</v>
      </c>
      <c r="U133" s="7" t="s">
        <v>54</v>
      </c>
      <c r="V133" s="7">
        <v>2015</v>
      </c>
      <c r="W133" s="26">
        <v>1306</v>
      </c>
      <c r="X133" s="18">
        <v>28272</v>
      </c>
      <c r="Y133" s="18">
        <v>0</v>
      </c>
      <c r="Z133" s="18">
        <v>28272</v>
      </c>
      <c r="AA133" s="33">
        <v>21272</v>
      </c>
      <c r="AB133" s="33">
        <v>7000</v>
      </c>
      <c r="AC133" s="33">
        <v>0</v>
      </c>
      <c r="AD133" s="7"/>
      <c r="AE133" s="13" t="s">
        <v>56</v>
      </c>
      <c r="AF133" s="7"/>
      <c r="AG133" s="7"/>
      <c r="AH133" s="7"/>
      <c r="AI133" s="7"/>
      <c r="AJ133" s="7"/>
      <c r="AK133" s="7"/>
      <c r="AL133" s="7"/>
      <c r="AM133" s="7"/>
      <c r="AN133" s="7"/>
      <c r="AO133" s="7"/>
      <c r="AP133" s="7"/>
      <c r="AQ133" s="7"/>
      <c r="AR133" s="7"/>
      <c r="AS133" s="7"/>
      <c r="AT133" s="7"/>
      <c r="AU133" s="7"/>
      <c r="AV133" s="7"/>
      <c r="AW133" s="7"/>
      <c r="AX133" s="7"/>
      <c r="AY133" s="7"/>
      <c r="AZ133" s="7"/>
    </row>
    <row r="134" spans="1:52" ht="63" customHeight="1">
      <c r="A134" s="20" t="s">
        <v>743</v>
      </c>
      <c r="B134" s="7">
        <v>1</v>
      </c>
      <c r="C134" s="7" t="s">
        <v>94</v>
      </c>
      <c r="D134" s="7" t="s">
        <v>108</v>
      </c>
      <c r="E134" s="7" t="s">
        <v>63</v>
      </c>
      <c r="F134" s="7" t="s">
        <v>744</v>
      </c>
      <c r="G134" s="7">
        <v>1984</v>
      </c>
      <c r="H134" s="7"/>
      <c r="I134" s="14" t="str">
        <f>HYPERLINK("mailto:enquiries@metoffice.gov.uk","enquiries@metoffice.gov.uk")</f>
        <v>enquiries@metoffice.gov.uk</v>
      </c>
      <c r="J134" s="14" t="str">
        <f>HYPERLINK("http://www.metoffice.gov.uk/","http://www.metoffice.gov.uk/")</f>
        <v>http://www.metoffice.gov.uk/</v>
      </c>
      <c r="K134" s="7" t="s">
        <v>347</v>
      </c>
      <c r="L134" s="6" t="s">
        <v>745</v>
      </c>
      <c r="M134" s="6" t="s">
        <v>42</v>
      </c>
      <c r="N134" s="37" t="s">
        <v>56</v>
      </c>
      <c r="O134" s="16">
        <v>35000</v>
      </c>
      <c r="P134" s="15" t="s">
        <v>52</v>
      </c>
      <c r="Q134" s="17" t="s">
        <v>746</v>
      </c>
      <c r="R134" s="7" t="s">
        <v>63</v>
      </c>
      <c r="S134" s="7" t="s">
        <v>56</v>
      </c>
      <c r="T134" s="7" t="s">
        <v>56</v>
      </c>
      <c r="U134" s="7"/>
      <c r="V134" s="7"/>
      <c r="W134" s="26">
        <v>1904</v>
      </c>
      <c r="X134" s="18">
        <v>214825</v>
      </c>
      <c r="Y134" s="18">
        <v>24298</v>
      </c>
      <c r="Z134" s="18">
        <f>(X134+Y134)</f>
        <v>239123</v>
      </c>
      <c r="AA134" s="18">
        <v>8400</v>
      </c>
      <c r="AB134" s="18">
        <v>162000</v>
      </c>
      <c r="AC134" s="18">
        <v>0</v>
      </c>
      <c r="AD134" s="7" t="s">
        <v>747</v>
      </c>
      <c r="AE134" s="7"/>
      <c r="AG134" s="7"/>
      <c r="AH134" s="7"/>
      <c r="AI134" s="7"/>
      <c r="AJ134" s="7"/>
      <c r="AK134" s="7"/>
      <c r="AL134" s="7"/>
      <c r="AM134" s="7"/>
      <c r="AN134" s="7"/>
      <c r="AO134" s="7"/>
      <c r="AP134" s="7"/>
      <c r="AQ134" s="7"/>
      <c r="AR134" s="7"/>
      <c r="AS134" s="7"/>
      <c r="AT134" s="7"/>
      <c r="AU134" s="7"/>
      <c r="AV134" s="7"/>
      <c r="AW134" s="7"/>
      <c r="AX134" s="7"/>
      <c r="AY134" s="7"/>
      <c r="AZ134" s="7"/>
    </row>
    <row r="135" spans="1:52" ht="63" customHeight="1">
      <c r="A135" s="20" t="s">
        <v>748</v>
      </c>
      <c r="B135" s="7">
        <v>1</v>
      </c>
      <c r="C135" s="7" t="s">
        <v>133</v>
      </c>
      <c r="D135" s="7" t="s">
        <v>36</v>
      </c>
      <c r="E135" s="7" t="s">
        <v>63</v>
      </c>
      <c r="F135" s="7" t="s">
        <v>749</v>
      </c>
      <c r="G135" s="7">
        <v>2007</v>
      </c>
      <c r="H135" s="7"/>
      <c r="I135" s="14" t="str">
        <f>HYPERLINK("mailto:mac@homeoffice.gov.uk","mac@homeoffice.gov.uk")</f>
        <v>mac@homeoffice.gov.uk</v>
      </c>
      <c r="J135" s="14" t="str">
        <f>HYPERLINK("https://www.gov.uk/government/organisations/migration-advisory-committee","https://www.gov.uk/government/organisations/migration-advisory-committee")</f>
        <v>https://www.gov.uk/government/organisations/migration-advisory-committee</v>
      </c>
      <c r="K135" s="7"/>
      <c r="L135" s="27" t="s">
        <v>750</v>
      </c>
      <c r="M135" s="27" t="s">
        <v>42</v>
      </c>
      <c r="N135" s="37" t="s">
        <v>43</v>
      </c>
      <c r="O135" s="16">
        <v>40000</v>
      </c>
      <c r="P135" s="15" t="s">
        <v>52</v>
      </c>
      <c r="Q135" s="17" t="s">
        <v>193</v>
      </c>
      <c r="R135" s="7"/>
      <c r="S135" s="7" t="s">
        <v>43</v>
      </c>
      <c r="T135" s="7"/>
      <c r="U135" s="7" t="s">
        <v>46</v>
      </c>
      <c r="V135" s="7"/>
      <c r="W135" s="7">
        <v>12.5</v>
      </c>
      <c r="X135" s="18">
        <v>1093</v>
      </c>
      <c r="Y135" s="18">
        <v>0</v>
      </c>
      <c r="Z135" s="18">
        <v>1093</v>
      </c>
      <c r="AA135" s="18">
        <v>1093</v>
      </c>
      <c r="AB135" s="18">
        <v>0</v>
      </c>
      <c r="AC135" s="18">
        <v>0</v>
      </c>
      <c r="AD135" s="7"/>
      <c r="AE135" s="13" t="s">
        <v>56</v>
      </c>
      <c r="AF135" s="7"/>
      <c r="AG135" s="7"/>
      <c r="AH135" s="7"/>
      <c r="AI135" s="7"/>
      <c r="AJ135" s="7"/>
      <c r="AK135" s="7"/>
      <c r="AL135" s="7"/>
      <c r="AM135" s="7"/>
      <c r="AN135" s="7"/>
      <c r="AO135" s="7"/>
      <c r="AP135" s="7"/>
      <c r="AQ135" s="7"/>
      <c r="AR135" s="7"/>
      <c r="AS135" s="7"/>
      <c r="AT135" s="7"/>
      <c r="AU135" s="7"/>
      <c r="AV135" s="7"/>
      <c r="AW135" s="7"/>
      <c r="AX135" s="7"/>
      <c r="AY135" s="7"/>
      <c r="AZ135" s="7"/>
    </row>
    <row r="136" spans="1:52" ht="63" customHeight="1">
      <c r="A136" s="20" t="s">
        <v>751</v>
      </c>
      <c r="B136" s="7">
        <v>1</v>
      </c>
      <c r="C136" s="7" t="s">
        <v>122</v>
      </c>
      <c r="D136" s="7" t="s">
        <v>233</v>
      </c>
      <c r="E136" s="7" t="s">
        <v>37</v>
      </c>
      <c r="F136" s="13" t="s">
        <v>752</v>
      </c>
      <c r="G136" s="7">
        <v>2003</v>
      </c>
      <c r="H136" s="7"/>
      <c r="I136" s="14" t="str">
        <f>HYPERLINK("https://www.nationalarchives.gov.uk/contact-us/","Please complete enquiry form online")</f>
        <v>Please complete enquiry form online</v>
      </c>
      <c r="J136" s="14" t="str">
        <f>HYPERLINK("http://www.nationalarchives.gov.uk/","www.nationalarchives.gov.uk")</f>
        <v>www.nationalarchives.gov.uk</v>
      </c>
      <c r="K136" s="13" t="s">
        <v>753</v>
      </c>
      <c r="L136" s="13" t="s">
        <v>754</v>
      </c>
      <c r="M136" s="27" t="s">
        <v>71</v>
      </c>
      <c r="N136" s="44" t="s">
        <v>56</v>
      </c>
      <c r="O136" s="16" t="s">
        <v>664</v>
      </c>
      <c r="P136" s="17" t="s">
        <v>52</v>
      </c>
      <c r="Q136" s="15"/>
      <c r="R136" s="7" t="s">
        <v>37</v>
      </c>
      <c r="S136" s="7" t="s">
        <v>43</v>
      </c>
      <c r="T136" s="7" t="s">
        <v>43</v>
      </c>
      <c r="U136" s="7" t="s">
        <v>54</v>
      </c>
      <c r="V136" s="7"/>
      <c r="W136" s="7">
        <v>481</v>
      </c>
      <c r="X136" s="18">
        <v>34481</v>
      </c>
      <c r="Y136" s="18">
        <v>10281</v>
      </c>
      <c r="Z136" s="18">
        <f>(X136+Y136)</f>
        <v>44762</v>
      </c>
      <c r="AA136" s="18">
        <v>27987</v>
      </c>
      <c r="AB136" s="18">
        <v>2765</v>
      </c>
      <c r="AC136" s="18">
        <v>0</v>
      </c>
      <c r="AD136" s="18" t="s">
        <v>755</v>
      </c>
      <c r="AE136" s="7"/>
      <c r="AF136" s="7"/>
      <c r="AG136" s="7"/>
      <c r="AH136" s="7"/>
      <c r="AI136" s="7"/>
      <c r="AJ136" s="7"/>
      <c r="AK136" s="7"/>
      <c r="AL136" s="7"/>
      <c r="AM136" s="7"/>
      <c r="AN136" s="7"/>
      <c r="AO136" s="7"/>
      <c r="AP136" s="7"/>
      <c r="AQ136" s="7"/>
      <c r="AR136" s="7"/>
      <c r="AS136" s="7"/>
      <c r="AT136" s="7"/>
      <c r="AU136" s="7"/>
      <c r="AV136" s="7"/>
      <c r="AW136" s="7"/>
      <c r="AX136" s="7"/>
      <c r="AY136" s="7"/>
      <c r="AZ136" s="7"/>
    </row>
    <row r="137" spans="1:52" ht="63" customHeight="1">
      <c r="A137" s="20" t="s">
        <v>756</v>
      </c>
      <c r="B137" s="7">
        <v>1</v>
      </c>
      <c r="C137" s="7" t="s">
        <v>65</v>
      </c>
      <c r="D137" s="7" t="s">
        <v>95</v>
      </c>
      <c r="E137" s="7" t="s">
        <v>37</v>
      </c>
      <c r="F137" s="7" t="s">
        <v>757</v>
      </c>
      <c r="G137" s="7">
        <v>1960</v>
      </c>
      <c r="H137" s="7"/>
      <c r="I137" s="14" t="str">
        <f>HYPERLINK("mailto:jmaciejewski@nam.ac.uk","jmaciejewski@nam.ac.uk")</f>
        <v>jmaciejewski@nam.ac.uk</v>
      </c>
      <c r="J137" s="14" t="str">
        <f>HYPERLINK("https://www.nam.ac.uk/","www.nam.ac.uk")</f>
        <v>www.nam.ac.uk</v>
      </c>
      <c r="K137" s="7" t="s">
        <v>758</v>
      </c>
      <c r="L137" s="7" t="s">
        <v>759</v>
      </c>
      <c r="M137" s="7" t="s">
        <v>71</v>
      </c>
      <c r="N137" s="15" t="s">
        <v>37</v>
      </c>
      <c r="O137" s="16"/>
      <c r="P137" s="15"/>
      <c r="Q137" s="17" t="s">
        <v>225</v>
      </c>
      <c r="R137" s="7" t="s">
        <v>37</v>
      </c>
      <c r="S137" s="7" t="s">
        <v>43</v>
      </c>
      <c r="T137" s="7" t="s">
        <v>43</v>
      </c>
      <c r="U137" s="7" t="s">
        <v>760</v>
      </c>
      <c r="V137" s="7"/>
      <c r="W137" s="7">
        <v>80.47</v>
      </c>
      <c r="X137" s="18">
        <v>7210</v>
      </c>
      <c r="Y137" s="18">
        <v>900</v>
      </c>
      <c r="Z137" s="18">
        <v>8110</v>
      </c>
      <c r="AA137" s="18">
        <v>7559</v>
      </c>
      <c r="AB137" s="18">
        <v>190</v>
      </c>
      <c r="AC137" s="18">
        <v>0</v>
      </c>
      <c r="AD137" s="18"/>
      <c r="AE137" s="7"/>
      <c r="AF137" s="7"/>
      <c r="AG137" s="7"/>
      <c r="AH137" s="7"/>
      <c r="AI137" s="7"/>
      <c r="AJ137" s="7"/>
      <c r="AK137" s="7"/>
      <c r="AL137" s="7"/>
      <c r="AM137" s="7"/>
      <c r="AN137" s="7"/>
      <c r="AO137" s="7"/>
      <c r="AP137" s="7"/>
      <c r="AQ137" s="7"/>
      <c r="AR137" s="7"/>
      <c r="AS137" s="7"/>
      <c r="AT137" s="7"/>
      <c r="AU137" s="7"/>
      <c r="AV137" s="7"/>
      <c r="AW137" s="7"/>
      <c r="AX137" s="7"/>
      <c r="AY137" s="7"/>
      <c r="AZ137" s="7"/>
    </row>
    <row r="138" spans="1:52" ht="63" customHeight="1">
      <c r="A138" s="20" t="s">
        <v>761</v>
      </c>
      <c r="B138" s="7">
        <v>1</v>
      </c>
      <c r="C138" s="7" t="s">
        <v>122</v>
      </c>
      <c r="D138" s="7" t="s">
        <v>108</v>
      </c>
      <c r="E138" s="7" t="s">
        <v>37</v>
      </c>
      <c r="F138" s="7" t="s">
        <v>762</v>
      </c>
      <c r="G138" s="7">
        <v>2017</v>
      </c>
      <c r="H138" s="7"/>
      <c r="I138" s="14" t="str">
        <f>HYPERLINK("https://wearencs.com/contact-us","Please complete enquiry form online")</f>
        <v>Please complete enquiry form online</v>
      </c>
      <c r="J138" s="14" t="str">
        <f>HYPERLINK("https://wearencs.com/","https://wearencs.com/")</f>
        <v>https://wearencs.com/</v>
      </c>
      <c r="K138" s="13" t="s">
        <v>763</v>
      </c>
      <c r="L138" s="7" t="s">
        <v>764</v>
      </c>
      <c r="M138" s="27" t="s">
        <v>42</v>
      </c>
      <c r="N138" s="15" t="s">
        <v>43</v>
      </c>
      <c r="O138" s="16">
        <v>400</v>
      </c>
      <c r="P138" s="15" t="s">
        <v>44</v>
      </c>
      <c r="Q138" s="13" t="s">
        <v>765</v>
      </c>
      <c r="R138" s="7" t="s">
        <v>37</v>
      </c>
      <c r="S138" s="7" t="s">
        <v>43</v>
      </c>
      <c r="T138" s="7" t="s">
        <v>37</v>
      </c>
      <c r="U138" s="7" t="s">
        <v>766</v>
      </c>
      <c r="V138" s="7"/>
      <c r="W138" s="7"/>
      <c r="X138" s="18">
        <v>177962</v>
      </c>
      <c r="Y138" s="18">
        <v>6</v>
      </c>
      <c r="Z138" s="18">
        <v>177968</v>
      </c>
      <c r="AA138" s="18">
        <v>64936</v>
      </c>
      <c r="AB138" s="18">
        <v>23</v>
      </c>
      <c r="AC138" s="18">
        <v>1137</v>
      </c>
      <c r="AD138" s="7" t="s">
        <v>767</v>
      </c>
      <c r="AE138" s="7"/>
      <c r="AF138" s="7"/>
      <c r="AG138" s="7"/>
      <c r="AH138" s="7"/>
      <c r="AI138" s="7"/>
      <c r="AJ138" s="7"/>
      <c r="AK138" s="7"/>
      <c r="AL138" s="7"/>
      <c r="AM138" s="7"/>
      <c r="AN138" s="7"/>
      <c r="AO138" s="7"/>
      <c r="AP138" s="7"/>
      <c r="AQ138" s="7"/>
      <c r="AR138" s="7"/>
      <c r="AS138" s="7"/>
      <c r="AT138" s="7"/>
      <c r="AU138" s="7"/>
      <c r="AV138" s="7"/>
      <c r="AW138" s="7"/>
      <c r="AX138" s="7"/>
      <c r="AY138" s="7"/>
      <c r="AZ138" s="7"/>
    </row>
    <row r="139" spans="1:52" ht="63" customHeight="1">
      <c r="A139" s="20" t="s">
        <v>768</v>
      </c>
      <c r="B139" s="7">
        <v>1</v>
      </c>
      <c r="C139" s="7" t="s">
        <v>133</v>
      </c>
      <c r="D139" s="7" t="s">
        <v>36</v>
      </c>
      <c r="E139" s="7" t="s">
        <v>37</v>
      </c>
      <c r="F139" s="7" t="s">
        <v>769</v>
      </c>
      <c r="G139" s="7">
        <v>2013</v>
      </c>
      <c r="H139" s="7"/>
      <c r="I139" s="14" t="s">
        <v>770</v>
      </c>
      <c r="J139" s="14" t="str">
        <f>HYPERLINK("https://www.gov.uk/government/organisations/national-crime-agency-remuneration-review-body","https://www.gov.uk/government/organisations/national-crime-agency-remuneration-review-body")</f>
        <v>https://www.gov.uk/government/organisations/national-crime-agency-remuneration-review-body</v>
      </c>
      <c r="K139" s="45" t="s">
        <v>771</v>
      </c>
      <c r="L139" s="7" t="s">
        <v>772</v>
      </c>
      <c r="M139" s="7" t="s">
        <v>42</v>
      </c>
      <c r="N139" s="15" t="s">
        <v>43</v>
      </c>
      <c r="O139" s="16">
        <v>350</v>
      </c>
      <c r="P139" s="15" t="s">
        <v>44</v>
      </c>
      <c r="Q139" s="17" t="s">
        <v>773</v>
      </c>
      <c r="R139" s="7" t="s">
        <v>37</v>
      </c>
      <c r="S139" s="7" t="s">
        <v>37</v>
      </c>
      <c r="T139" s="7" t="s">
        <v>43</v>
      </c>
      <c r="U139" s="7" t="s">
        <v>46</v>
      </c>
      <c r="V139" s="7">
        <v>2019</v>
      </c>
      <c r="W139" s="7">
        <v>2</v>
      </c>
      <c r="X139" s="18">
        <v>0</v>
      </c>
      <c r="Y139" s="18">
        <v>0</v>
      </c>
      <c r="Z139" s="18">
        <v>0</v>
      </c>
      <c r="AA139" s="18">
        <v>0</v>
      </c>
      <c r="AB139" s="18">
        <v>0</v>
      </c>
      <c r="AC139" s="18">
        <v>0</v>
      </c>
      <c r="AD139" s="7"/>
      <c r="AE139" s="13" t="s">
        <v>56</v>
      </c>
      <c r="AF139" s="7"/>
      <c r="AG139" s="7"/>
      <c r="AH139" s="7"/>
      <c r="AI139" s="7"/>
      <c r="AJ139" s="7"/>
      <c r="AK139" s="7"/>
      <c r="AL139" s="7"/>
      <c r="AM139" s="7"/>
      <c r="AN139" s="7"/>
      <c r="AO139" s="7"/>
      <c r="AP139" s="7"/>
      <c r="AQ139" s="7"/>
      <c r="AR139" s="7"/>
      <c r="AS139" s="7"/>
      <c r="AT139" s="7"/>
      <c r="AU139" s="7"/>
      <c r="AV139" s="7"/>
      <c r="AW139" s="7"/>
      <c r="AX139" s="7"/>
      <c r="AY139" s="7"/>
      <c r="AZ139" s="7"/>
    </row>
    <row r="140" spans="1:52" ht="63" customHeight="1">
      <c r="A140" s="20" t="s">
        <v>774</v>
      </c>
      <c r="B140" s="7">
        <v>1</v>
      </c>
      <c r="C140" s="7" t="s">
        <v>133</v>
      </c>
      <c r="D140" s="7" t="s">
        <v>233</v>
      </c>
      <c r="E140" s="7" t="s">
        <v>37</v>
      </c>
      <c r="F140" s="7" t="s">
        <v>775</v>
      </c>
      <c r="G140" s="7">
        <v>2013</v>
      </c>
      <c r="H140" s="7"/>
      <c r="I140" s="14" t="str">
        <f>HYPERLINK("mailto:communication@nca.gov.uk","communication@nca.gov.uk")</f>
        <v>communication@nca.gov.uk</v>
      </c>
      <c r="J140" s="14" t="str">
        <f>HYPERLINK("http://www.nationalcrimeagency.gov.uk","http://www.nationalcrimeagency.gov.uk")</f>
        <v>http://www.nationalcrimeagency.gov.uk</v>
      </c>
      <c r="K140" s="13" t="s">
        <v>776</v>
      </c>
      <c r="L140" s="27" t="s">
        <v>46</v>
      </c>
      <c r="M140" s="27" t="s">
        <v>46</v>
      </c>
      <c r="N140" s="27" t="s">
        <v>46</v>
      </c>
      <c r="O140" s="16"/>
      <c r="P140" s="15"/>
      <c r="Q140" s="15"/>
      <c r="R140" s="7" t="s">
        <v>37</v>
      </c>
      <c r="S140" s="7" t="s">
        <v>43</v>
      </c>
      <c r="T140" s="7" t="s">
        <v>43</v>
      </c>
      <c r="U140" s="7" t="s">
        <v>777</v>
      </c>
      <c r="V140" s="25"/>
      <c r="W140" s="31">
        <v>4393.3</v>
      </c>
      <c r="X140" s="18">
        <f>467199+54395+50000-85649</f>
        <v>485945</v>
      </c>
      <c r="Y140" s="18">
        <v>85649</v>
      </c>
      <c r="Z140" s="18">
        <f t="shared" ref="Z140:Z142" si="5">(X140+Y140)</f>
        <v>571594</v>
      </c>
      <c r="AA140" s="18">
        <v>462242</v>
      </c>
      <c r="AB140" s="18">
        <v>51932</v>
      </c>
      <c r="AC140" s="18">
        <v>26139</v>
      </c>
      <c r="AD140" s="46"/>
      <c r="AE140" s="46"/>
      <c r="AF140" s="46"/>
      <c r="AG140" s="7"/>
      <c r="AH140" s="7"/>
      <c r="AI140" s="7"/>
      <c r="AJ140" s="7"/>
      <c r="AK140" s="7"/>
      <c r="AL140" s="7"/>
      <c r="AM140" s="7"/>
      <c r="AN140" s="7"/>
      <c r="AO140" s="7"/>
      <c r="AP140" s="7"/>
      <c r="AQ140" s="7"/>
      <c r="AR140" s="7"/>
      <c r="AS140" s="7"/>
      <c r="AT140" s="7"/>
      <c r="AU140" s="7"/>
      <c r="AV140" s="7"/>
      <c r="AW140" s="7"/>
      <c r="AX140" s="7"/>
      <c r="AY140" s="7"/>
      <c r="AZ140" s="7"/>
    </row>
    <row r="141" spans="1:52" ht="63" customHeight="1">
      <c r="A141" s="20" t="s">
        <v>778</v>
      </c>
      <c r="B141" s="7">
        <v>1</v>
      </c>
      <c r="C141" s="7" t="s">
        <v>122</v>
      </c>
      <c r="D141" s="7" t="s">
        <v>95</v>
      </c>
      <c r="E141" s="7" t="s">
        <v>37</v>
      </c>
      <c r="F141" s="7" t="s">
        <v>779</v>
      </c>
      <c r="G141" s="7">
        <v>1824</v>
      </c>
      <c r="H141" s="7" t="s">
        <v>780</v>
      </c>
      <c r="I141" s="14" t="str">
        <f>HYPERLINK("mailto:information@ng-london.org.uk","information@ng-london.org.uk")</f>
        <v>information@ng-london.org.uk</v>
      </c>
      <c r="J141" s="14" t="s">
        <v>781</v>
      </c>
      <c r="K141" s="7" t="s">
        <v>197</v>
      </c>
      <c r="L141" s="7" t="s">
        <v>782</v>
      </c>
      <c r="M141" s="13" t="s">
        <v>71</v>
      </c>
      <c r="N141" s="15" t="s">
        <v>37</v>
      </c>
      <c r="O141" s="16"/>
      <c r="P141" s="15"/>
      <c r="Q141" s="13" t="s">
        <v>783</v>
      </c>
      <c r="R141" s="7" t="s">
        <v>37</v>
      </c>
      <c r="S141" s="7" t="s">
        <v>43</v>
      </c>
      <c r="T141" s="7" t="s">
        <v>43</v>
      </c>
      <c r="U141" s="7" t="s">
        <v>54</v>
      </c>
      <c r="V141" s="7">
        <v>2017</v>
      </c>
      <c r="W141" s="7">
        <v>250</v>
      </c>
      <c r="X141" s="18">
        <v>24092</v>
      </c>
      <c r="Y141" s="18">
        <v>32926</v>
      </c>
      <c r="Z141" s="18">
        <f t="shared" si="5"/>
        <v>57018</v>
      </c>
      <c r="AA141" s="18">
        <v>21881</v>
      </c>
      <c r="AB141" s="18">
        <v>-2313</v>
      </c>
      <c r="AC141" s="18">
        <v>438</v>
      </c>
      <c r="AD141" s="7"/>
      <c r="AE141" s="7"/>
      <c r="AF141" s="7"/>
      <c r="AG141" s="7"/>
      <c r="AH141" s="7"/>
      <c r="AI141" s="7"/>
      <c r="AJ141" s="7"/>
      <c r="AK141" s="7"/>
      <c r="AL141" s="7"/>
      <c r="AM141" s="7"/>
      <c r="AN141" s="7"/>
      <c r="AO141" s="7"/>
      <c r="AP141" s="7"/>
      <c r="AQ141" s="7"/>
      <c r="AR141" s="7"/>
      <c r="AS141" s="7"/>
      <c r="AT141" s="7"/>
      <c r="AU141" s="7"/>
      <c r="AV141" s="7"/>
      <c r="AW141" s="7"/>
      <c r="AX141" s="7"/>
      <c r="AY141" s="7"/>
      <c r="AZ141" s="7"/>
    </row>
    <row r="142" spans="1:52" ht="63" customHeight="1">
      <c r="A142" s="12" t="s">
        <v>784</v>
      </c>
      <c r="B142" s="7">
        <v>1</v>
      </c>
      <c r="C142" s="7" t="s">
        <v>122</v>
      </c>
      <c r="D142" s="7" t="s">
        <v>95</v>
      </c>
      <c r="E142" s="7" t="s">
        <v>37</v>
      </c>
      <c r="F142" s="7" t="s">
        <v>785</v>
      </c>
      <c r="G142" s="7">
        <v>1980</v>
      </c>
      <c r="H142" s="7"/>
      <c r="I142" s="14" t="str">
        <f>HYPERLINK("mailto:enquire@hlf.org.uk","enquire@hlf.org.uk")</f>
        <v>enquire@hlf.org.uk</v>
      </c>
      <c r="J142" s="14" t="s">
        <v>786</v>
      </c>
      <c r="K142" s="7" t="s">
        <v>570</v>
      </c>
      <c r="L142" s="7" t="s">
        <v>787</v>
      </c>
      <c r="M142" s="13" t="s">
        <v>42</v>
      </c>
      <c r="N142" s="37" t="s">
        <v>43</v>
      </c>
      <c r="O142" s="16">
        <v>26000</v>
      </c>
      <c r="P142" s="15" t="s">
        <v>52</v>
      </c>
      <c r="Q142" s="13" t="s">
        <v>100</v>
      </c>
      <c r="R142" s="7" t="s">
        <v>37</v>
      </c>
      <c r="S142" s="7" t="s">
        <v>43</v>
      </c>
      <c r="T142" s="7" t="s">
        <v>43</v>
      </c>
      <c r="U142" s="7" t="s">
        <v>54</v>
      </c>
      <c r="V142" s="7">
        <v>2017</v>
      </c>
      <c r="W142" s="7">
        <v>298</v>
      </c>
      <c r="X142" s="18">
        <v>4629</v>
      </c>
      <c r="Y142" s="18">
        <v>328771</v>
      </c>
      <c r="Z142" s="18">
        <f t="shared" si="5"/>
        <v>333400</v>
      </c>
      <c r="AA142" s="18">
        <v>157</v>
      </c>
      <c r="AB142" s="18">
        <v>4711</v>
      </c>
      <c r="AC142" s="18">
        <v>324781</v>
      </c>
      <c r="AD142" s="7"/>
      <c r="AE142" s="7"/>
      <c r="AF142" s="7"/>
      <c r="AG142" s="7"/>
      <c r="AH142" s="7"/>
      <c r="AI142" s="7"/>
      <c r="AJ142" s="7"/>
      <c r="AK142" s="7"/>
      <c r="AL142" s="7"/>
      <c r="AM142" s="7"/>
      <c r="AN142" s="7"/>
      <c r="AO142" s="7"/>
      <c r="AP142" s="7"/>
      <c r="AQ142" s="7"/>
      <c r="AR142" s="7"/>
      <c r="AS142" s="7"/>
      <c r="AT142" s="7"/>
      <c r="AU142" s="7"/>
      <c r="AV142" s="7"/>
      <c r="AW142" s="7"/>
      <c r="AX142" s="7"/>
      <c r="AY142" s="7"/>
      <c r="AZ142" s="7"/>
    </row>
    <row r="143" spans="1:52" ht="63" customHeight="1">
      <c r="A143" s="20" t="s">
        <v>788</v>
      </c>
      <c r="B143" s="7">
        <v>1</v>
      </c>
      <c r="C143" s="7" t="s">
        <v>275</v>
      </c>
      <c r="D143" s="7" t="s">
        <v>108</v>
      </c>
      <c r="E143" s="7" t="s">
        <v>37</v>
      </c>
      <c r="F143" s="13" t="s">
        <v>789</v>
      </c>
      <c r="G143" s="7">
        <v>2017</v>
      </c>
      <c r="H143" s="7"/>
      <c r="I143" s="14" t="str">
        <f>HYPERLINK("mailto:enquiries@nic.gov.uk","enquiries@nic.gov.uk")</f>
        <v>enquiries@nic.gov.uk</v>
      </c>
      <c r="J143" s="14" t="str">
        <f>HYPERLINK("www.nic.org.uk","www.nic.org.uk")</f>
        <v>www.nic.org.uk</v>
      </c>
      <c r="K143" s="7" t="s">
        <v>790</v>
      </c>
      <c r="L143" s="7" t="s">
        <v>791</v>
      </c>
      <c r="M143" s="7" t="s">
        <v>42</v>
      </c>
      <c r="N143" s="15" t="s">
        <v>792</v>
      </c>
      <c r="O143" s="16">
        <v>85200</v>
      </c>
      <c r="P143" s="15" t="s">
        <v>793</v>
      </c>
      <c r="Q143" s="17" t="s">
        <v>100</v>
      </c>
      <c r="R143" s="7" t="s">
        <v>63</v>
      </c>
      <c r="S143" s="7" t="s">
        <v>56</v>
      </c>
      <c r="T143" s="7" t="s">
        <v>56</v>
      </c>
      <c r="U143" s="7" t="s">
        <v>46</v>
      </c>
      <c r="V143" s="7"/>
      <c r="W143" s="7">
        <v>42</v>
      </c>
      <c r="X143" s="18">
        <v>5539</v>
      </c>
      <c r="Y143" s="18">
        <v>0</v>
      </c>
      <c r="Z143" s="18">
        <v>5539</v>
      </c>
      <c r="AA143" s="18">
        <v>4829</v>
      </c>
      <c r="AB143" s="18">
        <v>312</v>
      </c>
      <c r="AC143" s="18">
        <v>0</v>
      </c>
      <c r="AD143" s="7" t="s">
        <v>46</v>
      </c>
      <c r="AE143" s="7"/>
      <c r="AF143" s="7"/>
      <c r="AG143" s="7"/>
      <c r="AH143" s="7"/>
      <c r="AI143" s="7"/>
      <c r="AJ143" s="7"/>
      <c r="AK143" s="7"/>
      <c r="AL143" s="7"/>
      <c r="AM143" s="7"/>
      <c r="AN143" s="7"/>
      <c r="AO143" s="7"/>
      <c r="AP143" s="7"/>
      <c r="AQ143" s="7"/>
      <c r="AR143" s="7"/>
      <c r="AS143" s="7"/>
      <c r="AT143" s="7"/>
      <c r="AU143" s="7"/>
      <c r="AV143" s="7"/>
      <c r="AW143" s="7"/>
      <c r="AX143" s="7"/>
      <c r="AY143" s="7"/>
      <c r="AZ143" s="7"/>
    </row>
    <row r="144" spans="1:52" ht="63" customHeight="1">
      <c r="A144" s="20" t="s">
        <v>794</v>
      </c>
      <c r="B144" s="7">
        <v>1</v>
      </c>
      <c r="C144" s="7" t="s">
        <v>58</v>
      </c>
      <c r="D144" s="7" t="s">
        <v>95</v>
      </c>
      <c r="E144" s="7" t="s">
        <v>37</v>
      </c>
      <c r="F144" s="7" t="s">
        <v>795</v>
      </c>
      <c r="G144" s="7">
        <v>2013</v>
      </c>
      <c r="H144" s="7"/>
      <c r="I144" s="14" t="str">
        <f>HYPERLINK("mailto:nice@nice.org.uk","nice@nice.org.uk")</f>
        <v>nice@nice.org.uk</v>
      </c>
      <c r="J144" s="14" t="str">
        <f>HYPERLINK("http://www.nice.org.uk/","http://www.nice.org.uk/")</f>
        <v>http://www.nice.org.uk/</v>
      </c>
      <c r="K144" s="7" t="s">
        <v>271</v>
      </c>
      <c r="L144" s="7" t="s">
        <v>796</v>
      </c>
      <c r="M144" s="7" t="s">
        <v>42</v>
      </c>
      <c r="N144" s="15" t="s">
        <v>43</v>
      </c>
      <c r="O144" s="16">
        <v>63126</v>
      </c>
      <c r="P144" s="15" t="s">
        <v>52</v>
      </c>
      <c r="Q144" s="15" t="s">
        <v>464</v>
      </c>
      <c r="R144" s="7" t="s">
        <v>43</v>
      </c>
      <c r="S144" s="7" t="s">
        <v>43</v>
      </c>
      <c r="T144" s="7" t="s">
        <v>43</v>
      </c>
      <c r="U144" s="7" t="s">
        <v>54</v>
      </c>
      <c r="V144" s="7">
        <v>2015</v>
      </c>
      <c r="W144" s="7">
        <v>618</v>
      </c>
      <c r="X144" s="18">
        <v>49000</v>
      </c>
      <c r="Y144" s="18">
        <v>16589</v>
      </c>
      <c r="Z144" s="18">
        <f t="shared" ref="Z144:Z148" si="6">(X144+Y144)</f>
        <v>65589</v>
      </c>
      <c r="AA144" s="18">
        <v>66354</v>
      </c>
      <c r="AB144" s="18">
        <v>171</v>
      </c>
      <c r="AC144" s="18">
        <v>-385</v>
      </c>
      <c r="AD144" s="7"/>
      <c r="AE144" s="13" t="s">
        <v>56</v>
      </c>
      <c r="AF144" s="7"/>
      <c r="AG144" s="7"/>
      <c r="AH144" s="7"/>
      <c r="AI144" s="7"/>
      <c r="AJ144" s="7"/>
      <c r="AK144" s="7"/>
      <c r="AL144" s="7"/>
      <c r="AM144" s="7"/>
      <c r="AN144" s="7"/>
      <c r="AO144" s="7"/>
      <c r="AP144" s="7"/>
      <c r="AQ144" s="7"/>
      <c r="AR144" s="7"/>
      <c r="AS144" s="7"/>
      <c r="AT144" s="7"/>
      <c r="AU144" s="7"/>
      <c r="AV144" s="7"/>
      <c r="AW144" s="7"/>
      <c r="AX144" s="7"/>
      <c r="AY144" s="7"/>
      <c r="AZ144" s="7"/>
    </row>
    <row r="145" spans="1:52" ht="63" customHeight="1">
      <c r="A145" s="20" t="s">
        <v>797</v>
      </c>
      <c r="B145" s="7">
        <v>1</v>
      </c>
      <c r="C145" s="7" t="s">
        <v>65</v>
      </c>
      <c r="D145" s="7" t="s">
        <v>95</v>
      </c>
      <c r="E145" s="7" t="s">
        <v>37</v>
      </c>
      <c r="F145" s="7" t="s">
        <v>798</v>
      </c>
      <c r="G145" s="7">
        <v>2008</v>
      </c>
      <c r="H145" s="7"/>
      <c r="I145" s="14" t="str">
        <f>HYPERLINK("mailto:governance@nmrn.org.uk","governance@nmrn.org.uk")</f>
        <v>governance@nmrn.org.uk</v>
      </c>
      <c r="J145" s="14" t="str">
        <f>HYPERLINK("www.nmrn.org.uk","www.nmrn.org.uk")</f>
        <v>www.nmrn.org.uk</v>
      </c>
      <c r="K145" s="7"/>
      <c r="L145" s="7" t="s">
        <v>799</v>
      </c>
      <c r="M145" s="7" t="s">
        <v>71</v>
      </c>
      <c r="N145" s="15" t="s">
        <v>37</v>
      </c>
      <c r="O145" s="16"/>
      <c r="P145" s="15"/>
      <c r="Q145" s="15" t="s">
        <v>800</v>
      </c>
      <c r="R145" s="7" t="s">
        <v>37</v>
      </c>
      <c r="S145" s="7" t="s">
        <v>37</v>
      </c>
      <c r="T145" s="7" t="s">
        <v>43</v>
      </c>
      <c r="U145" s="7" t="s">
        <v>54</v>
      </c>
      <c r="V145" s="7">
        <v>2016</v>
      </c>
      <c r="W145" s="7">
        <v>4</v>
      </c>
      <c r="X145" s="18">
        <v>3445</v>
      </c>
      <c r="Y145" s="18">
        <v>15400</v>
      </c>
      <c r="Z145" s="18">
        <f t="shared" si="6"/>
        <v>18845</v>
      </c>
      <c r="AA145" s="18">
        <v>13464</v>
      </c>
      <c r="AB145" s="18">
        <v>5382</v>
      </c>
      <c r="AC145" s="18">
        <v>0</v>
      </c>
      <c r="AD145" s="7"/>
      <c r="AE145" s="7"/>
      <c r="AF145" s="7"/>
      <c r="AG145" s="7"/>
      <c r="AH145" s="7"/>
      <c r="AI145" s="7"/>
      <c r="AJ145" s="7"/>
      <c r="AK145" s="7"/>
      <c r="AL145" s="7"/>
      <c r="AM145" s="7"/>
      <c r="AN145" s="7"/>
      <c r="AO145" s="7"/>
      <c r="AP145" s="7"/>
      <c r="AQ145" s="7"/>
      <c r="AR145" s="7"/>
      <c r="AS145" s="7"/>
      <c r="AT145" s="7"/>
      <c r="AU145" s="7"/>
      <c r="AV145" s="7"/>
      <c r="AW145" s="7"/>
      <c r="AX145" s="7"/>
      <c r="AY145" s="7"/>
      <c r="AZ145" s="7"/>
    </row>
    <row r="146" spans="1:52" ht="63" customHeight="1">
      <c r="A146" s="20" t="s">
        <v>801</v>
      </c>
      <c r="B146" s="7">
        <v>1</v>
      </c>
      <c r="C146" s="7" t="s">
        <v>122</v>
      </c>
      <c r="D146" s="7" t="s">
        <v>95</v>
      </c>
      <c r="E146" s="7" t="s">
        <v>37</v>
      </c>
      <c r="F146" s="7" t="s">
        <v>802</v>
      </c>
      <c r="G146" s="7">
        <v>1986</v>
      </c>
      <c r="H146" s="7"/>
      <c r="I146" s="14" t="str">
        <f>HYPERLINK("https://www.liverpoolmuseums.org.uk/contact#section--contact-us","Please complete enquiry form online")</f>
        <v>Please complete enquiry form online</v>
      </c>
      <c r="J146" s="14" t="s">
        <v>803</v>
      </c>
      <c r="K146" s="7" t="s">
        <v>197</v>
      </c>
      <c r="L146" s="7" t="s">
        <v>804</v>
      </c>
      <c r="M146" s="13" t="s">
        <v>42</v>
      </c>
      <c r="N146" s="15" t="s">
        <v>37</v>
      </c>
      <c r="O146" s="16"/>
      <c r="P146" s="15"/>
      <c r="Q146" s="7" t="s">
        <v>805</v>
      </c>
      <c r="R146" s="7" t="s">
        <v>63</v>
      </c>
      <c r="S146" s="7" t="s">
        <v>56</v>
      </c>
      <c r="T146" s="7" t="s">
        <v>56</v>
      </c>
      <c r="U146" s="7" t="s">
        <v>54</v>
      </c>
      <c r="V146" s="7">
        <v>2017</v>
      </c>
      <c r="W146" s="7">
        <v>426</v>
      </c>
      <c r="X146" s="18">
        <v>19766</v>
      </c>
      <c r="Y146" s="18">
        <v>14006</v>
      </c>
      <c r="Z146" s="18">
        <f t="shared" si="6"/>
        <v>33772</v>
      </c>
      <c r="AA146" s="18">
        <v>17696</v>
      </c>
      <c r="AB146" s="18">
        <v>1583</v>
      </c>
      <c r="AC146" s="18">
        <v>3533</v>
      </c>
      <c r="AD146" s="7"/>
      <c r="AE146" s="7"/>
      <c r="AF146" s="7"/>
      <c r="AG146" s="7"/>
      <c r="AH146" s="7"/>
      <c r="AI146" s="7"/>
      <c r="AJ146" s="7"/>
      <c r="AK146" s="7"/>
      <c r="AL146" s="7"/>
      <c r="AM146" s="7"/>
      <c r="AN146" s="7"/>
      <c r="AO146" s="7"/>
      <c r="AP146" s="7"/>
      <c r="AQ146" s="7"/>
      <c r="AR146" s="7"/>
      <c r="AS146" s="7"/>
      <c r="AT146" s="7"/>
      <c r="AU146" s="7"/>
      <c r="AV146" s="7"/>
      <c r="AW146" s="7"/>
      <c r="AX146" s="7"/>
      <c r="AY146" s="7"/>
      <c r="AZ146" s="7"/>
    </row>
    <row r="147" spans="1:52" ht="63" customHeight="1">
      <c r="A147" s="20" t="s">
        <v>806</v>
      </c>
      <c r="B147" s="7">
        <v>1</v>
      </c>
      <c r="C147" s="7" t="s">
        <v>122</v>
      </c>
      <c r="D147" s="7" t="s">
        <v>95</v>
      </c>
      <c r="E147" s="7" t="s">
        <v>37</v>
      </c>
      <c r="F147" s="7" t="s">
        <v>807</v>
      </c>
      <c r="G147" s="7">
        <v>1856</v>
      </c>
      <c r="H147" s="7"/>
      <c r="I147" s="14" t="str">
        <f>HYPERLINK("mailto:archiveenquiry@npg.org.uk","archiveenquiry@npg.org.uk")</f>
        <v>archiveenquiry@npg.org.uk</v>
      </c>
      <c r="J147" s="14" t="s">
        <v>808</v>
      </c>
      <c r="K147" s="7" t="s">
        <v>197</v>
      </c>
      <c r="L147" s="7" t="s">
        <v>809</v>
      </c>
      <c r="M147" s="13" t="s">
        <v>42</v>
      </c>
      <c r="N147" s="15" t="s">
        <v>37</v>
      </c>
      <c r="O147" s="16"/>
      <c r="P147" s="15"/>
      <c r="Q147" s="13" t="s">
        <v>584</v>
      </c>
      <c r="R147" s="7" t="s">
        <v>37</v>
      </c>
      <c r="S147" s="7" t="s">
        <v>43</v>
      </c>
      <c r="T147" s="7" t="s">
        <v>43</v>
      </c>
      <c r="U147" s="7" t="s">
        <v>54</v>
      </c>
      <c r="V147" s="7">
        <v>2017</v>
      </c>
      <c r="W147" s="7">
        <v>228.3</v>
      </c>
      <c r="X147" s="18">
        <v>7634</v>
      </c>
      <c r="Y147" s="18">
        <v>16723</v>
      </c>
      <c r="Z147" s="18">
        <f t="shared" si="6"/>
        <v>24357</v>
      </c>
      <c r="AA147" s="18">
        <v>5982</v>
      </c>
      <c r="AB147" s="18">
        <v>115</v>
      </c>
      <c r="AC147" s="18">
        <v>1833</v>
      </c>
      <c r="AD147" s="7"/>
      <c r="AE147" s="7"/>
      <c r="AF147" s="7"/>
      <c r="AG147" s="7"/>
      <c r="AH147" s="7"/>
      <c r="AI147" s="7"/>
      <c r="AJ147" s="7"/>
      <c r="AK147" s="7"/>
      <c r="AL147" s="7"/>
      <c r="AM147" s="7"/>
      <c r="AN147" s="7"/>
      <c r="AO147" s="7"/>
      <c r="AP147" s="7"/>
      <c r="AQ147" s="7"/>
      <c r="AR147" s="7"/>
      <c r="AS147" s="7"/>
      <c r="AT147" s="7"/>
      <c r="AU147" s="7"/>
      <c r="AV147" s="7"/>
      <c r="AW147" s="7"/>
      <c r="AX147" s="7"/>
      <c r="AY147" s="7"/>
      <c r="AZ147" s="7"/>
    </row>
    <row r="148" spans="1:52" ht="63" customHeight="1">
      <c r="A148" s="20" t="s">
        <v>810</v>
      </c>
      <c r="B148" s="7">
        <v>1</v>
      </c>
      <c r="C148" s="7" t="s">
        <v>275</v>
      </c>
      <c r="D148" s="7" t="s">
        <v>233</v>
      </c>
      <c r="E148" s="7" t="s">
        <v>37</v>
      </c>
      <c r="F148" s="7" t="s">
        <v>811</v>
      </c>
      <c r="G148" s="7">
        <v>1861</v>
      </c>
      <c r="H148" s="7" t="s">
        <v>812</v>
      </c>
      <c r="I148" s="14" t="str">
        <f>HYPERLINK("https://www.nsandi.com/contact-us-email","Please complete enquiry form on website")</f>
        <v>Please complete enquiry form on website</v>
      </c>
      <c r="J148" s="14" t="str">
        <f>HYPERLINK("http://www.nsandi.com/","http://www.nsandi.com/")</f>
        <v>http://www.nsandi.com/</v>
      </c>
      <c r="K148" s="13" t="s">
        <v>813</v>
      </c>
      <c r="L148" s="7" t="s">
        <v>814</v>
      </c>
      <c r="M148" s="7" t="s">
        <v>42</v>
      </c>
      <c r="N148" s="15" t="s">
        <v>43</v>
      </c>
      <c r="O148" s="16">
        <v>25000</v>
      </c>
      <c r="P148" s="15" t="s">
        <v>52</v>
      </c>
      <c r="Q148" s="17" t="s">
        <v>815</v>
      </c>
      <c r="R148" s="7" t="s">
        <v>37</v>
      </c>
      <c r="S148" s="7" t="s">
        <v>37</v>
      </c>
      <c r="T148" s="7" t="s">
        <v>43</v>
      </c>
      <c r="U148" s="7" t="s">
        <v>816</v>
      </c>
      <c r="V148" s="7">
        <v>2005</v>
      </c>
      <c r="W148" s="7">
        <v>204</v>
      </c>
      <c r="X148" s="18">
        <v>121427</v>
      </c>
      <c r="Y148" s="18">
        <v>61379</v>
      </c>
      <c r="Z148" s="18">
        <f t="shared" si="6"/>
        <v>182806</v>
      </c>
      <c r="AA148" s="18">
        <v>188009</v>
      </c>
      <c r="AB148" s="18">
        <v>0</v>
      </c>
      <c r="AC148" s="18">
        <v>0</v>
      </c>
      <c r="AD148" s="7"/>
      <c r="AE148" s="7"/>
      <c r="AF148" s="7"/>
      <c r="AG148" s="7"/>
      <c r="AH148" s="7"/>
      <c r="AI148" s="7"/>
      <c r="AJ148" s="7"/>
      <c r="AK148" s="7"/>
      <c r="AL148" s="7"/>
      <c r="AM148" s="7"/>
      <c r="AN148" s="7"/>
      <c r="AO148" s="7"/>
      <c r="AP148" s="7"/>
      <c r="AQ148" s="7"/>
      <c r="AR148" s="7"/>
      <c r="AS148" s="7"/>
      <c r="AT148" s="7"/>
      <c r="AU148" s="7"/>
      <c r="AV148" s="7"/>
      <c r="AW148" s="7"/>
      <c r="AX148" s="7"/>
      <c r="AY148" s="7"/>
      <c r="AZ148" s="7"/>
    </row>
    <row r="149" spans="1:52" ht="63" customHeight="1">
      <c r="A149" s="20" t="s">
        <v>817</v>
      </c>
      <c r="B149" s="7">
        <v>1</v>
      </c>
      <c r="C149" s="7" t="s">
        <v>79</v>
      </c>
      <c r="D149" s="7" t="s">
        <v>95</v>
      </c>
      <c r="E149" s="7" t="s">
        <v>43</v>
      </c>
      <c r="F149" s="7" t="s">
        <v>818</v>
      </c>
      <c r="G149" s="7">
        <v>2006</v>
      </c>
      <c r="H149" s="7"/>
      <c r="I149" s="14" t="str">
        <f>HYPERLINK("mailto:enquiries@naturalengland.org.uk","enquiries@naturalengland.org.uk")</f>
        <v>enquiries@naturalengland.org.uk</v>
      </c>
      <c r="J149" s="14" t="str">
        <f>HYPERLINK("https://www.gov.uk/government/organisations/natural-england","https://www.gov.uk/government/
organisations/natural-england")</f>
        <v>https://www.gov.uk/government/
organisations/natural-england</v>
      </c>
      <c r="K149" s="7" t="s">
        <v>819</v>
      </c>
      <c r="L149" s="7" t="s">
        <v>820</v>
      </c>
      <c r="M149" s="13" t="s">
        <v>42</v>
      </c>
      <c r="N149" s="15" t="s">
        <v>43</v>
      </c>
      <c r="O149" s="16">
        <v>546</v>
      </c>
      <c r="P149" s="15" t="s">
        <v>44</v>
      </c>
      <c r="Q149" s="17" t="s">
        <v>821</v>
      </c>
      <c r="R149" s="7" t="s">
        <v>43</v>
      </c>
      <c r="S149" s="7" t="s">
        <v>43</v>
      </c>
      <c r="T149" s="7" t="s">
        <v>43</v>
      </c>
      <c r="U149" s="7" t="s">
        <v>54</v>
      </c>
      <c r="V149" s="7">
        <v>2013</v>
      </c>
      <c r="W149" s="31">
        <v>1795.94</v>
      </c>
      <c r="X149" s="18">
        <v>96204</v>
      </c>
      <c r="Y149" s="18">
        <v>32067</v>
      </c>
      <c r="Z149" s="18">
        <v>128271</v>
      </c>
      <c r="AA149" s="18">
        <v>112359</v>
      </c>
      <c r="AB149" s="18">
        <v>4801</v>
      </c>
      <c r="AC149" s="18">
        <v>3</v>
      </c>
      <c r="AD149" s="7"/>
      <c r="AE149" s="7"/>
      <c r="AF149" s="7"/>
      <c r="AG149" s="7"/>
      <c r="AH149" s="7"/>
      <c r="AI149" s="7"/>
      <c r="AJ149" s="7"/>
      <c r="AK149" s="7"/>
      <c r="AL149" s="7"/>
      <c r="AM149" s="7"/>
      <c r="AN149" s="7"/>
      <c r="AO149" s="7"/>
      <c r="AP149" s="7"/>
      <c r="AQ149" s="7"/>
      <c r="AR149" s="7"/>
      <c r="AS149" s="7"/>
      <c r="AT149" s="7"/>
      <c r="AU149" s="7"/>
      <c r="AV149" s="7"/>
      <c r="AW149" s="7"/>
      <c r="AX149" s="7"/>
      <c r="AY149" s="7"/>
      <c r="AZ149" s="7"/>
    </row>
    <row r="150" spans="1:52" ht="63" customHeight="1">
      <c r="A150" s="20" t="s">
        <v>822</v>
      </c>
      <c r="B150" s="7">
        <v>1</v>
      </c>
      <c r="C150" s="7" t="s">
        <v>122</v>
      </c>
      <c r="D150" s="7" t="s">
        <v>95</v>
      </c>
      <c r="E150" s="7" t="s">
        <v>37</v>
      </c>
      <c r="F150" s="7" t="s">
        <v>823</v>
      </c>
      <c r="G150" s="7">
        <v>1753</v>
      </c>
      <c r="H150" s="7"/>
      <c r="I150" s="14" t="str">
        <f>HYPERLINK("www.nhm.ac.uk/about-us/contact-enquiries/forms/","www.nhm.ac.uk/about-us/contact-enquiries/forms/")</f>
        <v>www.nhm.ac.uk/about-us/contact-enquiries/forms/</v>
      </c>
      <c r="J150" s="14" t="s">
        <v>824</v>
      </c>
      <c r="K150" s="7" t="s">
        <v>197</v>
      </c>
      <c r="L150" s="7" t="s">
        <v>825</v>
      </c>
      <c r="M150" s="13" t="s">
        <v>42</v>
      </c>
      <c r="N150" s="15" t="s">
        <v>37</v>
      </c>
      <c r="O150" s="16"/>
      <c r="P150" s="15"/>
      <c r="Q150" s="13" t="s">
        <v>826</v>
      </c>
      <c r="R150" s="7" t="s">
        <v>37</v>
      </c>
      <c r="S150" s="7" t="s">
        <v>37</v>
      </c>
      <c r="T150" s="7" t="s">
        <v>43</v>
      </c>
      <c r="U150" s="7" t="s">
        <v>46</v>
      </c>
      <c r="V150" s="7">
        <v>2017</v>
      </c>
      <c r="W150" s="7">
        <v>844</v>
      </c>
      <c r="X150" s="18">
        <v>42455</v>
      </c>
      <c r="Y150" s="18">
        <v>44120</v>
      </c>
      <c r="Z150" s="18">
        <f t="shared" ref="Z150:Z153" si="7">(X150+Y150)</f>
        <v>86575</v>
      </c>
      <c r="AA150" s="18">
        <v>45817</v>
      </c>
      <c r="AB150" s="18">
        <v>7412</v>
      </c>
      <c r="AC150" s="18">
        <v>2302</v>
      </c>
      <c r="AD150" s="7"/>
      <c r="AE150" s="7"/>
      <c r="AF150" s="7"/>
      <c r="AG150" s="7"/>
      <c r="AH150" s="7"/>
      <c r="AI150" s="7"/>
      <c r="AJ150" s="7"/>
      <c r="AK150" s="7"/>
      <c r="AL150" s="7"/>
      <c r="AM150" s="7"/>
      <c r="AN150" s="7"/>
      <c r="AO150" s="7"/>
      <c r="AP150" s="7"/>
      <c r="AQ150" s="7"/>
      <c r="AR150" s="7"/>
      <c r="AS150" s="7"/>
      <c r="AT150" s="7"/>
      <c r="AU150" s="7"/>
      <c r="AV150" s="7"/>
      <c r="AW150" s="7"/>
      <c r="AX150" s="7"/>
      <c r="AY150" s="7"/>
      <c r="AZ150" s="7"/>
    </row>
    <row r="151" spans="1:52" ht="63" customHeight="1">
      <c r="A151" s="20" t="s">
        <v>827</v>
      </c>
      <c r="B151" s="7">
        <v>1</v>
      </c>
      <c r="C151" s="7" t="s">
        <v>58</v>
      </c>
      <c r="D151" s="7" t="s">
        <v>95</v>
      </c>
      <c r="E151" s="7" t="s">
        <v>37</v>
      </c>
      <c r="F151" s="7" t="s">
        <v>828</v>
      </c>
      <c r="G151" s="7">
        <v>2005</v>
      </c>
      <c r="H151" s="7"/>
      <c r="I151" s="14" t="str">
        <f>HYPERLINK("mailto:nhsbsa@nhs.net","nhsbsa@nhs.net")</f>
        <v>nhsbsa@nhs.net</v>
      </c>
      <c r="J151" s="14" t="str">
        <f>HYPERLINK("https://www.nhsbsa.nhs.uk","https://www.nhsbsa.nhs.uk")</f>
        <v>https://www.nhsbsa.nhs.uk</v>
      </c>
      <c r="K151" s="7" t="s">
        <v>829</v>
      </c>
      <c r="L151" s="13" t="s">
        <v>830</v>
      </c>
      <c r="M151" s="27" t="s">
        <v>42</v>
      </c>
      <c r="N151" s="7" t="s">
        <v>43</v>
      </c>
      <c r="O151" s="16">
        <v>63000</v>
      </c>
      <c r="P151" s="15" t="s">
        <v>52</v>
      </c>
      <c r="Q151" s="15" t="s">
        <v>464</v>
      </c>
      <c r="R151" s="7" t="s">
        <v>43</v>
      </c>
      <c r="S151" s="7" t="s">
        <v>43</v>
      </c>
      <c r="T151" s="7" t="s">
        <v>43</v>
      </c>
      <c r="U151" s="7" t="s">
        <v>54</v>
      </c>
      <c r="V151" s="7"/>
      <c r="W151" s="26">
        <v>2500</v>
      </c>
      <c r="X151" s="18">
        <v>213435</v>
      </c>
      <c r="Y151" s="18">
        <v>2329813</v>
      </c>
      <c r="Z151" s="18">
        <f t="shared" si="7"/>
        <v>2543248</v>
      </c>
      <c r="AA151" s="18">
        <v>2440563</v>
      </c>
      <c r="AB151" s="18">
        <v>-55392</v>
      </c>
      <c r="AC151" s="18">
        <v>17233</v>
      </c>
      <c r="AD151" s="7"/>
      <c r="AE151" s="13" t="s">
        <v>56</v>
      </c>
      <c r="AF151" s="7"/>
      <c r="AG151" s="7"/>
      <c r="AH151" s="7"/>
      <c r="AI151" s="7"/>
      <c r="AJ151" s="7"/>
      <c r="AK151" s="7"/>
      <c r="AL151" s="7"/>
      <c r="AM151" s="7"/>
      <c r="AN151" s="7"/>
      <c r="AO151" s="7"/>
      <c r="AP151" s="7"/>
      <c r="AQ151" s="7"/>
      <c r="AR151" s="7"/>
      <c r="AS151" s="7"/>
      <c r="AT151" s="7"/>
      <c r="AU151" s="7"/>
      <c r="AV151" s="7"/>
      <c r="AW151" s="7"/>
      <c r="AX151" s="7"/>
      <c r="AY151" s="7"/>
      <c r="AZ151" s="7"/>
    </row>
    <row r="152" spans="1:52" ht="63" customHeight="1">
      <c r="A152" s="20" t="s">
        <v>831</v>
      </c>
      <c r="B152" s="7">
        <v>1</v>
      </c>
      <c r="C152" s="7" t="s">
        <v>58</v>
      </c>
      <c r="D152" s="7" t="s">
        <v>95</v>
      </c>
      <c r="E152" s="7" t="s">
        <v>37</v>
      </c>
      <c r="F152" s="7" t="s">
        <v>832</v>
      </c>
      <c r="G152" s="7">
        <v>2012</v>
      </c>
      <c r="H152" s="7" t="s">
        <v>833</v>
      </c>
      <c r="I152" s="14" t="str">
        <f>HYPERLINK("mailto:england.contactus@nhs.net","england.contactus@nhs.net")</f>
        <v>england.contactus@nhs.net</v>
      </c>
      <c r="J152" s="14" t="str">
        <f>HYPERLINK("http://www.england.nhs.uk/","http://www.england.nhs.uk/")</f>
        <v>http://www.england.nhs.uk/</v>
      </c>
      <c r="K152" s="7" t="s">
        <v>640</v>
      </c>
      <c r="L152" s="7" t="s">
        <v>834</v>
      </c>
      <c r="M152" s="7" t="s">
        <v>42</v>
      </c>
      <c r="N152" s="15" t="s">
        <v>43</v>
      </c>
      <c r="O152" s="16">
        <v>63000</v>
      </c>
      <c r="P152" s="15" t="s">
        <v>52</v>
      </c>
      <c r="Q152" s="15" t="s">
        <v>464</v>
      </c>
      <c r="R152" s="7" t="s">
        <v>835</v>
      </c>
      <c r="S152" s="7" t="s">
        <v>43</v>
      </c>
      <c r="T152" s="7" t="s">
        <v>43</v>
      </c>
      <c r="U152" s="7" t="s">
        <v>54</v>
      </c>
      <c r="V152" s="7"/>
      <c r="W152" s="26">
        <v>5400</v>
      </c>
      <c r="X152" s="18">
        <v>111725304</v>
      </c>
      <c r="Y152" s="18">
        <v>2097983</v>
      </c>
      <c r="Z152" s="18">
        <f t="shared" si="7"/>
        <v>113823287</v>
      </c>
      <c r="AA152" s="18">
        <v>114803059</v>
      </c>
      <c r="AB152" s="18">
        <v>221233</v>
      </c>
      <c r="AC152" s="18">
        <v>-19733</v>
      </c>
      <c r="AD152" s="7"/>
      <c r="AE152" s="13" t="s">
        <v>56</v>
      </c>
      <c r="AF152" s="7"/>
      <c r="AG152" s="7"/>
      <c r="AH152" s="7"/>
      <c r="AI152" s="7"/>
      <c r="AJ152" s="7"/>
      <c r="AK152" s="7"/>
      <c r="AL152" s="7"/>
      <c r="AM152" s="7"/>
      <c r="AN152" s="7"/>
      <c r="AO152" s="7"/>
      <c r="AP152" s="7"/>
      <c r="AQ152" s="7"/>
      <c r="AR152" s="7"/>
      <c r="AS152" s="7"/>
      <c r="AT152" s="7"/>
      <c r="AU152" s="7"/>
      <c r="AV152" s="7"/>
      <c r="AW152" s="7"/>
      <c r="AX152" s="7"/>
      <c r="AY152" s="7"/>
      <c r="AZ152" s="7"/>
    </row>
    <row r="153" spans="1:52" ht="63" customHeight="1">
      <c r="A153" s="20" t="s">
        <v>836</v>
      </c>
      <c r="B153" s="7">
        <v>1</v>
      </c>
      <c r="C153" s="7" t="s">
        <v>58</v>
      </c>
      <c r="D153" s="7" t="s">
        <v>95</v>
      </c>
      <c r="E153" s="7" t="s">
        <v>56</v>
      </c>
      <c r="F153" s="7" t="s">
        <v>837</v>
      </c>
      <c r="G153" s="7">
        <v>2016</v>
      </c>
      <c r="H153" s="7" t="s">
        <v>838</v>
      </c>
      <c r="I153" s="14" t="str">
        <f>HYPERLINK("mailto:enquiries@improvement.nhs.uk","enquiries@improvement.nhs.uk")</f>
        <v>enquiries@improvement.nhs.uk</v>
      </c>
      <c r="J153" s="14" t="str">
        <f>HYPERLINK("https://improvement.nhs.uk","https://improvement.nhs.uk")</f>
        <v>https://improvement.nhs.uk</v>
      </c>
      <c r="K153" s="7" t="s">
        <v>839</v>
      </c>
      <c r="L153" s="7" t="s">
        <v>840</v>
      </c>
      <c r="M153" s="13" t="s">
        <v>42</v>
      </c>
      <c r="N153" s="15" t="s">
        <v>43</v>
      </c>
      <c r="O153" s="16">
        <v>63000</v>
      </c>
      <c r="P153" s="15" t="s">
        <v>52</v>
      </c>
      <c r="Q153" s="15" t="s">
        <v>464</v>
      </c>
      <c r="R153" s="7" t="s">
        <v>841</v>
      </c>
      <c r="S153" s="7" t="s">
        <v>43</v>
      </c>
      <c r="T153" s="7" t="s">
        <v>43</v>
      </c>
      <c r="U153" s="7" t="s">
        <v>54</v>
      </c>
      <c r="V153" s="7"/>
      <c r="W153" s="26">
        <v>1677</v>
      </c>
      <c r="X153" s="18">
        <v>194632</v>
      </c>
      <c r="Y153" s="18">
        <v>42575</v>
      </c>
      <c r="Z153" s="18">
        <f t="shared" si="7"/>
        <v>237207</v>
      </c>
      <c r="AA153" s="18">
        <v>224461</v>
      </c>
      <c r="AB153" s="18">
        <v>8388</v>
      </c>
      <c r="AC153" s="18">
        <v>0</v>
      </c>
      <c r="AD153" s="7"/>
      <c r="AE153" s="13" t="s">
        <v>56</v>
      </c>
      <c r="AF153" s="7"/>
      <c r="AG153" s="7"/>
      <c r="AH153" s="7"/>
      <c r="AI153" s="7"/>
      <c r="AJ153" s="7"/>
      <c r="AK153" s="7"/>
      <c r="AL153" s="7"/>
      <c r="AM153" s="7"/>
      <c r="AN153" s="7"/>
      <c r="AO153" s="7"/>
      <c r="AP153" s="7"/>
      <c r="AQ153" s="7"/>
      <c r="AR153" s="7"/>
      <c r="AS153" s="7"/>
      <c r="AT153" s="7"/>
      <c r="AU153" s="7"/>
      <c r="AV153" s="7"/>
      <c r="AW153" s="7"/>
      <c r="AX153" s="7"/>
      <c r="AY153" s="7"/>
      <c r="AZ153" s="7"/>
    </row>
    <row r="154" spans="1:52" ht="63" customHeight="1">
      <c r="A154" s="20" t="s">
        <v>842</v>
      </c>
      <c r="B154" s="7">
        <v>1</v>
      </c>
      <c r="C154" s="7" t="s">
        <v>58</v>
      </c>
      <c r="D154" s="7" t="s">
        <v>36</v>
      </c>
      <c r="E154" s="7" t="s">
        <v>37</v>
      </c>
      <c r="F154" s="7" t="s">
        <v>843</v>
      </c>
      <c r="G154" s="7">
        <v>1983</v>
      </c>
      <c r="H154" s="7"/>
      <c r="I154" s="14" t="str">
        <f>HYPERLINK("mailto:craig.marchant@beis.gov.uk","craig.marchant@beis.gov.uk")</f>
        <v>craig.marchant@beis.gov.uk</v>
      </c>
      <c r="J154" s="14" t="str">
        <f>HYPERLINK("https://www.gov.uk/government/organisations/nhs-pay-review-body","https://www.gov.uk/government/organisations/nhs-pay-review-body")</f>
        <v>https://www.gov.uk/government/organisations/nhs-pay-review-body</v>
      </c>
      <c r="K154" s="7" t="s">
        <v>526</v>
      </c>
      <c r="L154" s="7" t="s">
        <v>844</v>
      </c>
      <c r="M154" s="7" t="s">
        <v>42</v>
      </c>
      <c r="N154" s="15" t="s">
        <v>43</v>
      </c>
      <c r="O154" s="16">
        <v>350</v>
      </c>
      <c r="P154" s="15" t="s">
        <v>44</v>
      </c>
      <c r="Q154" s="15" t="s">
        <v>845</v>
      </c>
      <c r="R154" s="7" t="s">
        <v>37</v>
      </c>
      <c r="S154" s="7" t="s">
        <v>37</v>
      </c>
      <c r="T154" s="7" t="s">
        <v>43</v>
      </c>
      <c r="U154" s="7"/>
      <c r="V154" s="7"/>
      <c r="W154" s="7">
        <v>0</v>
      </c>
      <c r="X154" s="18">
        <v>0</v>
      </c>
      <c r="Y154" s="18">
        <v>0</v>
      </c>
      <c r="Z154" s="18">
        <v>0</v>
      </c>
      <c r="AA154" s="18">
        <v>34.725000000000001</v>
      </c>
      <c r="AB154" s="18">
        <v>0</v>
      </c>
      <c r="AC154" s="18">
        <v>0</v>
      </c>
      <c r="AD154" s="7"/>
      <c r="AE154" s="13" t="s">
        <v>56</v>
      </c>
      <c r="AF154" s="7"/>
      <c r="AG154" s="7"/>
      <c r="AH154" s="7"/>
      <c r="AI154" s="7"/>
      <c r="AJ154" s="7"/>
      <c r="AK154" s="7"/>
      <c r="AL154" s="7"/>
      <c r="AM154" s="7"/>
      <c r="AN154" s="7"/>
      <c r="AO154" s="7"/>
      <c r="AP154" s="7"/>
      <c r="AQ154" s="7"/>
      <c r="AR154" s="7"/>
      <c r="AS154" s="7"/>
      <c r="AT154" s="7"/>
      <c r="AU154" s="7"/>
      <c r="AV154" s="7"/>
      <c r="AW154" s="7"/>
      <c r="AX154" s="7"/>
      <c r="AY154" s="7"/>
      <c r="AZ154" s="7"/>
    </row>
    <row r="155" spans="1:52" ht="63" customHeight="1">
      <c r="A155" s="12" t="s">
        <v>846</v>
      </c>
      <c r="B155" s="7">
        <v>1</v>
      </c>
      <c r="C155" s="7" t="s">
        <v>151</v>
      </c>
      <c r="D155" s="7" t="s">
        <v>95</v>
      </c>
      <c r="E155" s="7" t="s">
        <v>43</v>
      </c>
      <c r="F155" s="7" t="s">
        <v>847</v>
      </c>
      <c r="G155" s="7">
        <v>1999</v>
      </c>
      <c r="H155" s="7"/>
      <c r="I155" s="14" t="s">
        <v>848</v>
      </c>
      <c r="J155" s="14" t="s">
        <v>849</v>
      </c>
      <c r="K155" s="7" t="s">
        <v>156</v>
      </c>
      <c r="L155" s="27" t="s">
        <v>850</v>
      </c>
      <c r="M155" s="13" t="s">
        <v>42</v>
      </c>
      <c r="N155" s="15" t="s">
        <v>43</v>
      </c>
      <c r="O155" s="16">
        <v>66000</v>
      </c>
      <c r="P155" s="44" t="s">
        <v>52</v>
      </c>
      <c r="Q155" s="15" t="s">
        <v>374</v>
      </c>
      <c r="R155" s="7" t="s">
        <v>37</v>
      </c>
      <c r="S155" s="7" t="s">
        <v>43</v>
      </c>
      <c r="T155" s="7" t="s">
        <v>43</v>
      </c>
      <c r="U155" s="7" t="s">
        <v>54</v>
      </c>
      <c r="V155" s="7">
        <v>2008</v>
      </c>
      <c r="W155" s="7">
        <v>14</v>
      </c>
      <c r="X155" s="18">
        <v>1157</v>
      </c>
      <c r="Y155" s="18">
        <v>34</v>
      </c>
      <c r="Z155" s="18">
        <v>1191</v>
      </c>
      <c r="AA155" s="18">
        <v>1130</v>
      </c>
      <c r="AB155" s="18">
        <v>6</v>
      </c>
      <c r="AC155" s="18">
        <v>0</v>
      </c>
      <c r="AD155" s="7"/>
      <c r="AE155" s="7"/>
      <c r="AF155" s="7"/>
      <c r="AG155" s="7"/>
      <c r="AH155" s="7"/>
      <c r="AI155" s="7"/>
      <c r="AJ155" s="7"/>
      <c r="AK155" s="7"/>
      <c r="AL155" s="7"/>
      <c r="AM155" s="7"/>
      <c r="AN155" s="7"/>
      <c r="AO155" s="7"/>
      <c r="AP155" s="7"/>
      <c r="AQ155" s="7"/>
      <c r="AR155" s="7"/>
      <c r="AS155" s="7"/>
      <c r="AT155" s="7"/>
      <c r="AU155" s="7"/>
      <c r="AV155" s="7"/>
      <c r="AW155" s="7"/>
      <c r="AX155" s="7"/>
      <c r="AY155" s="7"/>
      <c r="AZ155" s="7"/>
    </row>
    <row r="156" spans="1:52" ht="63" customHeight="1">
      <c r="A156" s="20" t="s">
        <v>851</v>
      </c>
      <c r="B156" s="7">
        <v>1</v>
      </c>
      <c r="C156" s="7" t="s">
        <v>206</v>
      </c>
      <c r="D156" s="7" t="s">
        <v>95</v>
      </c>
      <c r="E156" s="7" t="s">
        <v>43</v>
      </c>
      <c r="F156" s="7" t="s">
        <v>852</v>
      </c>
      <c r="G156" s="7">
        <v>1786</v>
      </c>
      <c r="H156" s="7"/>
      <c r="I156" s="14" t="str">
        <f>HYPERLINK("mailto:enquiries@nlb.org.uk","enquiries@nlb.org.uk")</f>
        <v>enquiries@nlb.org.uk</v>
      </c>
      <c r="J156" s="14" t="str">
        <f>HYPERLINK("www.nlb.org.uk","www.nlb.org.uk")</f>
        <v>www.nlb.org.uk</v>
      </c>
      <c r="K156" s="7" t="s">
        <v>624</v>
      </c>
      <c r="L156" s="7" t="s">
        <v>853</v>
      </c>
      <c r="M156" s="7" t="s">
        <v>71</v>
      </c>
      <c r="N156" s="15" t="s">
        <v>43</v>
      </c>
      <c r="O156" s="16">
        <v>20536</v>
      </c>
      <c r="P156" s="15" t="s">
        <v>52</v>
      </c>
      <c r="Q156" s="15" t="s">
        <v>112</v>
      </c>
      <c r="R156" s="7" t="s">
        <v>37</v>
      </c>
      <c r="S156" s="7" t="s">
        <v>43</v>
      </c>
      <c r="T156" s="7" t="s">
        <v>43</v>
      </c>
      <c r="U156" s="7" t="s">
        <v>46</v>
      </c>
      <c r="V156" s="7">
        <v>2017</v>
      </c>
      <c r="W156" s="7">
        <v>179</v>
      </c>
      <c r="X156" s="18">
        <v>0</v>
      </c>
      <c r="Y156" s="18">
        <v>21622</v>
      </c>
      <c r="Z156" s="18">
        <f>IF(SUM(Y156)&lt;&gt;0,SUM(Y156),"")</f>
        <v>21622</v>
      </c>
      <c r="AA156" s="18">
        <v>23292</v>
      </c>
      <c r="AB156" s="18">
        <v>0</v>
      </c>
      <c r="AC156" s="18">
        <v>0</v>
      </c>
      <c r="AD156" s="7"/>
      <c r="AE156" s="7"/>
      <c r="AF156" s="7"/>
      <c r="AG156" s="7"/>
      <c r="AH156" s="7"/>
      <c r="AI156" s="7"/>
      <c r="AJ156" s="7"/>
      <c r="AK156" s="7"/>
      <c r="AL156" s="7"/>
      <c r="AM156" s="7"/>
      <c r="AN156" s="7"/>
      <c r="AO156" s="7"/>
      <c r="AP156" s="7"/>
      <c r="AQ156" s="7"/>
      <c r="AR156" s="7"/>
      <c r="AS156" s="7"/>
      <c r="AT156" s="7"/>
      <c r="AU156" s="7"/>
      <c r="AV156" s="7"/>
      <c r="AW156" s="7"/>
      <c r="AX156" s="7"/>
      <c r="AY156" s="7"/>
      <c r="AZ156" s="7"/>
    </row>
    <row r="157" spans="1:52" ht="63" customHeight="1">
      <c r="A157" s="20" t="s">
        <v>854</v>
      </c>
      <c r="B157" s="7">
        <v>1</v>
      </c>
      <c r="C157" s="7" t="s">
        <v>94</v>
      </c>
      <c r="D157" s="7" t="s">
        <v>95</v>
      </c>
      <c r="E157" s="7" t="s">
        <v>63</v>
      </c>
      <c r="F157" s="7" t="s">
        <v>855</v>
      </c>
      <c r="G157" s="7">
        <v>2004</v>
      </c>
      <c r="H157" s="7"/>
      <c r="I157" s="14" t="str">
        <f>HYPERLINK("mailto:enquiries@nda.gov.uk","enquiries@nda.gov.uk")</f>
        <v>enquiries@nda.gov.uk</v>
      </c>
      <c r="J157" s="14" t="str">
        <f>HYPERLINK("http://www.nda.gov.uk/","http://www.nda.gov.uk/")</f>
        <v>http://www.nda.gov.uk/</v>
      </c>
      <c r="K157" s="7" t="s">
        <v>250</v>
      </c>
      <c r="L157" s="7" t="s">
        <v>856</v>
      </c>
      <c r="M157" s="7" t="s">
        <v>42</v>
      </c>
      <c r="N157" s="15" t="s">
        <v>56</v>
      </c>
      <c r="O157" s="16">
        <v>150000</v>
      </c>
      <c r="P157" s="15" t="s">
        <v>52</v>
      </c>
      <c r="Q157" s="17" t="s">
        <v>193</v>
      </c>
      <c r="R157" s="7" t="s">
        <v>56</v>
      </c>
      <c r="S157" s="7" t="s">
        <v>56</v>
      </c>
      <c r="T157" s="7" t="s">
        <v>56</v>
      </c>
      <c r="U157" s="7" t="s">
        <v>54</v>
      </c>
      <c r="V157" s="7">
        <v>2011</v>
      </c>
      <c r="W157" s="39">
        <v>12742</v>
      </c>
      <c r="X157" s="18">
        <v>2212000</v>
      </c>
      <c r="Y157" s="18">
        <v>978373</v>
      </c>
      <c r="Z157" s="18">
        <f>(X157+Y157)</f>
        <v>3190373</v>
      </c>
      <c r="AA157" s="18"/>
      <c r="AB157" s="18"/>
      <c r="AC157" s="18"/>
      <c r="AD157" s="13" t="s">
        <v>56</v>
      </c>
      <c r="AE157" s="7"/>
      <c r="AF157" s="7"/>
      <c r="AG157" s="7"/>
      <c r="AH157" s="7"/>
      <c r="AI157" s="7"/>
      <c r="AJ157" s="7"/>
      <c r="AK157" s="7"/>
      <c r="AL157" s="7"/>
      <c r="AM157" s="7"/>
      <c r="AN157" s="7"/>
      <c r="AO157" s="7"/>
      <c r="AP157" s="7"/>
      <c r="AQ157" s="7"/>
      <c r="AR157" s="7"/>
      <c r="AS157" s="7"/>
      <c r="AT157" s="7"/>
      <c r="AU157" s="7"/>
      <c r="AV157" s="7"/>
      <c r="AW157" s="7"/>
      <c r="AX157" s="7"/>
      <c r="AY157" s="7"/>
      <c r="AZ157" s="7"/>
    </row>
    <row r="158" spans="1:52" ht="63" customHeight="1">
      <c r="A158" s="12" t="s">
        <v>857</v>
      </c>
      <c r="B158" s="7">
        <v>1</v>
      </c>
      <c r="C158" s="7" t="s">
        <v>65</v>
      </c>
      <c r="D158" s="7" t="s">
        <v>36</v>
      </c>
      <c r="E158" s="7" t="s">
        <v>37</v>
      </c>
      <c r="F158" s="7" t="s">
        <v>858</v>
      </c>
      <c r="G158" s="7">
        <v>2001</v>
      </c>
      <c r="H158" s="21" t="s">
        <v>859</v>
      </c>
      <c r="I158" s="14" t="str">
        <f>HYPERLINK("mailto:scott.aitken106@mod.gov.uk","scott.aitken106@mod.gov.uk")</f>
        <v>scott.aitken106@mod.gov.uk</v>
      </c>
      <c r="J158" s="14" t="s">
        <v>860</v>
      </c>
      <c r="K158" s="7" t="s">
        <v>861</v>
      </c>
      <c r="L158" s="27"/>
      <c r="M158" s="13" t="s">
        <v>42</v>
      </c>
      <c r="N158" s="15" t="s">
        <v>43</v>
      </c>
      <c r="O158" s="16">
        <v>465</v>
      </c>
      <c r="P158" s="15" t="s">
        <v>44</v>
      </c>
      <c r="Q158" s="17" t="s">
        <v>560</v>
      </c>
      <c r="R158" s="7" t="s">
        <v>37</v>
      </c>
      <c r="S158" s="7" t="s">
        <v>37</v>
      </c>
      <c r="T158" s="7" t="s">
        <v>37</v>
      </c>
      <c r="U158" s="7"/>
      <c r="V158" s="7">
        <v>2014</v>
      </c>
      <c r="W158" s="7">
        <v>1</v>
      </c>
      <c r="X158" s="18">
        <v>0</v>
      </c>
      <c r="Y158" s="18">
        <v>0</v>
      </c>
      <c r="Z158" s="18">
        <v>0</v>
      </c>
      <c r="AA158" s="18">
        <v>0</v>
      </c>
      <c r="AB158" s="18">
        <v>0</v>
      </c>
      <c r="AC158" s="18">
        <v>0</v>
      </c>
      <c r="AD158" s="7"/>
      <c r="AE158" s="13" t="s">
        <v>56</v>
      </c>
      <c r="AF158" s="7"/>
      <c r="AG158" s="7"/>
      <c r="AH158" s="7"/>
      <c r="AI158" s="7"/>
      <c r="AJ158" s="7"/>
      <c r="AK158" s="7"/>
      <c r="AL158" s="7"/>
      <c r="AM158" s="7"/>
      <c r="AN158" s="7"/>
      <c r="AO158" s="7"/>
      <c r="AP158" s="7"/>
      <c r="AQ158" s="7"/>
      <c r="AR158" s="7"/>
      <c r="AS158" s="7"/>
      <c r="AT158" s="7"/>
      <c r="AU158" s="7"/>
      <c r="AV158" s="7"/>
      <c r="AW158" s="7"/>
      <c r="AX158" s="7"/>
      <c r="AY158" s="7"/>
      <c r="AZ158" s="7"/>
    </row>
    <row r="159" spans="1:52" ht="63" customHeight="1">
      <c r="A159" s="20" t="s">
        <v>862</v>
      </c>
      <c r="B159" s="7">
        <v>1</v>
      </c>
      <c r="C159" s="7" t="s">
        <v>275</v>
      </c>
      <c r="D159" s="7" t="s">
        <v>95</v>
      </c>
      <c r="E159" s="7" t="s">
        <v>37</v>
      </c>
      <c r="F159" s="7" t="s">
        <v>863</v>
      </c>
      <c r="G159" s="7">
        <v>2010</v>
      </c>
      <c r="H159" s="7"/>
      <c r="I159" s="14" t="str">
        <f>HYPERLINK("mailto:OBR.Enquiries@obr.uk","OBR.Enquiries@obr.uk")</f>
        <v>OBR.Enquiries@obr.uk</v>
      </c>
      <c r="J159" s="14" t="s">
        <v>864</v>
      </c>
      <c r="K159" s="7" t="s">
        <v>865</v>
      </c>
      <c r="L159" s="7" t="s">
        <v>866</v>
      </c>
      <c r="M159" s="7" t="s">
        <v>42</v>
      </c>
      <c r="N159" s="15" t="s">
        <v>56</v>
      </c>
      <c r="O159" s="16">
        <v>158762</v>
      </c>
      <c r="P159" s="17" t="s">
        <v>52</v>
      </c>
      <c r="Q159" s="15" t="s">
        <v>374</v>
      </c>
      <c r="R159" s="7" t="s">
        <v>63</v>
      </c>
      <c r="S159" s="7" t="s">
        <v>56</v>
      </c>
      <c r="T159" s="7" t="s">
        <v>56</v>
      </c>
      <c r="U159" s="7" t="s">
        <v>54</v>
      </c>
      <c r="V159" s="7">
        <v>2015</v>
      </c>
      <c r="W159" s="7">
        <v>31</v>
      </c>
      <c r="X159" s="18">
        <v>2885</v>
      </c>
      <c r="Y159" s="18">
        <v>0</v>
      </c>
      <c r="Z159" s="18">
        <v>2885</v>
      </c>
      <c r="AA159" s="18">
        <v>2932</v>
      </c>
      <c r="AB159" s="18">
        <v>0</v>
      </c>
      <c r="AC159" s="18">
        <v>0</v>
      </c>
      <c r="AD159" s="7"/>
      <c r="AE159" s="7"/>
      <c r="AF159" s="7"/>
      <c r="AG159" s="7"/>
      <c r="AH159" s="7"/>
      <c r="AI159" s="7"/>
      <c r="AJ159" s="7"/>
      <c r="AK159" s="7"/>
      <c r="AL159" s="7"/>
      <c r="AM159" s="7"/>
      <c r="AN159" s="7"/>
      <c r="AO159" s="7"/>
      <c r="AP159" s="7"/>
      <c r="AQ159" s="7"/>
      <c r="AR159" s="7"/>
      <c r="AS159" s="7"/>
      <c r="AT159" s="7"/>
      <c r="AU159" s="7"/>
      <c r="AV159" s="7"/>
      <c r="AW159" s="7"/>
      <c r="AX159" s="7"/>
      <c r="AY159" s="7"/>
      <c r="AZ159" s="7"/>
    </row>
    <row r="160" spans="1:52" ht="15.75" customHeight="1">
      <c r="A160" s="20" t="s">
        <v>867</v>
      </c>
      <c r="B160" s="7">
        <v>1</v>
      </c>
      <c r="C160" s="7" t="s">
        <v>334</v>
      </c>
      <c r="D160" s="7" t="s">
        <v>233</v>
      </c>
      <c r="E160" s="7" t="s">
        <v>43</v>
      </c>
      <c r="F160" s="27" t="s">
        <v>868</v>
      </c>
      <c r="G160" s="7">
        <v>1992</v>
      </c>
      <c r="H160" s="7"/>
      <c r="I160" s="14" t="str">
        <f>HYPERLINK("enquiries@ofsted.gov.uk ","enquiries@ofsted.gov.uk ")</f>
        <v xml:space="preserve">enquiries@ofsted.gov.uk </v>
      </c>
      <c r="J160" s="14" t="str">
        <f>HYPERLINK("https://www.gov.uk/government/organisations/ofsted","https://www.gov.uk/government/organisations/ofsted")</f>
        <v>https://www.gov.uk/government/organisations/ofsted</v>
      </c>
      <c r="K160" s="7" t="s">
        <v>869</v>
      </c>
      <c r="L160" s="7" t="s">
        <v>870</v>
      </c>
      <c r="M160" s="7" t="s">
        <v>42</v>
      </c>
      <c r="N160" s="15" t="s">
        <v>43</v>
      </c>
      <c r="O160" s="16">
        <v>46800</v>
      </c>
      <c r="P160" s="15" t="s">
        <v>52</v>
      </c>
      <c r="Q160" s="15" t="s">
        <v>193</v>
      </c>
      <c r="R160" s="7" t="s">
        <v>37</v>
      </c>
      <c r="S160" s="7" t="s">
        <v>43</v>
      </c>
      <c r="T160" s="7" t="s">
        <v>43</v>
      </c>
      <c r="U160" s="7" t="s">
        <v>54</v>
      </c>
      <c r="V160" s="7"/>
      <c r="W160" s="31">
        <v>1613.5</v>
      </c>
      <c r="X160" s="18">
        <v>130219</v>
      </c>
      <c r="Y160" s="18">
        <v>21516</v>
      </c>
      <c r="Z160" s="18">
        <f>(X160+Y160)</f>
        <v>151735</v>
      </c>
      <c r="AA160" s="18">
        <v>122500</v>
      </c>
      <c r="AB160" s="18">
        <v>6098</v>
      </c>
      <c r="AC160" s="18">
        <v>-717</v>
      </c>
      <c r="AD160" s="7"/>
      <c r="AE160" s="7"/>
      <c r="AF160" s="7"/>
      <c r="AG160" s="7"/>
      <c r="AH160" s="7"/>
      <c r="AI160" s="7"/>
      <c r="AJ160" s="7"/>
      <c r="AK160" s="7"/>
      <c r="AL160" s="7"/>
      <c r="AM160" s="7"/>
      <c r="AN160" s="7"/>
      <c r="AO160" s="7"/>
      <c r="AP160" s="7"/>
      <c r="AQ160" s="7"/>
      <c r="AR160" s="7"/>
      <c r="AS160" s="7"/>
      <c r="AT160" s="7"/>
      <c r="AU160" s="7"/>
      <c r="AV160" s="7"/>
      <c r="AW160" s="7"/>
      <c r="AX160" s="7"/>
      <c r="AY160" s="7"/>
      <c r="AZ160" s="7"/>
    </row>
    <row r="161" spans="1:52" ht="63" customHeight="1">
      <c r="A161" s="20" t="s">
        <v>871</v>
      </c>
      <c r="B161" s="7">
        <v>1</v>
      </c>
      <c r="C161" s="7" t="s">
        <v>334</v>
      </c>
      <c r="D161" s="7" t="s">
        <v>95</v>
      </c>
      <c r="E161" s="7" t="s">
        <v>43</v>
      </c>
      <c r="F161" s="7" t="s">
        <v>872</v>
      </c>
      <c r="G161" s="7">
        <v>2018</v>
      </c>
      <c r="H161" s="7"/>
      <c r="I161" s="28" t="s">
        <v>873</v>
      </c>
      <c r="J161" s="14" t="str">
        <f>HYPERLINK("https://www.officeforstudents.org.uk/","https://www.officeforstudents.org.uk/")</f>
        <v>https://www.officeforstudents.org.uk/</v>
      </c>
      <c r="K161" s="7" t="s">
        <v>874</v>
      </c>
      <c r="L161" s="27" t="s">
        <v>875</v>
      </c>
      <c r="M161" s="27" t="s">
        <v>42</v>
      </c>
      <c r="N161" s="15" t="s">
        <v>43</v>
      </c>
      <c r="O161" s="16">
        <v>54000</v>
      </c>
      <c r="P161" s="15" t="s">
        <v>52</v>
      </c>
      <c r="Q161" s="13" t="s">
        <v>876</v>
      </c>
      <c r="R161" s="7" t="s">
        <v>37</v>
      </c>
      <c r="S161" s="7" t="s">
        <v>43</v>
      </c>
      <c r="T161" s="7" t="s">
        <v>43</v>
      </c>
      <c r="U161" s="7"/>
      <c r="V161" s="7"/>
      <c r="W161" s="7">
        <v>381</v>
      </c>
      <c r="X161" s="18">
        <v>1429</v>
      </c>
      <c r="Y161" s="18">
        <v>0</v>
      </c>
      <c r="Z161" s="18">
        <v>1429</v>
      </c>
      <c r="AA161" s="18">
        <v>1278</v>
      </c>
      <c r="AB161" s="18">
        <v>150</v>
      </c>
      <c r="AC161" s="18">
        <v>324</v>
      </c>
      <c r="AD161" s="7"/>
      <c r="AE161" s="7" t="s">
        <v>185</v>
      </c>
      <c r="AF161" s="7"/>
      <c r="AG161" s="7"/>
      <c r="AH161" s="7"/>
      <c r="AI161" s="7"/>
      <c r="AJ161" s="7"/>
      <c r="AK161" s="7"/>
      <c r="AL161" s="7"/>
      <c r="AM161" s="7"/>
      <c r="AN161" s="7"/>
      <c r="AO161" s="7"/>
      <c r="AP161" s="7"/>
      <c r="AQ161" s="7"/>
      <c r="AR161" s="7"/>
      <c r="AS161" s="7"/>
      <c r="AT161" s="7"/>
      <c r="AU161" s="7"/>
      <c r="AV161" s="7"/>
      <c r="AW161" s="7"/>
      <c r="AX161" s="7"/>
      <c r="AY161" s="7"/>
      <c r="AZ161" s="7"/>
    </row>
    <row r="162" spans="1:52" ht="63" customHeight="1">
      <c r="A162" s="20" t="s">
        <v>877</v>
      </c>
      <c r="B162" s="7">
        <v>1</v>
      </c>
      <c r="C162" s="6" t="s">
        <v>94</v>
      </c>
      <c r="D162" s="7" t="s">
        <v>233</v>
      </c>
      <c r="E162" s="7" t="s">
        <v>43</v>
      </c>
      <c r="F162" s="7" t="s">
        <v>878</v>
      </c>
      <c r="G162" s="7">
        <v>2000</v>
      </c>
      <c r="H162" s="7"/>
      <c r="I162" s="14" t="str">
        <f>HYPERLINK("mailto:consumeraffairs@ofgem.gov.uk","consumeraffairs@ofgem.gov.uk")</f>
        <v>consumeraffairs@ofgem.gov.uk</v>
      </c>
      <c r="J162" s="14" t="str">
        <f>HYPERLINK("https://www.ofgem.gov.uk/","www.ofgem.gov.uk")</f>
        <v>www.ofgem.gov.uk</v>
      </c>
      <c r="K162" s="7" t="s">
        <v>879</v>
      </c>
      <c r="L162" s="7" t="s">
        <v>880</v>
      </c>
      <c r="M162" s="7" t="s">
        <v>42</v>
      </c>
      <c r="N162" s="15" t="s">
        <v>43</v>
      </c>
      <c r="O162" s="16">
        <v>162000</v>
      </c>
      <c r="P162" s="15" t="s">
        <v>52</v>
      </c>
      <c r="Q162" s="17" t="s">
        <v>881</v>
      </c>
      <c r="R162" s="7" t="s">
        <v>37</v>
      </c>
      <c r="S162" s="7" t="s">
        <v>43</v>
      </c>
      <c r="T162" s="7" t="s">
        <v>43</v>
      </c>
      <c r="U162" s="7" t="s">
        <v>54</v>
      </c>
      <c r="V162" s="7">
        <v>2011</v>
      </c>
      <c r="W162" s="7">
        <v>851</v>
      </c>
      <c r="X162" s="18">
        <v>0</v>
      </c>
      <c r="Y162" s="18">
        <v>96728</v>
      </c>
      <c r="Z162" s="18">
        <f>IF(SUM(Y162)&lt;&gt;0,SUM(Y162),"")</f>
        <v>96728</v>
      </c>
      <c r="AA162" s="18">
        <f>97162-1458-688</f>
        <v>95016</v>
      </c>
      <c r="AB162" s="18">
        <v>688</v>
      </c>
      <c r="AC162" s="18">
        <v>0</v>
      </c>
      <c r="AD162" s="7"/>
      <c r="AE162" s="7"/>
      <c r="AF162" s="7"/>
      <c r="AG162" s="7"/>
      <c r="AH162" s="7"/>
      <c r="AI162" s="7"/>
      <c r="AJ162" s="7"/>
      <c r="AK162" s="7"/>
      <c r="AL162" s="7"/>
      <c r="AM162" s="7"/>
      <c r="AN162" s="7"/>
      <c r="AO162" s="7"/>
      <c r="AP162" s="7"/>
      <c r="AQ162" s="7"/>
      <c r="AR162" s="7"/>
      <c r="AS162" s="7"/>
      <c r="AT162" s="7"/>
      <c r="AU162" s="7"/>
      <c r="AV162" s="7"/>
      <c r="AW162" s="7"/>
      <c r="AX162" s="7"/>
      <c r="AY162" s="7"/>
      <c r="AZ162" s="7"/>
    </row>
    <row r="163" spans="1:52" ht="63" customHeight="1">
      <c r="A163" s="20" t="s">
        <v>882</v>
      </c>
      <c r="B163" s="7">
        <v>1</v>
      </c>
      <c r="C163" s="7" t="s">
        <v>334</v>
      </c>
      <c r="D163" s="7" t="s">
        <v>233</v>
      </c>
      <c r="E163" s="7" t="s">
        <v>43</v>
      </c>
      <c r="F163" s="7" t="s">
        <v>883</v>
      </c>
      <c r="G163" s="7">
        <v>2010</v>
      </c>
      <c r="H163" s="7"/>
      <c r="I163" s="14" t="str">
        <f>HYPERLINK("mailto:public.enquiries@ofqual.gov.uk","public.enquiries@ofqual.gov.uk")</f>
        <v>public.enquiries@ofqual.gov.uk</v>
      </c>
      <c r="J163" s="14" t="s">
        <v>884</v>
      </c>
      <c r="K163" s="13" t="s">
        <v>885</v>
      </c>
      <c r="L163" s="7" t="s">
        <v>886</v>
      </c>
      <c r="M163" s="7" t="s">
        <v>42</v>
      </c>
      <c r="N163" s="44" t="s">
        <v>56</v>
      </c>
      <c r="O163" s="16">
        <v>43400</v>
      </c>
      <c r="P163" s="15" t="s">
        <v>52</v>
      </c>
      <c r="Q163" s="17" t="s">
        <v>193</v>
      </c>
      <c r="R163" s="7" t="s">
        <v>37</v>
      </c>
      <c r="S163" s="7" t="s">
        <v>43</v>
      </c>
      <c r="T163" s="7" t="s">
        <v>43</v>
      </c>
      <c r="U163" s="7"/>
      <c r="V163" s="7"/>
      <c r="W163" s="7">
        <v>192</v>
      </c>
      <c r="X163" s="18">
        <f>18195-55</f>
        <v>18140</v>
      </c>
      <c r="Y163" s="18">
        <v>55</v>
      </c>
      <c r="Z163" s="18">
        <v>18195</v>
      </c>
      <c r="AA163" s="18">
        <v>18095</v>
      </c>
      <c r="AB163" s="18">
        <v>100</v>
      </c>
      <c r="AC163" s="18">
        <v>0</v>
      </c>
      <c r="AD163" s="7"/>
      <c r="AE163" s="7"/>
      <c r="AF163" s="7"/>
      <c r="AG163" s="7"/>
      <c r="AH163" s="7"/>
      <c r="AI163" s="7"/>
      <c r="AJ163" s="7"/>
      <c r="AK163" s="7"/>
      <c r="AL163" s="7"/>
      <c r="AM163" s="7"/>
      <c r="AN163" s="7"/>
      <c r="AO163" s="7"/>
      <c r="AP163" s="7"/>
      <c r="AQ163" s="7"/>
      <c r="AR163" s="7"/>
      <c r="AS163" s="7"/>
      <c r="AT163" s="7"/>
      <c r="AU163" s="7"/>
      <c r="AV163" s="7"/>
      <c r="AW163" s="7"/>
      <c r="AX163" s="7"/>
      <c r="AY163" s="7"/>
      <c r="AZ163" s="7"/>
    </row>
    <row r="164" spans="1:52" ht="63" customHeight="1">
      <c r="A164" s="20" t="s">
        <v>887</v>
      </c>
      <c r="B164" s="7">
        <v>1</v>
      </c>
      <c r="C164" s="7" t="s">
        <v>206</v>
      </c>
      <c r="D164" s="7" t="s">
        <v>233</v>
      </c>
      <c r="E164" s="7" t="s">
        <v>43</v>
      </c>
      <c r="F164" s="7" t="s">
        <v>888</v>
      </c>
      <c r="G164" s="7">
        <v>2015</v>
      </c>
      <c r="H164" s="7"/>
      <c r="I164" s="14" t="str">
        <f>HYPERLINK("mailto:contact.cct@orr.gov.uk","contact.cct@orr.gov.uk")</f>
        <v>contact.cct@orr.gov.uk</v>
      </c>
      <c r="J164" s="14" t="str">
        <f>HYPERLINK("https://orr.gov.uk/","https://orr.gov.uk/")</f>
        <v>https://orr.gov.uk/</v>
      </c>
      <c r="K164" s="7" t="s">
        <v>889</v>
      </c>
      <c r="L164" s="7" t="s">
        <v>890</v>
      </c>
      <c r="M164" s="7" t="s">
        <v>42</v>
      </c>
      <c r="N164" s="15" t="s">
        <v>43</v>
      </c>
      <c r="O164" s="16">
        <v>85000</v>
      </c>
      <c r="P164" s="15" t="s">
        <v>52</v>
      </c>
      <c r="Q164" s="17" t="s">
        <v>193</v>
      </c>
      <c r="R164" s="7" t="s">
        <v>37</v>
      </c>
      <c r="S164" s="7" t="s">
        <v>43</v>
      </c>
      <c r="T164" s="7" t="s">
        <v>43</v>
      </c>
      <c r="U164" s="7" t="s">
        <v>46</v>
      </c>
      <c r="V164" s="7"/>
      <c r="W164" s="7">
        <v>294.10000000000002</v>
      </c>
      <c r="X164" s="18">
        <v>3</v>
      </c>
      <c r="Y164" s="18">
        <v>31391</v>
      </c>
      <c r="Z164" s="18">
        <v>31394</v>
      </c>
      <c r="AA164" s="18">
        <v>3</v>
      </c>
      <c r="AB164" s="18">
        <v>483</v>
      </c>
      <c r="AC164" s="18">
        <v>0</v>
      </c>
      <c r="AD164" s="7" t="s">
        <v>891</v>
      </c>
      <c r="AE164" s="7"/>
      <c r="AF164" s="7"/>
      <c r="AG164" s="7"/>
      <c r="AH164" s="7"/>
      <c r="AI164" s="7"/>
      <c r="AJ164" s="7"/>
      <c r="AK164" s="7"/>
      <c r="AL164" s="7"/>
      <c r="AM164" s="7"/>
      <c r="AN164" s="7"/>
      <c r="AO164" s="7"/>
      <c r="AP164" s="7"/>
      <c r="AQ164" s="7"/>
      <c r="AR164" s="7"/>
      <c r="AS164" s="7"/>
      <c r="AT164" s="7"/>
      <c r="AU164" s="7"/>
      <c r="AV164" s="7"/>
      <c r="AW164" s="7"/>
      <c r="AX164" s="7"/>
      <c r="AY164" s="7"/>
      <c r="AZ164" s="7"/>
    </row>
    <row r="165" spans="1:52" ht="63" customHeight="1">
      <c r="A165" s="20" t="s">
        <v>892</v>
      </c>
      <c r="B165" s="7">
        <v>1</v>
      </c>
      <c r="C165" s="7" t="s">
        <v>334</v>
      </c>
      <c r="D165" s="7" t="s">
        <v>95</v>
      </c>
      <c r="E165" s="7" t="s">
        <v>37</v>
      </c>
      <c r="F165" s="7" t="s">
        <v>893</v>
      </c>
      <c r="G165" s="7">
        <v>2004</v>
      </c>
      <c r="H165" s="7"/>
      <c r="I165" s="14" t="str">
        <f>HYPERLINK("mailto:info.request@childrenscommissioner.gov.uk","info.request@childrenscommissioner.gov.uk")</f>
        <v>info.request@childrenscommissioner.gov.uk</v>
      </c>
      <c r="J165" s="14" t="str">
        <f>HYPERLINK("https://www.childrenscommissioner.gov.uk/","https://www.childrenscommissioner.gov.uk/")</f>
        <v>https://www.childrenscommissioner.gov.uk/</v>
      </c>
      <c r="K165" s="7" t="s">
        <v>894</v>
      </c>
      <c r="L165" s="27" t="s">
        <v>46</v>
      </c>
      <c r="M165" s="27" t="s">
        <v>46</v>
      </c>
      <c r="N165" s="27" t="s">
        <v>46</v>
      </c>
      <c r="O165" s="16"/>
      <c r="P165" s="6"/>
      <c r="Q165" s="7"/>
      <c r="R165" s="7" t="s">
        <v>37</v>
      </c>
      <c r="S165" s="7" t="s">
        <v>43</v>
      </c>
      <c r="T165" s="7" t="s">
        <v>37</v>
      </c>
      <c r="U165" s="7" t="s">
        <v>54</v>
      </c>
      <c r="V165" s="7">
        <v>2019</v>
      </c>
      <c r="W165" s="7">
        <v>31</v>
      </c>
      <c r="X165" s="18">
        <v>2484</v>
      </c>
      <c r="Y165" s="18">
        <v>0</v>
      </c>
      <c r="Z165" s="18">
        <v>2484</v>
      </c>
      <c r="AA165" s="18">
        <v>2407</v>
      </c>
      <c r="AB165" s="18">
        <v>0</v>
      </c>
      <c r="AC165" s="18">
        <v>0</v>
      </c>
      <c r="AD165" s="7"/>
      <c r="AE165" s="7"/>
      <c r="AF165" s="7"/>
      <c r="AG165" s="7"/>
      <c r="AH165" s="7"/>
      <c r="AI165" s="7"/>
      <c r="AJ165" s="7"/>
      <c r="AK165" s="7"/>
      <c r="AL165" s="7"/>
      <c r="AM165" s="7"/>
      <c r="AN165" s="7"/>
      <c r="AO165" s="7"/>
      <c r="AP165" s="7"/>
      <c r="AQ165" s="7"/>
      <c r="AR165" s="7"/>
      <c r="AS165" s="7"/>
      <c r="AT165" s="7"/>
      <c r="AU165" s="7"/>
      <c r="AV165" s="7"/>
      <c r="AW165" s="7"/>
      <c r="AX165" s="7"/>
      <c r="AY165" s="7"/>
      <c r="AZ165" s="7"/>
    </row>
    <row r="166" spans="1:52" ht="63" customHeight="1">
      <c r="A166" s="20" t="s">
        <v>895</v>
      </c>
      <c r="B166" s="7">
        <v>1</v>
      </c>
      <c r="C166" s="7" t="s">
        <v>133</v>
      </c>
      <c r="D166" s="7" t="s">
        <v>95</v>
      </c>
      <c r="E166" s="7" t="s">
        <v>43</v>
      </c>
      <c r="F166" s="7" t="s">
        <v>896</v>
      </c>
      <c r="G166" s="7">
        <v>2000</v>
      </c>
      <c r="H166" s="6" t="s">
        <v>897</v>
      </c>
      <c r="I166" s="14" t="str">
        <f>HYPERLINK("mailto:info@oisc.gov.uk","info@oisc.gov.uk")</f>
        <v>info@oisc.gov.uk</v>
      </c>
      <c r="J166" s="14" t="str">
        <f>HYPERLINK("https://www.gov.uk/government/organisations/office-of-the-immigration-services-commissioner","https://www.gov.uk/government/organisations/office-of-the-immigration-services-commissioner")</f>
        <v>https://www.gov.uk/government/organisations/office-of-the-immigration-services-commissioner</v>
      </c>
      <c r="K166" s="7" t="s">
        <v>898</v>
      </c>
      <c r="L166" s="27" t="s">
        <v>46</v>
      </c>
      <c r="M166" s="27" t="s">
        <v>46</v>
      </c>
      <c r="N166" s="17" t="s">
        <v>46</v>
      </c>
      <c r="O166" s="16"/>
      <c r="P166" s="15"/>
      <c r="Q166" s="15"/>
      <c r="R166" s="7" t="s">
        <v>37</v>
      </c>
      <c r="S166" s="7" t="s">
        <v>37</v>
      </c>
      <c r="T166" s="7" t="s">
        <v>43</v>
      </c>
      <c r="U166" s="7" t="s">
        <v>54</v>
      </c>
      <c r="V166" s="7">
        <v>2017</v>
      </c>
      <c r="W166" s="7">
        <v>55</v>
      </c>
      <c r="X166" s="18">
        <v>3820</v>
      </c>
      <c r="Y166" s="18">
        <v>0</v>
      </c>
      <c r="Z166" s="18">
        <v>3820</v>
      </c>
      <c r="AA166" s="18">
        <v>3820</v>
      </c>
      <c r="AB166" s="18">
        <v>5</v>
      </c>
      <c r="AC166" s="18">
        <v>0</v>
      </c>
      <c r="AD166" s="7"/>
      <c r="AE166" s="7" t="s">
        <v>185</v>
      </c>
      <c r="AF166" s="7"/>
      <c r="AG166" s="7"/>
      <c r="AH166" s="7"/>
      <c r="AI166" s="7"/>
      <c r="AJ166" s="7"/>
      <c r="AK166" s="7"/>
      <c r="AL166" s="7"/>
      <c r="AM166" s="7"/>
      <c r="AN166" s="7"/>
      <c r="AO166" s="7"/>
      <c r="AP166" s="7"/>
      <c r="AQ166" s="7"/>
      <c r="AR166" s="7"/>
      <c r="AS166" s="7"/>
      <c r="AT166" s="7"/>
      <c r="AU166" s="7"/>
      <c r="AV166" s="7"/>
      <c r="AW166" s="7"/>
      <c r="AX166" s="7"/>
      <c r="AY166" s="7"/>
      <c r="AZ166" s="7"/>
    </row>
    <row r="167" spans="1:52" ht="63" customHeight="1">
      <c r="A167" s="20" t="s">
        <v>899</v>
      </c>
      <c r="B167" s="7">
        <v>1</v>
      </c>
      <c r="C167" s="7" t="s">
        <v>89</v>
      </c>
      <c r="D167" s="7" t="s">
        <v>108</v>
      </c>
      <c r="E167" s="7" t="s">
        <v>37</v>
      </c>
      <c r="F167" s="7" t="s">
        <v>900</v>
      </c>
      <c r="G167" s="7">
        <v>2007</v>
      </c>
      <c r="H167" s="7"/>
      <c r="I167" s="14" t="str">
        <f>HYPERLINK("mailto:customerservices@publicguardian.gov.uk","customerservices@publicguardian.gov.uk")</f>
        <v>customerservices@publicguardian.gov.uk</v>
      </c>
      <c r="J167" s="14" t="str">
        <f>HYPERLINK("https://www.gov.uk/government/organisations/office-of-the-public-guardian","www.gov.uk/government/organisations/office-of-the-public-guardian")</f>
        <v>www.gov.uk/government/organisations/office-of-the-public-guardian</v>
      </c>
      <c r="K167" s="7" t="s">
        <v>901</v>
      </c>
      <c r="L167" s="7" t="s">
        <v>902</v>
      </c>
      <c r="M167" s="7" t="s">
        <v>42</v>
      </c>
      <c r="N167" s="15" t="s">
        <v>43</v>
      </c>
      <c r="O167" s="16">
        <v>114000</v>
      </c>
      <c r="P167" s="15" t="s">
        <v>52</v>
      </c>
      <c r="Q167" s="15" t="s">
        <v>903</v>
      </c>
      <c r="R167" s="7" t="s">
        <v>37</v>
      </c>
      <c r="S167" s="7" t="s">
        <v>37</v>
      </c>
      <c r="T167" s="7" t="s">
        <v>43</v>
      </c>
      <c r="U167" s="7" t="s">
        <v>54</v>
      </c>
      <c r="V167" s="7">
        <v>2018</v>
      </c>
      <c r="W167" s="39">
        <v>1565</v>
      </c>
      <c r="X167" s="18">
        <v>0</v>
      </c>
      <c r="Y167" s="18">
        <v>74979</v>
      </c>
      <c r="Z167" s="18">
        <f>IF(SUM(Y167)&lt;&gt;0,SUM(Y167),"")</f>
        <v>74979</v>
      </c>
      <c r="AA167" s="18">
        <v>74455</v>
      </c>
      <c r="AB167" s="18">
        <v>1873</v>
      </c>
      <c r="AC167" s="18">
        <v>0</v>
      </c>
      <c r="AD167" s="7"/>
      <c r="AE167" s="7"/>
      <c r="AF167" s="7"/>
      <c r="AG167" s="7"/>
      <c r="AH167" s="7"/>
      <c r="AI167" s="7"/>
      <c r="AJ167" s="7"/>
      <c r="AK167" s="7"/>
      <c r="AL167" s="7"/>
      <c r="AM167" s="7"/>
      <c r="AN167" s="7"/>
      <c r="AO167" s="7"/>
      <c r="AP167" s="7"/>
      <c r="AQ167" s="7"/>
      <c r="AR167" s="7"/>
      <c r="AS167" s="7"/>
      <c r="AT167" s="7"/>
      <c r="AU167" s="7"/>
      <c r="AV167" s="7"/>
      <c r="AW167" s="7"/>
      <c r="AX167" s="7"/>
      <c r="AY167" s="7"/>
      <c r="AZ167" s="7"/>
    </row>
    <row r="168" spans="1:52" ht="63" customHeight="1">
      <c r="A168" s="12" t="s">
        <v>904</v>
      </c>
      <c r="B168" s="7">
        <v>1</v>
      </c>
      <c r="C168" s="7" t="s">
        <v>79</v>
      </c>
      <c r="D168" s="7" t="s">
        <v>233</v>
      </c>
      <c r="E168" s="7" t="s">
        <v>43</v>
      </c>
      <c r="F168" s="7" t="s">
        <v>905</v>
      </c>
      <c r="G168" s="7">
        <v>1989</v>
      </c>
      <c r="H168" s="7"/>
      <c r="I168" s="14" t="str">
        <f>HYPERLINK("mailto:mailbox@ofwat.gov.uk","mailbox@ofwat.gov.uk")</f>
        <v>mailbox@ofwat.gov.uk</v>
      </c>
      <c r="J168" s="14" t="str">
        <f>HYPERLINK("https://www.ofwat.gov.uk/","www.ofwat.gov.uk")</f>
        <v>www.ofwat.gov.uk</v>
      </c>
      <c r="K168" s="13" t="s">
        <v>906</v>
      </c>
      <c r="L168" s="7" t="s">
        <v>907</v>
      </c>
      <c r="M168" s="7" t="s">
        <v>42</v>
      </c>
      <c r="N168" s="15" t="s">
        <v>43</v>
      </c>
      <c r="O168" s="16">
        <v>126000</v>
      </c>
      <c r="P168" s="15" t="s">
        <v>52</v>
      </c>
      <c r="Q168" s="17" t="s">
        <v>100</v>
      </c>
      <c r="R168" s="7" t="s">
        <v>37</v>
      </c>
      <c r="S168" s="7" t="s">
        <v>43</v>
      </c>
      <c r="T168" s="7" t="s">
        <v>43</v>
      </c>
      <c r="U168" s="7" t="s">
        <v>54</v>
      </c>
      <c r="V168" s="7">
        <v>2011</v>
      </c>
      <c r="W168" s="7">
        <v>239</v>
      </c>
      <c r="X168" s="18">
        <v>-888</v>
      </c>
      <c r="Y168" s="18">
        <v>31403</v>
      </c>
      <c r="Z168" s="18">
        <v>30515</v>
      </c>
      <c r="AA168" s="33">
        <v>30394</v>
      </c>
      <c r="AB168" s="33">
        <v>121</v>
      </c>
      <c r="AC168" s="33">
        <v>0</v>
      </c>
      <c r="AD168" s="7"/>
      <c r="AE168" s="7"/>
      <c r="AF168" s="7"/>
      <c r="AG168" s="7"/>
      <c r="AH168" s="7"/>
      <c r="AI168" s="7"/>
      <c r="AJ168" s="7"/>
      <c r="AK168" s="7"/>
      <c r="AL168" s="7"/>
      <c r="AM168" s="7"/>
      <c r="AN168" s="7"/>
      <c r="AO168" s="7"/>
      <c r="AP168" s="7"/>
      <c r="AQ168" s="7"/>
      <c r="AR168" s="7"/>
      <c r="AS168" s="7"/>
      <c r="AT168" s="7"/>
      <c r="AU168" s="7"/>
      <c r="AV168" s="7"/>
      <c r="AW168" s="7"/>
      <c r="AX168" s="7"/>
      <c r="AY168" s="7"/>
      <c r="AZ168" s="7"/>
    </row>
    <row r="169" spans="1:52" ht="63" customHeight="1">
      <c r="A169" s="12" t="s">
        <v>908</v>
      </c>
      <c r="B169" s="7">
        <v>1</v>
      </c>
      <c r="C169" s="7" t="s">
        <v>151</v>
      </c>
      <c r="D169" s="7" t="s">
        <v>95</v>
      </c>
      <c r="E169" s="7" t="s">
        <v>43</v>
      </c>
      <c r="F169" s="7" t="s">
        <v>909</v>
      </c>
      <c r="G169" s="7">
        <v>1998</v>
      </c>
      <c r="H169" s="7"/>
      <c r="I169" s="14" t="s">
        <v>910</v>
      </c>
      <c r="J169" s="14" t="s">
        <v>911</v>
      </c>
      <c r="K169" s="7" t="s">
        <v>912</v>
      </c>
      <c r="L169" s="7" t="s">
        <v>913</v>
      </c>
      <c r="M169" s="13" t="s">
        <v>42</v>
      </c>
      <c r="N169" s="15" t="s">
        <v>43</v>
      </c>
      <c r="O169" s="16">
        <v>50000</v>
      </c>
      <c r="P169" s="15" t="s">
        <v>914</v>
      </c>
      <c r="Q169" s="15" t="s">
        <v>374</v>
      </c>
      <c r="R169" s="7" t="s">
        <v>37</v>
      </c>
      <c r="S169" s="7" t="s">
        <v>37</v>
      </c>
      <c r="T169" s="7" t="s">
        <v>43</v>
      </c>
      <c r="U169" s="7" t="s">
        <v>54</v>
      </c>
      <c r="V169" s="7">
        <v>2003</v>
      </c>
      <c r="W169" s="7">
        <v>10</v>
      </c>
      <c r="X169" s="18">
        <v>683</v>
      </c>
      <c r="Y169" s="18">
        <v>0</v>
      </c>
      <c r="Z169" s="18">
        <v>683</v>
      </c>
      <c r="AA169" s="18">
        <v>720</v>
      </c>
      <c r="AB169" s="18">
        <v>0</v>
      </c>
      <c r="AC169" s="18">
        <v>0</v>
      </c>
      <c r="AD169" s="7"/>
      <c r="AE169" s="7"/>
      <c r="AF169" s="7"/>
      <c r="AG169" s="7"/>
      <c r="AH169" s="7"/>
      <c r="AI169" s="7"/>
      <c r="AJ169" s="7"/>
      <c r="AK169" s="7"/>
      <c r="AL169" s="7"/>
      <c r="AM169" s="7"/>
      <c r="AN169" s="7"/>
      <c r="AO169" s="7"/>
      <c r="AP169" s="7"/>
      <c r="AQ169" s="7"/>
      <c r="AR169" s="7"/>
      <c r="AS169" s="7"/>
      <c r="AT169" s="7"/>
      <c r="AU169" s="7"/>
      <c r="AV169" s="7"/>
      <c r="AW169" s="7"/>
      <c r="AX169" s="7"/>
      <c r="AY169" s="7"/>
      <c r="AZ169" s="7"/>
    </row>
    <row r="170" spans="1:52" ht="63" customHeight="1">
      <c r="A170" s="20" t="s">
        <v>915</v>
      </c>
      <c r="B170" s="7">
        <v>1</v>
      </c>
      <c r="C170" s="7" t="s">
        <v>89</v>
      </c>
      <c r="D170" s="7" t="s">
        <v>95</v>
      </c>
      <c r="E170" s="7" t="s">
        <v>37</v>
      </c>
      <c r="F170" s="7" t="s">
        <v>916</v>
      </c>
      <c r="G170" s="7">
        <v>1967</v>
      </c>
      <c r="H170" s="7"/>
      <c r="I170" s="14" t="str">
        <f>HYPERLINK("mailto:info@paroleboard.gsi.gov.uk","info@paroleboard.gsi.gov.uk")</f>
        <v>info@paroleboard.gsi.gov.uk</v>
      </c>
      <c r="J170" s="14" t="str">
        <f>HYPERLINK("https://www.gov.uk/government/organisations/parole-board","https://www.gov.uk/government/organisations/parole-board")</f>
        <v>https://www.gov.uk/government/organisations/parole-board</v>
      </c>
      <c r="K170" s="7" t="s">
        <v>352</v>
      </c>
      <c r="L170" s="7" t="s">
        <v>917</v>
      </c>
      <c r="M170" s="7" t="s">
        <v>42</v>
      </c>
      <c r="N170" s="15" t="s">
        <v>43</v>
      </c>
      <c r="O170" s="16">
        <v>400</v>
      </c>
      <c r="P170" s="15" t="s">
        <v>44</v>
      </c>
      <c r="Q170" s="17" t="s">
        <v>193</v>
      </c>
      <c r="R170" s="7" t="s">
        <v>37</v>
      </c>
      <c r="S170" s="7" t="s">
        <v>43</v>
      </c>
      <c r="T170" s="7" t="s">
        <v>43</v>
      </c>
      <c r="U170" s="7" t="s">
        <v>54</v>
      </c>
      <c r="V170" s="7">
        <v>2015</v>
      </c>
      <c r="W170" s="7">
        <v>121</v>
      </c>
      <c r="X170" s="18">
        <v>16453</v>
      </c>
      <c r="Y170" s="18">
        <v>0</v>
      </c>
      <c r="Z170" s="18">
        <v>16453</v>
      </c>
      <c r="AA170" s="18">
        <v>16856</v>
      </c>
      <c r="AB170" s="18">
        <v>448</v>
      </c>
      <c r="AC170" s="18">
        <v>0</v>
      </c>
      <c r="AD170" s="7"/>
      <c r="AE170" s="7"/>
      <c r="AF170" s="7"/>
      <c r="AG170" s="7"/>
      <c r="AH170" s="7"/>
      <c r="AI170" s="7"/>
      <c r="AJ170" s="7"/>
      <c r="AK170" s="7"/>
      <c r="AL170" s="7"/>
      <c r="AM170" s="7"/>
      <c r="AN170" s="7"/>
      <c r="AO170" s="7"/>
      <c r="AP170" s="7"/>
      <c r="AQ170" s="7"/>
      <c r="AR170" s="7"/>
      <c r="AS170" s="7"/>
      <c r="AT170" s="7"/>
      <c r="AU170" s="7"/>
      <c r="AV170" s="7"/>
      <c r="AW170" s="7"/>
      <c r="AX170" s="7"/>
      <c r="AY170" s="7"/>
      <c r="AZ170" s="7"/>
    </row>
    <row r="171" spans="1:52" ht="63" customHeight="1">
      <c r="A171" s="20" t="s">
        <v>918</v>
      </c>
      <c r="B171" s="7">
        <v>1</v>
      </c>
      <c r="C171" s="7" t="s">
        <v>512</v>
      </c>
      <c r="D171" s="7" t="s">
        <v>678</v>
      </c>
      <c r="E171" s="7" t="s">
        <v>37</v>
      </c>
      <c r="F171" s="7" t="s">
        <v>919</v>
      </c>
      <c r="G171" s="7">
        <v>1991</v>
      </c>
      <c r="H171" s="7"/>
      <c r="I171" s="14" t="s">
        <v>920</v>
      </c>
      <c r="J171" s="14" t="s">
        <v>921</v>
      </c>
      <c r="K171" s="7" t="s">
        <v>515</v>
      </c>
      <c r="L171" s="13" t="s">
        <v>46</v>
      </c>
      <c r="M171" s="13" t="s">
        <v>46</v>
      </c>
      <c r="N171" s="17" t="s">
        <v>46</v>
      </c>
      <c r="O171" s="16"/>
      <c r="P171" s="15"/>
      <c r="Q171" s="15"/>
      <c r="R171" s="7" t="s">
        <v>37</v>
      </c>
      <c r="S171" s="7" t="s">
        <v>37</v>
      </c>
      <c r="T171" s="7" t="s">
        <v>43</v>
      </c>
      <c r="U171" s="7" t="s">
        <v>54</v>
      </c>
      <c r="V171" s="7">
        <v>2019</v>
      </c>
      <c r="W171" s="7">
        <v>84</v>
      </c>
      <c r="X171" s="18">
        <v>6666.3490000000002</v>
      </c>
      <c r="Y171" s="18">
        <v>0</v>
      </c>
      <c r="Z171" s="18">
        <v>6666.3490000000002</v>
      </c>
      <c r="AA171" s="18">
        <v>6584.741</v>
      </c>
      <c r="AB171" s="18">
        <v>81.608000000000004</v>
      </c>
      <c r="AC171" s="18">
        <v>0</v>
      </c>
      <c r="AD171" s="7"/>
      <c r="AE171" s="7" t="s">
        <v>185</v>
      </c>
      <c r="AF171" s="7"/>
      <c r="AG171" s="7"/>
      <c r="AH171" s="7"/>
      <c r="AI171" s="7"/>
      <c r="AJ171" s="7"/>
      <c r="AK171" s="7"/>
      <c r="AL171" s="7"/>
      <c r="AM171" s="7"/>
      <c r="AN171" s="7"/>
      <c r="AO171" s="7"/>
      <c r="AP171" s="7"/>
      <c r="AQ171" s="7"/>
      <c r="AR171" s="7"/>
      <c r="AS171" s="7"/>
      <c r="AT171" s="7"/>
      <c r="AU171" s="7"/>
      <c r="AV171" s="7"/>
      <c r="AW171" s="7"/>
      <c r="AX171" s="7"/>
      <c r="AY171" s="7"/>
      <c r="AZ171" s="7"/>
    </row>
    <row r="172" spans="1:52" ht="63" customHeight="1">
      <c r="A172" s="20" t="s">
        <v>922</v>
      </c>
      <c r="B172" s="7">
        <v>1</v>
      </c>
      <c r="C172" s="7" t="s">
        <v>512</v>
      </c>
      <c r="D172" s="7" t="s">
        <v>95</v>
      </c>
      <c r="E172" s="7" t="s">
        <v>43</v>
      </c>
      <c r="F172" s="7" t="s">
        <v>923</v>
      </c>
      <c r="G172" s="7">
        <v>2005</v>
      </c>
      <c r="H172" s="7"/>
      <c r="I172" s="14" t="str">
        <f>HYPERLINK("mailto:customersupport@thepensionsregulator.gov.uk","customersupport@thepensionsregulator.gov.uk")</f>
        <v>customersupport@thepensionsregulator.gov.uk</v>
      </c>
      <c r="J172" s="14" t="str">
        <f>HYPERLINK("http://www.thepensionsregulator.gov.uk/","http://www.thepensionsregulator.gov.uk/")</f>
        <v>http://www.thepensionsregulator.gov.uk/</v>
      </c>
      <c r="K172" s="7" t="s">
        <v>646</v>
      </c>
      <c r="L172" s="7" t="s">
        <v>924</v>
      </c>
      <c r="M172" s="7" t="s">
        <v>42</v>
      </c>
      <c r="N172" s="15" t="s">
        <v>43</v>
      </c>
      <c r="O172" s="16">
        <v>92300</v>
      </c>
      <c r="P172" s="15" t="s">
        <v>52</v>
      </c>
      <c r="Q172" s="15"/>
      <c r="R172" s="7" t="s">
        <v>37</v>
      </c>
      <c r="S172" s="7" t="s">
        <v>43</v>
      </c>
      <c r="T172" s="7" t="s">
        <v>43</v>
      </c>
      <c r="U172" s="7" t="s">
        <v>54</v>
      </c>
      <c r="V172" s="7">
        <v>2019</v>
      </c>
      <c r="W172" s="7">
        <v>675</v>
      </c>
      <c r="X172" s="18">
        <v>83588</v>
      </c>
      <c r="Y172" s="18">
        <v>82</v>
      </c>
      <c r="Z172" s="18">
        <v>83670</v>
      </c>
      <c r="AA172" s="18">
        <f>34851+50446</f>
        <v>85297</v>
      </c>
      <c r="AB172" s="18">
        <v>410</v>
      </c>
      <c r="AC172" s="18">
        <v>0</v>
      </c>
      <c r="AD172" s="7" t="s">
        <v>925</v>
      </c>
      <c r="AE172" s="7"/>
      <c r="AF172" s="7"/>
      <c r="AG172" s="7"/>
      <c r="AH172" s="7"/>
      <c r="AI172" s="7"/>
      <c r="AJ172" s="7"/>
      <c r="AK172" s="7"/>
      <c r="AL172" s="7"/>
      <c r="AM172" s="7"/>
      <c r="AN172" s="7"/>
      <c r="AO172" s="7"/>
      <c r="AP172" s="7"/>
      <c r="AQ172" s="7"/>
      <c r="AR172" s="7"/>
      <c r="AS172" s="7"/>
      <c r="AT172" s="7"/>
      <c r="AU172" s="7"/>
      <c r="AV172" s="7"/>
      <c r="AW172" s="7"/>
      <c r="AX172" s="7"/>
      <c r="AY172" s="7"/>
      <c r="AZ172" s="7"/>
    </row>
    <row r="173" spans="1:52" ht="63" customHeight="1">
      <c r="A173" s="20" t="s">
        <v>926</v>
      </c>
      <c r="B173" s="7">
        <v>1</v>
      </c>
      <c r="C173" s="7" t="s">
        <v>212</v>
      </c>
      <c r="D173" s="7" t="s">
        <v>108</v>
      </c>
      <c r="E173" s="7" t="s">
        <v>43</v>
      </c>
      <c r="F173" s="7" t="s">
        <v>927</v>
      </c>
      <c r="G173" s="7">
        <v>1983</v>
      </c>
      <c r="H173" s="7" t="s">
        <v>928</v>
      </c>
      <c r="I173" s="14" t="str">
        <f>HYPERLINK("enquiries@planninginspectorate.gov.uk ","enquiries@planninginspectorate.gov.uk ")</f>
        <v xml:space="preserve">enquiries@planninginspectorate.gov.uk </v>
      </c>
      <c r="J173" s="14" t="str">
        <f>HYPERLINK("https://www.gov.uk/government/organisations/planning-inspectorate ","https://www.gov.uk/government/organisations/planning-inspectorate ")</f>
        <v xml:space="preserve">https://www.gov.uk/government/organisations/planning-inspectorate </v>
      </c>
      <c r="K173" s="7" t="s">
        <v>929</v>
      </c>
      <c r="L173" s="7" t="s">
        <v>930</v>
      </c>
      <c r="M173" s="7" t="s">
        <v>42</v>
      </c>
      <c r="N173" s="15" t="s">
        <v>43</v>
      </c>
      <c r="O173" s="16">
        <v>20000</v>
      </c>
      <c r="P173" s="15" t="s">
        <v>52</v>
      </c>
      <c r="Q173" s="15" t="s">
        <v>931</v>
      </c>
      <c r="R173" s="7" t="s">
        <v>37</v>
      </c>
      <c r="S173" s="7" t="s">
        <v>43</v>
      </c>
      <c r="T173" s="7" t="s">
        <v>43</v>
      </c>
      <c r="U173" s="7" t="s">
        <v>46</v>
      </c>
      <c r="V173" s="7">
        <v>2010</v>
      </c>
      <c r="W173" s="7">
        <v>650</v>
      </c>
      <c r="X173" s="18">
        <v>37155</v>
      </c>
      <c r="Y173" s="18">
        <v>16247</v>
      </c>
      <c r="Z173" s="18">
        <f>(X173+Y173)</f>
        <v>53402</v>
      </c>
      <c r="AA173" s="18">
        <v>52344</v>
      </c>
      <c r="AB173" s="18">
        <v>4452</v>
      </c>
      <c r="AC173" s="18">
        <v>0</v>
      </c>
      <c r="AD173" s="7"/>
      <c r="AE173" s="7"/>
      <c r="AF173" s="7"/>
      <c r="AG173" s="7"/>
      <c r="AH173" s="7"/>
      <c r="AI173" s="7"/>
      <c r="AJ173" s="7"/>
      <c r="AK173" s="7"/>
      <c r="AL173" s="7"/>
      <c r="AM173" s="7"/>
      <c r="AN173" s="7"/>
      <c r="AO173" s="7"/>
      <c r="AP173" s="7"/>
      <c r="AQ173" s="7"/>
      <c r="AR173" s="7"/>
      <c r="AS173" s="7"/>
      <c r="AT173" s="7"/>
      <c r="AU173" s="7"/>
      <c r="AV173" s="7"/>
      <c r="AW173" s="7"/>
      <c r="AX173" s="7"/>
      <c r="AY173" s="7"/>
      <c r="AZ173" s="7"/>
    </row>
    <row r="174" spans="1:52" ht="63" customHeight="1">
      <c r="A174" s="20" t="s">
        <v>932</v>
      </c>
      <c r="B174" s="7">
        <v>1</v>
      </c>
      <c r="C174" s="7" t="s">
        <v>79</v>
      </c>
      <c r="D174" s="7" t="s">
        <v>678</v>
      </c>
      <c r="E174" s="7" t="s">
        <v>37</v>
      </c>
      <c r="F174" s="7" t="s">
        <v>933</v>
      </c>
      <c r="G174" s="7">
        <v>1964</v>
      </c>
      <c r="H174" s="7" t="s">
        <v>934</v>
      </c>
      <c r="I174" s="14" t="str">
        <f>HYPERLINK("mailto:andy.mitchell@defra.gov.uk","andy.mitchell@defra.gov.uk")</f>
        <v>andy.mitchell@defra.gov.uk</v>
      </c>
      <c r="J174" s="14" t="str">
        <f>HYPERLINK("https://www.gov.uk/government/organisations/plant-varieties-and-seeds-tribunal","https://www.gov.uk/government/organisations/plant-varieties-and-seeds-tribunal")</f>
        <v>https://www.gov.uk/government/organisations/plant-varieties-and-seeds-tribunal</v>
      </c>
      <c r="K174" s="7" t="s">
        <v>935</v>
      </c>
      <c r="L174" s="7" t="s">
        <v>46</v>
      </c>
      <c r="M174" s="13" t="s">
        <v>46</v>
      </c>
      <c r="N174" s="17" t="s">
        <v>46</v>
      </c>
      <c r="O174" s="16"/>
      <c r="P174" s="15"/>
      <c r="Q174" s="15"/>
      <c r="R174" s="7"/>
      <c r="S174" s="7"/>
      <c r="T174" s="7"/>
      <c r="U174" s="7"/>
      <c r="V174" s="47"/>
      <c r="W174" s="7">
        <v>0</v>
      </c>
      <c r="X174" s="18">
        <v>0</v>
      </c>
      <c r="Y174" s="18">
        <v>0</v>
      </c>
      <c r="Z174" s="18">
        <v>0</v>
      </c>
      <c r="AA174" s="18">
        <v>0</v>
      </c>
      <c r="AB174" s="18">
        <v>0</v>
      </c>
      <c r="AC174" s="18">
        <v>0</v>
      </c>
      <c r="AD174" s="7"/>
      <c r="AE174" s="7"/>
      <c r="AF174" s="7"/>
      <c r="AG174" s="7"/>
      <c r="AH174" s="7"/>
      <c r="AI174" s="7"/>
      <c r="AJ174" s="7"/>
      <c r="AK174" s="7"/>
      <c r="AL174" s="7"/>
      <c r="AM174" s="7"/>
      <c r="AN174" s="7"/>
      <c r="AO174" s="7"/>
      <c r="AP174" s="7"/>
      <c r="AQ174" s="7"/>
      <c r="AR174" s="7"/>
      <c r="AS174" s="7"/>
      <c r="AT174" s="7"/>
      <c r="AU174" s="7"/>
      <c r="AV174" s="7"/>
      <c r="AW174" s="7"/>
      <c r="AX174" s="7"/>
      <c r="AY174" s="7"/>
      <c r="AZ174" s="7"/>
    </row>
    <row r="175" spans="1:52" ht="63" customHeight="1">
      <c r="A175" s="20" t="s">
        <v>936</v>
      </c>
      <c r="B175" s="7">
        <v>1</v>
      </c>
      <c r="C175" s="7" t="s">
        <v>133</v>
      </c>
      <c r="D175" s="7" t="s">
        <v>678</v>
      </c>
      <c r="E175" s="7" t="s">
        <v>37</v>
      </c>
      <c r="F175" s="7" t="s">
        <v>937</v>
      </c>
      <c r="G175" s="7">
        <v>1964</v>
      </c>
      <c r="H175" s="7" t="s">
        <v>938</v>
      </c>
      <c r="I175" s="7" t="s">
        <v>46</v>
      </c>
      <c r="J175" s="14" t="str">
        <f>HYPERLINK("https://www.gov.uk/government/organisations/police-discipline-appeals-tribunal","https://www.gov.uk/government/organisations/police-discipline-appeals-tribunal")</f>
        <v>https://www.gov.uk/government/organisations/police-discipline-appeals-tribunal</v>
      </c>
      <c r="K175" s="7" t="s">
        <v>939</v>
      </c>
      <c r="L175" s="7" t="s">
        <v>940</v>
      </c>
      <c r="M175" s="7" t="s">
        <v>42</v>
      </c>
      <c r="N175" s="15" t="s">
        <v>43</v>
      </c>
      <c r="O175" s="16">
        <v>477</v>
      </c>
      <c r="P175" s="15" t="s">
        <v>44</v>
      </c>
      <c r="Q175" s="15" t="s">
        <v>941</v>
      </c>
      <c r="R175" s="7" t="s">
        <v>37</v>
      </c>
      <c r="S175" s="7" t="s">
        <v>37</v>
      </c>
      <c r="T175" s="7" t="s">
        <v>37</v>
      </c>
      <c r="U175" s="7" t="s">
        <v>942</v>
      </c>
      <c r="V175" s="7">
        <v>2014</v>
      </c>
      <c r="W175" s="7">
        <v>0</v>
      </c>
      <c r="X175" s="18">
        <v>0</v>
      </c>
      <c r="Y175" s="18">
        <v>0</v>
      </c>
      <c r="Z175" s="18">
        <v>0</v>
      </c>
      <c r="AA175" s="18">
        <v>0</v>
      </c>
      <c r="AB175" s="18">
        <v>0</v>
      </c>
      <c r="AC175" s="18">
        <v>0</v>
      </c>
      <c r="AD175" s="7" t="s">
        <v>943</v>
      </c>
      <c r="AE175" s="7"/>
      <c r="AF175" s="7"/>
      <c r="AG175" s="7"/>
      <c r="AH175" s="7"/>
      <c r="AI175" s="7"/>
      <c r="AJ175" s="7"/>
      <c r="AK175" s="7"/>
      <c r="AL175" s="7"/>
      <c r="AM175" s="7"/>
      <c r="AN175" s="7"/>
      <c r="AO175" s="7"/>
      <c r="AP175" s="7"/>
      <c r="AQ175" s="7"/>
      <c r="AR175" s="7"/>
      <c r="AS175" s="7"/>
      <c r="AT175" s="7"/>
      <c r="AU175" s="7"/>
      <c r="AV175" s="7"/>
      <c r="AW175" s="7"/>
      <c r="AX175" s="7"/>
      <c r="AY175" s="7"/>
      <c r="AZ175" s="7"/>
    </row>
    <row r="176" spans="1:52" ht="63" customHeight="1">
      <c r="A176" s="20" t="s">
        <v>944</v>
      </c>
      <c r="B176" s="7">
        <v>1</v>
      </c>
      <c r="C176" s="7" t="s">
        <v>133</v>
      </c>
      <c r="D176" s="7" t="s">
        <v>36</v>
      </c>
      <c r="E176" s="7" t="s">
        <v>37</v>
      </c>
      <c r="F176" s="7" t="s">
        <v>945</v>
      </c>
      <c r="G176" s="7">
        <v>2014</v>
      </c>
      <c r="H176" s="7"/>
      <c r="I176" s="7" t="s">
        <v>946</v>
      </c>
      <c r="J176" s="14" t="str">
        <f>HYPERLINK("https://www.gov.uk/government/organisations/police-remuneration-review-body","https://www.gov.uk/government/organisations/police-remuneration-review-body")</f>
        <v>https://www.gov.uk/government/organisations/police-remuneration-review-body</v>
      </c>
      <c r="K176" s="7" t="s">
        <v>939</v>
      </c>
      <c r="L176" s="7" t="s">
        <v>772</v>
      </c>
      <c r="M176" s="7" t="s">
        <v>42</v>
      </c>
      <c r="N176" s="15" t="s">
        <v>43</v>
      </c>
      <c r="O176" s="16">
        <v>350</v>
      </c>
      <c r="P176" s="15" t="s">
        <v>44</v>
      </c>
      <c r="Q176" s="17" t="s">
        <v>947</v>
      </c>
      <c r="R176" s="7" t="s">
        <v>37</v>
      </c>
      <c r="S176" s="7" t="s">
        <v>37</v>
      </c>
      <c r="T176" s="7" t="s">
        <v>37</v>
      </c>
      <c r="U176" s="7" t="s">
        <v>46</v>
      </c>
      <c r="V176" s="7"/>
      <c r="W176" s="7">
        <v>6</v>
      </c>
      <c r="X176" s="18">
        <v>0</v>
      </c>
      <c r="Y176" s="18">
        <v>0</v>
      </c>
      <c r="Z176" s="18">
        <v>0</v>
      </c>
      <c r="AA176" s="18">
        <v>0</v>
      </c>
      <c r="AB176" s="18">
        <v>0</v>
      </c>
      <c r="AC176" s="18">
        <v>0</v>
      </c>
      <c r="AD176" s="7" t="s">
        <v>948</v>
      </c>
      <c r="AE176" s="7" t="s">
        <v>185</v>
      </c>
      <c r="AF176" s="7"/>
      <c r="AG176" s="7"/>
      <c r="AH176" s="7"/>
      <c r="AI176" s="7"/>
      <c r="AJ176" s="7"/>
      <c r="AK176" s="7"/>
      <c r="AL176" s="7"/>
      <c r="AM176" s="7"/>
      <c r="AN176" s="7"/>
      <c r="AO176" s="7"/>
      <c r="AP176" s="7"/>
      <c r="AQ176" s="7"/>
      <c r="AR176" s="7"/>
      <c r="AS176" s="7"/>
      <c r="AT176" s="7"/>
      <c r="AU176" s="7"/>
      <c r="AV176" s="7"/>
      <c r="AW176" s="7"/>
      <c r="AX176" s="7"/>
      <c r="AY176" s="7"/>
      <c r="AZ176" s="7"/>
    </row>
    <row r="177" spans="1:52" ht="63" customHeight="1">
      <c r="A177" s="20" t="s">
        <v>949</v>
      </c>
      <c r="B177" s="7">
        <v>1</v>
      </c>
      <c r="C177" s="7" t="s">
        <v>89</v>
      </c>
      <c r="D177" s="7" t="s">
        <v>95</v>
      </c>
      <c r="E177" s="7" t="s">
        <v>37</v>
      </c>
      <c r="F177" s="7" t="s">
        <v>950</v>
      </c>
      <c r="G177" s="7">
        <v>2001</v>
      </c>
      <c r="H177" s="7"/>
      <c r="I177" s="14" t="str">
        <f>HYPERLINK("mailto:elizabeth.waterfall@beis.gov.uk","elizabeth.waterfall@beis.gov.uk")</f>
        <v>elizabeth.waterfall@beis.gov.uk</v>
      </c>
      <c r="J177" s="14" t="s">
        <v>951</v>
      </c>
      <c r="K177" s="7" t="s">
        <v>952</v>
      </c>
      <c r="L177" s="7" t="s">
        <v>953</v>
      </c>
      <c r="M177" s="7" t="s">
        <v>42</v>
      </c>
      <c r="N177" s="15" t="s">
        <v>43</v>
      </c>
      <c r="O177" s="16">
        <v>350</v>
      </c>
      <c r="P177" s="15" t="s">
        <v>44</v>
      </c>
      <c r="Q177" s="15" t="s">
        <v>379</v>
      </c>
      <c r="R177" s="7" t="s">
        <v>37</v>
      </c>
      <c r="S177" s="7" t="s">
        <v>37</v>
      </c>
      <c r="T177" s="7" t="s">
        <v>43</v>
      </c>
      <c r="U177" s="7" t="s">
        <v>46</v>
      </c>
      <c r="V177" s="7">
        <v>2014</v>
      </c>
      <c r="W177" s="7">
        <v>0</v>
      </c>
      <c r="X177" s="18">
        <v>0</v>
      </c>
      <c r="Y177" s="18">
        <v>0</v>
      </c>
      <c r="Z177" s="18">
        <v>0</v>
      </c>
      <c r="AA177" s="18">
        <v>37</v>
      </c>
      <c r="AB177" s="18">
        <v>0</v>
      </c>
      <c r="AC177" s="18">
        <v>0</v>
      </c>
      <c r="AD177" s="7"/>
      <c r="AE177" s="7"/>
      <c r="AF177" s="7"/>
      <c r="AG177" s="7"/>
      <c r="AH177" s="7"/>
      <c r="AI177" s="7"/>
      <c r="AJ177" s="7"/>
      <c r="AK177" s="7"/>
      <c r="AL177" s="7"/>
      <c r="AM177" s="7"/>
      <c r="AN177" s="7"/>
      <c r="AO177" s="7"/>
      <c r="AP177" s="7"/>
      <c r="AQ177" s="7"/>
      <c r="AR177" s="7"/>
      <c r="AS177" s="7"/>
      <c r="AT177" s="7"/>
      <c r="AU177" s="7"/>
      <c r="AV177" s="7"/>
      <c r="AW177" s="7"/>
      <c r="AX177" s="7"/>
      <c r="AY177" s="7"/>
      <c r="AZ177" s="7"/>
    </row>
    <row r="178" spans="1:52" ht="63" customHeight="1">
      <c r="A178" s="20" t="s">
        <v>954</v>
      </c>
      <c r="B178" s="7">
        <v>1</v>
      </c>
      <c r="C178" s="7" t="s">
        <v>58</v>
      </c>
      <c r="D178" s="7" t="s">
        <v>108</v>
      </c>
      <c r="E178" s="7" t="s">
        <v>37</v>
      </c>
      <c r="F178" s="7" t="s">
        <v>955</v>
      </c>
      <c r="G178" s="7">
        <v>2013</v>
      </c>
      <c r="H178" s="7"/>
      <c r="I178" s="14" t="str">
        <f>HYPERLINK("mailto:enquiries@phe.gov.uk","enquiries@phe.gov.uk")</f>
        <v>enquiries@phe.gov.uk</v>
      </c>
      <c r="J178" s="14" t="str">
        <f>HYPERLINK("https://www.gov.uk/government/organisations/public-health-england","https://www.gov.uk/government/organisations/public-health-england")</f>
        <v>https://www.gov.uk/government/organisations/public-health-england</v>
      </c>
      <c r="K178" s="7" t="s">
        <v>599</v>
      </c>
      <c r="L178" s="7" t="s">
        <v>956</v>
      </c>
      <c r="M178" s="7" t="s">
        <v>42</v>
      </c>
      <c r="N178" s="15" t="s">
        <v>43</v>
      </c>
      <c r="O178" s="16">
        <v>21016</v>
      </c>
      <c r="P178" s="15" t="s">
        <v>52</v>
      </c>
      <c r="Q178" s="17" t="s">
        <v>957</v>
      </c>
      <c r="R178" s="7" t="s">
        <v>43</v>
      </c>
      <c r="S178" s="7" t="s">
        <v>43</v>
      </c>
      <c r="T178" s="7" t="s">
        <v>43</v>
      </c>
      <c r="U178" s="7" t="s">
        <v>54</v>
      </c>
      <c r="V178" s="7">
        <v>2017</v>
      </c>
      <c r="W178" s="26">
        <v>5446</v>
      </c>
      <c r="X178" s="18">
        <v>3925010</v>
      </c>
      <c r="Y178" s="18">
        <v>240437</v>
      </c>
      <c r="Z178" s="18">
        <f>(X178+Y178)</f>
        <v>4165447</v>
      </c>
      <c r="AA178" s="18">
        <v>998001</v>
      </c>
      <c r="AB178" s="18">
        <v>-70475</v>
      </c>
      <c r="AC178" s="18">
        <v>-2181</v>
      </c>
      <c r="AD178" s="7"/>
      <c r="AE178" s="7"/>
      <c r="AF178" s="7"/>
      <c r="AG178" s="7"/>
      <c r="AH178" s="7"/>
      <c r="AI178" s="7"/>
      <c r="AJ178" s="7"/>
      <c r="AK178" s="7"/>
      <c r="AL178" s="7"/>
      <c r="AM178" s="7"/>
      <c r="AN178" s="7"/>
      <c r="AO178" s="7"/>
      <c r="AP178" s="7"/>
      <c r="AQ178" s="7"/>
      <c r="AR178" s="7"/>
      <c r="AS178" s="7"/>
      <c r="AT178" s="7"/>
      <c r="AU178" s="7"/>
      <c r="AV178" s="7"/>
      <c r="AW178" s="7"/>
      <c r="AX178" s="7"/>
      <c r="AY178" s="7"/>
      <c r="AZ178" s="7"/>
    </row>
    <row r="179" spans="1:52" ht="63" customHeight="1">
      <c r="A179" s="20" t="s">
        <v>958</v>
      </c>
      <c r="B179" s="7">
        <v>1</v>
      </c>
      <c r="C179" s="7" t="s">
        <v>212</v>
      </c>
      <c r="D179" s="7" t="s">
        <v>108</v>
      </c>
      <c r="E179" s="7" t="s">
        <v>37</v>
      </c>
      <c r="F179" s="7" t="s">
        <v>959</v>
      </c>
      <c r="G179" s="7">
        <v>1986</v>
      </c>
      <c r="H179" s="7" t="s">
        <v>960</v>
      </c>
      <c r="I179" s="14" t="str">
        <f>HYPERLINK("mark.taylor@qeiicentre.london","mark.taylor@qeiicentre.london")</f>
        <v>mark.taylor@qeiicentre.london</v>
      </c>
      <c r="J179" s="14" t="str">
        <f>HYPERLINK("https://qeiicentre.london/","https://qeiicentre.london/")</f>
        <v>https://qeiicentre.london/</v>
      </c>
      <c r="K179" s="7" t="s">
        <v>961</v>
      </c>
      <c r="L179" s="13" t="s">
        <v>46</v>
      </c>
      <c r="M179" s="13" t="s">
        <v>46</v>
      </c>
      <c r="N179" s="17" t="s">
        <v>46</v>
      </c>
      <c r="O179" s="16" t="s">
        <v>46</v>
      </c>
      <c r="P179" s="17" t="s">
        <v>46</v>
      </c>
      <c r="Q179" s="17" t="s">
        <v>46</v>
      </c>
      <c r="R179" s="7" t="s">
        <v>37</v>
      </c>
      <c r="S179" s="7" t="s">
        <v>37</v>
      </c>
      <c r="T179" s="7" t="s">
        <v>43</v>
      </c>
      <c r="U179" s="7" t="s">
        <v>46</v>
      </c>
      <c r="V179" s="13">
        <v>2012</v>
      </c>
      <c r="W179" s="7">
        <v>50</v>
      </c>
      <c r="X179" s="18">
        <v>0</v>
      </c>
      <c r="Y179" s="18">
        <v>15899</v>
      </c>
      <c r="Z179" s="18">
        <f>IF(SUM(Y179)&lt;&gt;0,SUM(Y179),"")</f>
        <v>15899</v>
      </c>
      <c r="AA179" s="18">
        <v>14405</v>
      </c>
      <c r="AB179" s="18">
        <v>1658</v>
      </c>
      <c r="AC179" s="18">
        <v>0</v>
      </c>
      <c r="AD179" s="7"/>
      <c r="AE179" s="7"/>
      <c r="AF179" s="7"/>
      <c r="AG179" s="7"/>
      <c r="AH179" s="7"/>
      <c r="AI179" s="7"/>
      <c r="AJ179" s="7"/>
      <c r="AK179" s="7"/>
      <c r="AL179" s="7"/>
      <c r="AM179" s="7"/>
      <c r="AN179" s="7"/>
      <c r="AO179" s="7"/>
      <c r="AP179" s="7"/>
      <c r="AQ179" s="7"/>
      <c r="AR179" s="7"/>
      <c r="AS179" s="7"/>
      <c r="AT179" s="7"/>
      <c r="AU179" s="7"/>
      <c r="AV179" s="7"/>
      <c r="AW179" s="7"/>
      <c r="AX179" s="7"/>
      <c r="AY179" s="7"/>
      <c r="AZ179" s="7"/>
    </row>
    <row r="180" spans="1:52" ht="63" customHeight="1">
      <c r="A180" s="8" t="s">
        <v>962</v>
      </c>
      <c r="B180" s="13">
        <v>9</v>
      </c>
      <c r="C180" s="27" t="s">
        <v>467</v>
      </c>
      <c r="D180" s="7" t="s">
        <v>36</v>
      </c>
      <c r="E180" s="7" t="s">
        <v>37</v>
      </c>
      <c r="F180" s="13" t="s">
        <v>963</v>
      </c>
      <c r="G180" s="7">
        <v>1967</v>
      </c>
      <c r="H180" s="7"/>
      <c r="I180" s="14" t="str">
        <f>HYPERLINK("mailto:Commissioners@forestrycommission.gov.uk","Commissioners@forestrycommission.gov.uk")</f>
        <v>Commissioners@forestrycommission.gov.uk</v>
      </c>
      <c r="J180" s="14" t="str">
        <f>HYPERLINK("https://www.gov.uk/government/organisations/forestry-commission","https://www.gov.uk/government/organisations/forestry-commission")</f>
        <v>https://www.gov.uk/government/organisations/forestry-commission</v>
      </c>
      <c r="K180" s="7" t="s">
        <v>964</v>
      </c>
      <c r="L180" s="7" t="s">
        <v>92</v>
      </c>
      <c r="M180" s="7" t="s">
        <v>71</v>
      </c>
      <c r="N180" s="17" t="s">
        <v>56</v>
      </c>
      <c r="O180" s="16">
        <v>2701</v>
      </c>
      <c r="P180" s="15" t="s">
        <v>52</v>
      </c>
      <c r="Q180" s="37"/>
      <c r="R180" s="7" t="s">
        <v>37</v>
      </c>
      <c r="S180" s="7" t="s">
        <v>37</v>
      </c>
      <c r="T180" s="7" t="s">
        <v>37</v>
      </c>
      <c r="U180" s="7" t="s">
        <v>54</v>
      </c>
      <c r="V180" s="7">
        <v>2013</v>
      </c>
      <c r="W180" s="7">
        <v>0</v>
      </c>
      <c r="X180" s="18">
        <v>0</v>
      </c>
      <c r="Y180" s="18">
        <v>0</v>
      </c>
      <c r="Z180" s="18">
        <v>0</v>
      </c>
      <c r="AA180" s="18">
        <v>0</v>
      </c>
      <c r="AB180" s="18">
        <v>0</v>
      </c>
      <c r="AC180" s="18">
        <v>0</v>
      </c>
      <c r="AD180" s="7"/>
      <c r="AE180" s="7"/>
      <c r="AF180" s="7"/>
      <c r="AG180" s="7"/>
      <c r="AH180" s="7"/>
      <c r="AI180" s="7"/>
      <c r="AJ180" s="7"/>
      <c r="AK180" s="7"/>
      <c r="AL180" s="7"/>
      <c r="AM180" s="7"/>
      <c r="AN180" s="7"/>
      <c r="AO180" s="7"/>
      <c r="AP180" s="7"/>
      <c r="AQ180" s="7"/>
      <c r="AR180" s="7"/>
      <c r="AS180" s="7"/>
      <c r="AT180" s="7"/>
      <c r="AU180" s="7"/>
      <c r="AV180" s="7"/>
      <c r="AW180" s="7"/>
      <c r="AX180" s="7"/>
      <c r="AY180" s="7"/>
      <c r="AZ180" s="7"/>
    </row>
    <row r="181" spans="1:52" ht="98.25" customHeight="1">
      <c r="A181" s="20" t="s">
        <v>965</v>
      </c>
      <c r="B181" s="7">
        <v>1</v>
      </c>
      <c r="C181" s="7" t="s">
        <v>212</v>
      </c>
      <c r="D181" s="7" t="s">
        <v>95</v>
      </c>
      <c r="E181" s="7" t="s">
        <v>43</v>
      </c>
      <c r="F181" s="7" t="s">
        <v>966</v>
      </c>
      <c r="G181" s="7">
        <v>2018</v>
      </c>
      <c r="H181" s="7"/>
      <c r="I181" s="14" t="str">
        <f>HYPERLINK("mailto:enquiries@rsh.gov.uk","enquiries@rsh.gov.uk")</f>
        <v>enquiries@rsh.gov.uk</v>
      </c>
      <c r="J181" s="14" t="str">
        <f>HYPERLINK("https://www.gov.uk/government/organisations/regulator-of-social-housing","https://www.gov.uk/government/organisations/regulator-of-social-housing")</f>
        <v>https://www.gov.uk/government/organisations/regulator-of-social-housing</v>
      </c>
      <c r="K181" s="7" t="s">
        <v>967</v>
      </c>
      <c r="L181" s="27" t="s">
        <v>968</v>
      </c>
      <c r="M181" s="13" t="s">
        <v>42</v>
      </c>
      <c r="N181" s="15" t="s">
        <v>43</v>
      </c>
      <c r="O181" s="16">
        <v>65000</v>
      </c>
      <c r="P181" s="15" t="s">
        <v>52</v>
      </c>
      <c r="Q181" s="17" t="s">
        <v>105</v>
      </c>
      <c r="R181" s="7" t="s">
        <v>37</v>
      </c>
      <c r="S181" s="7" t="s">
        <v>43</v>
      </c>
      <c r="T181" s="7" t="s">
        <v>43</v>
      </c>
      <c r="U181" s="7" t="s">
        <v>46</v>
      </c>
      <c r="V181" s="7"/>
      <c r="W181" s="7">
        <v>150</v>
      </c>
      <c r="X181" s="18">
        <v>5872</v>
      </c>
      <c r="Y181" s="18">
        <v>12751</v>
      </c>
      <c r="Z181" s="18">
        <f>(X181+Y181)</f>
        <v>18623</v>
      </c>
      <c r="AA181" s="18">
        <v>17385</v>
      </c>
      <c r="AB181" s="18">
        <v>1238</v>
      </c>
      <c r="AC181" s="18">
        <v>2436</v>
      </c>
      <c r="AD181" s="7"/>
      <c r="AE181" s="7" t="s">
        <v>185</v>
      </c>
      <c r="AF181" s="7"/>
      <c r="AG181" s="7"/>
      <c r="AH181" s="7"/>
      <c r="AI181" s="7"/>
      <c r="AJ181" s="7"/>
      <c r="AK181" s="7"/>
      <c r="AL181" s="7"/>
      <c r="AM181" s="7"/>
      <c r="AN181" s="7"/>
      <c r="AO181" s="7"/>
      <c r="AP181" s="7"/>
      <c r="AQ181" s="7"/>
      <c r="AR181" s="7"/>
      <c r="AS181" s="7"/>
      <c r="AT181" s="7"/>
      <c r="AU181" s="7"/>
      <c r="AV181" s="7"/>
      <c r="AW181" s="7"/>
      <c r="AX181" s="7"/>
      <c r="AY181" s="7"/>
      <c r="AZ181" s="7"/>
    </row>
    <row r="182" spans="1:52" ht="63" customHeight="1">
      <c r="A182" s="20" t="s">
        <v>969</v>
      </c>
      <c r="B182" s="7">
        <v>1</v>
      </c>
      <c r="C182" s="7" t="s">
        <v>94</v>
      </c>
      <c r="D182" s="7" t="s">
        <v>95</v>
      </c>
      <c r="E182" s="7" t="s">
        <v>63</v>
      </c>
      <c r="F182" s="7" t="s">
        <v>970</v>
      </c>
      <c r="G182" s="7">
        <v>2009</v>
      </c>
      <c r="H182" s="7"/>
      <c r="I182" s="14" t="str">
        <f>HYPERLINK("mailto:regulatoryenquiries@rpc.gov.uk","regulatoryenquiries@rpc.gov.uk")</f>
        <v>regulatoryenquiries@rpc.gov.uk</v>
      </c>
      <c r="J182" s="14" t="str">
        <f>HYPERLINK("https://www.gov.uk/government/organisations/regulatory-policy-committee","https://www.gov.uk/government/organisations/regulatory-policy-committee")</f>
        <v>https://www.gov.uk/government/organisations/regulatory-policy-committee</v>
      </c>
      <c r="K182" s="7" t="s">
        <v>97</v>
      </c>
      <c r="L182" s="7" t="s">
        <v>971</v>
      </c>
      <c r="M182" s="7" t="s">
        <v>42</v>
      </c>
      <c r="N182" s="15" t="s">
        <v>56</v>
      </c>
      <c r="O182" s="16">
        <v>500</v>
      </c>
      <c r="P182" s="15" t="s">
        <v>44</v>
      </c>
      <c r="Q182" s="15" t="s">
        <v>972</v>
      </c>
      <c r="R182" s="7" t="s">
        <v>63</v>
      </c>
      <c r="S182" s="7" t="s">
        <v>56</v>
      </c>
      <c r="T182" s="7" t="s">
        <v>56</v>
      </c>
      <c r="U182" s="7" t="s">
        <v>46</v>
      </c>
      <c r="V182" s="7">
        <v>2014</v>
      </c>
      <c r="W182" s="7">
        <v>15</v>
      </c>
      <c r="X182" s="18">
        <v>882.26</v>
      </c>
      <c r="Y182" s="18">
        <v>0</v>
      </c>
      <c r="Z182" s="18">
        <v>882.26</v>
      </c>
      <c r="AA182" s="18">
        <v>750.61300000000006</v>
      </c>
      <c r="AB182" s="18">
        <v>0</v>
      </c>
      <c r="AC182" s="18">
        <v>0</v>
      </c>
      <c r="AD182" s="7" t="s">
        <v>185</v>
      </c>
      <c r="AE182" s="7"/>
      <c r="AF182" s="7"/>
      <c r="AG182" s="7"/>
      <c r="AH182" s="7"/>
      <c r="AI182" s="7"/>
      <c r="AJ182" s="7"/>
      <c r="AK182" s="7"/>
      <c r="AL182" s="7"/>
      <c r="AM182" s="7"/>
      <c r="AN182" s="7"/>
      <c r="AO182" s="7"/>
      <c r="AP182" s="7"/>
      <c r="AQ182" s="7"/>
      <c r="AR182" s="7"/>
      <c r="AS182" s="7"/>
      <c r="AT182" s="7"/>
      <c r="AU182" s="7"/>
      <c r="AV182" s="7"/>
      <c r="AW182" s="7"/>
      <c r="AX182" s="7"/>
      <c r="AY182" s="7"/>
      <c r="AZ182" s="7"/>
    </row>
    <row r="183" spans="1:52" ht="63" customHeight="1">
      <c r="A183" s="20" t="s">
        <v>973</v>
      </c>
      <c r="B183" s="7">
        <v>1</v>
      </c>
      <c r="C183" s="7" t="s">
        <v>58</v>
      </c>
      <c r="D183" s="7" t="s">
        <v>36</v>
      </c>
      <c r="E183" s="7" t="s">
        <v>37</v>
      </c>
      <c r="F183" s="7" t="s">
        <v>974</v>
      </c>
      <c r="G183" s="7">
        <v>1971</v>
      </c>
      <c r="H183" s="7"/>
      <c r="I183" s="14" t="str">
        <f>HYPERLINK("mailto:Rimple.Rana@beis.gov.uk","Rimple.Rana@beis.gov.uk")</f>
        <v>Rimple.Rana@beis.gov.uk</v>
      </c>
      <c r="J183" s="14" t="str">
        <f>HYPERLINK("https://www.gov.uk/government/organisations/review-body-on-doctors-and-dentists-remuneration","https://www.gov.uk/government/organisations/review-body-on-doctors-and-dentists-remuneration")</f>
        <v>https://www.gov.uk/government/organisations/review-body-on-doctors-and-dentists-remuneration</v>
      </c>
      <c r="K183" s="7" t="s">
        <v>526</v>
      </c>
      <c r="L183" s="7" t="s">
        <v>975</v>
      </c>
      <c r="M183" s="7" t="s">
        <v>42</v>
      </c>
      <c r="N183" s="15" t="s">
        <v>43</v>
      </c>
      <c r="O183" s="16">
        <v>350</v>
      </c>
      <c r="P183" s="15" t="s">
        <v>44</v>
      </c>
      <c r="Q183" s="15" t="s">
        <v>845</v>
      </c>
      <c r="R183" s="7" t="s">
        <v>37</v>
      </c>
      <c r="S183" s="7" t="s">
        <v>37</v>
      </c>
      <c r="T183" s="7" t="s">
        <v>43</v>
      </c>
      <c r="U183" s="7"/>
      <c r="V183" s="13">
        <v>2015</v>
      </c>
      <c r="W183" s="7">
        <v>3</v>
      </c>
      <c r="X183" s="18">
        <v>0</v>
      </c>
      <c r="Y183" s="18">
        <v>0</v>
      </c>
      <c r="Z183" s="18">
        <v>0</v>
      </c>
      <c r="AA183" s="18">
        <v>43.195999999999998</v>
      </c>
      <c r="AB183" s="18">
        <v>0</v>
      </c>
      <c r="AC183" s="18">
        <v>0</v>
      </c>
      <c r="AD183" s="7"/>
      <c r="AE183" s="7" t="s">
        <v>185</v>
      </c>
      <c r="AF183" s="7"/>
      <c r="AG183" s="7"/>
      <c r="AH183" s="7"/>
      <c r="AI183" s="7"/>
      <c r="AJ183" s="7"/>
      <c r="AK183" s="7"/>
      <c r="AL183" s="7"/>
      <c r="AM183" s="7"/>
      <c r="AN183" s="7"/>
      <c r="AO183" s="7"/>
      <c r="AP183" s="7"/>
      <c r="AQ183" s="7"/>
      <c r="AR183" s="7"/>
      <c r="AS183" s="7"/>
      <c r="AT183" s="7"/>
      <c r="AU183" s="7"/>
      <c r="AV183" s="7"/>
      <c r="AW183" s="7"/>
      <c r="AX183" s="7"/>
      <c r="AY183" s="7"/>
      <c r="AZ183" s="7"/>
    </row>
    <row r="184" spans="1:52" ht="63" customHeight="1">
      <c r="A184" s="48" t="s">
        <v>976</v>
      </c>
      <c r="B184" s="7">
        <v>1</v>
      </c>
      <c r="C184" s="7" t="s">
        <v>122</v>
      </c>
      <c r="D184" s="7" t="s">
        <v>36</v>
      </c>
      <c r="E184" s="7" t="s">
        <v>37</v>
      </c>
      <c r="F184" s="7" t="s">
        <v>977</v>
      </c>
      <c r="G184" s="7">
        <v>1952</v>
      </c>
      <c r="H184" s="7"/>
      <c r="I184" s="14" t="str">
        <f>HYPERLINK("mailto:peter.rowlands@artscouncil.org.uk","peter.rowlands@artscouncil.org.uk")</f>
        <v>peter.rowlands@artscouncil.org.uk</v>
      </c>
      <c r="J184" s="14" t="s">
        <v>978</v>
      </c>
      <c r="K184" s="49" t="s">
        <v>979</v>
      </c>
      <c r="L184" s="7" t="s">
        <v>980</v>
      </c>
      <c r="M184" s="7" t="s">
        <v>42</v>
      </c>
      <c r="N184" s="15" t="s">
        <v>37</v>
      </c>
      <c r="O184" s="16"/>
      <c r="P184" s="15"/>
      <c r="Q184" s="13" t="s">
        <v>981</v>
      </c>
      <c r="R184" s="7" t="s">
        <v>37</v>
      </c>
      <c r="S184" s="7" t="s">
        <v>43</v>
      </c>
      <c r="T184" s="7" t="s">
        <v>43</v>
      </c>
      <c r="U184" s="7" t="s">
        <v>54</v>
      </c>
      <c r="V184" s="7">
        <v>2013</v>
      </c>
      <c r="W184" s="13">
        <v>0</v>
      </c>
      <c r="X184" s="18">
        <v>0</v>
      </c>
      <c r="Y184" s="18">
        <v>0</v>
      </c>
      <c r="Z184" s="18">
        <f t="shared" ref="Z184:Z186" si="8">(X184+Y184)</f>
        <v>0</v>
      </c>
      <c r="AA184" s="18">
        <v>0</v>
      </c>
      <c r="AB184" s="18">
        <v>0</v>
      </c>
      <c r="AC184" s="18">
        <v>0</v>
      </c>
      <c r="AD184" s="7"/>
      <c r="AE184" s="7"/>
      <c r="AF184" s="7"/>
      <c r="AG184" s="7"/>
      <c r="AH184" s="7"/>
      <c r="AI184" s="7"/>
      <c r="AJ184" s="7"/>
      <c r="AK184" s="7"/>
      <c r="AL184" s="7"/>
      <c r="AM184" s="7"/>
      <c r="AN184" s="7"/>
      <c r="AO184" s="7"/>
      <c r="AP184" s="7"/>
      <c r="AQ184" s="7"/>
      <c r="AR184" s="7"/>
      <c r="AS184" s="7"/>
      <c r="AT184" s="7"/>
      <c r="AU184" s="7"/>
      <c r="AV184" s="7"/>
      <c r="AW184" s="7"/>
      <c r="AX184" s="7"/>
      <c r="AY184" s="7"/>
      <c r="AZ184" s="7"/>
    </row>
    <row r="185" spans="1:52" ht="63" customHeight="1">
      <c r="A185" s="20" t="s">
        <v>982</v>
      </c>
      <c r="B185" s="7">
        <v>1</v>
      </c>
      <c r="C185" s="7" t="s">
        <v>65</v>
      </c>
      <c r="D185" s="7" t="s">
        <v>95</v>
      </c>
      <c r="E185" s="7" t="s">
        <v>37</v>
      </c>
      <c r="F185" s="7" t="s">
        <v>983</v>
      </c>
      <c r="G185" s="7">
        <v>1963</v>
      </c>
      <c r="H185" s="7"/>
      <c r="I185" s="14" t="str">
        <f>HYPERLINK("mailto:vicky.bant517@mod.gov.uk","vicky.bant517@mod.gov.uk")</f>
        <v>vicky.bant517@mod.gov.uk</v>
      </c>
      <c r="J185" s="14" t="str">
        <f>HYPERLINK("https://www.rafmuseum.org.uk","https://www.rafmuseum.org.uk")</f>
        <v>https://www.rafmuseum.org.uk</v>
      </c>
      <c r="K185" s="7" t="s">
        <v>984</v>
      </c>
      <c r="L185" s="15" t="s">
        <v>985</v>
      </c>
      <c r="M185" s="7" t="s">
        <v>42</v>
      </c>
      <c r="N185" s="15" t="s">
        <v>37</v>
      </c>
      <c r="O185" s="16"/>
      <c r="P185" s="15"/>
      <c r="Q185" s="15" t="s">
        <v>986</v>
      </c>
      <c r="R185" s="7" t="s">
        <v>37</v>
      </c>
      <c r="S185" s="7" t="s">
        <v>43</v>
      </c>
      <c r="T185" s="7" t="s">
        <v>43</v>
      </c>
      <c r="U185" s="7"/>
      <c r="V185" s="7">
        <v>2017</v>
      </c>
      <c r="W185" s="7">
        <v>174</v>
      </c>
      <c r="X185" s="18">
        <v>9275</v>
      </c>
      <c r="Y185" s="18">
        <v>8287</v>
      </c>
      <c r="Z185" s="18">
        <f t="shared" si="8"/>
        <v>17562</v>
      </c>
      <c r="AA185" s="18">
        <v>13538</v>
      </c>
      <c r="AB185" s="18">
        <v>696</v>
      </c>
      <c r="AC185" s="18">
        <v>0</v>
      </c>
      <c r="AD185" s="7"/>
      <c r="AE185" s="7" t="s">
        <v>185</v>
      </c>
      <c r="AF185" s="7"/>
      <c r="AG185" s="7"/>
      <c r="AH185" s="7"/>
      <c r="AI185" s="7"/>
      <c r="AJ185" s="7"/>
      <c r="AK185" s="7"/>
      <c r="AL185" s="7"/>
      <c r="AM185" s="7"/>
      <c r="AN185" s="7"/>
      <c r="AO185" s="7"/>
      <c r="AP185" s="7"/>
      <c r="AQ185" s="7"/>
      <c r="AR185" s="7"/>
      <c r="AS185" s="7"/>
      <c r="AT185" s="7"/>
      <c r="AU185" s="7"/>
      <c r="AV185" s="7"/>
      <c r="AW185" s="7"/>
      <c r="AX185" s="7"/>
      <c r="AY185" s="7"/>
      <c r="AZ185" s="7"/>
    </row>
    <row r="186" spans="1:52" ht="63" customHeight="1">
      <c r="A186" s="20" t="s">
        <v>987</v>
      </c>
      <c r="B186" s="7">
        <v>1</v>
      </c>
      <c r="C186" s="7" t="s">
        <v>122</v>
      </c>
      <c r="D186" s="7" t="s">
        <v>95</v>
      </c>
      <c r="E186" s="7" t="s">
        <v>37</v>
      </c>
      <c r="F186" s="7" t="s">
        <v>988</v>
      </c>
      <c r="G186" s="7">
        <v>1660</v>
      </c>
      <c r="H186" s="7"/>
      <c r="I186" s="28" t="str">
        <f>HYPERLINK("mailto:enquiries@armouries.org.uk","enquiries@armouries.org.uk")</f>
        <v>enquiries@armouries.org.uk</v>
      </c>
      <c r="J186" s="14" t="str">
        <f>HYPERLINK("https://royalarmouries.org/","https://royalarmouries.org/")</f>
        <v>https://royalarmouries.org/</v>
      </c>
      <c r="K186" s="49" t="s">
        <v>979</v>
      </c>
      <c r="L186" s="7" t="s">
        <v>989</v>
      </c>
      <c r="M186" s="13" t="s">
        <v>42</v>
      </c>
      <c r="N186" s="15" t="s">
        <v>37</v>
      </c>
      <c r="O186" s="16"/>
      <c r="P186" s="15"/>
      <c r="Q186" s="13" t="s">
        <v>990</v>
      </c>
      <c r="R186" s="7" t="s">
        <v>37</v>
      </c>
      <c r="S186" s="7" t="s">
        <v>43</v>
      </c>
      <c r="T186" s="7" t="s">
        <v>43</v>
      </c>
      <c r="U186" s="7" t="s">
        <v>54</v>
      </c>
      <c r="V186" s="7">
        <v>2017</v>
      </c>
      <c r="W186" s="13">
        <v>141.80000000000001</v>
      </c>
      <c r="X186" s="18">
        <v>0</v>
      </c>
      <c r="Y186" s="18">
        <v>0</v>
      </c>
      <c r="Z186" s="18">
        <f t="shared" si="8"/>
        <v>0</v>
      </c>
      <c r="AA186" s="18">
        <v>0</v>
      </c>
      <c r="AB186" s="18">
        <v>0</v>
      </c>
      <c r="AC186" s="18">
        <v>0</v>
      </c>
      <c r="AD186" s="7"/>
      <c r="AE186" s="7"/>
      <c r="AF186" s="7"/>
      <c r="AG186" s="7"/>
      <c r="AH186" s="7"/>
      <c r="AI186" s="7"/>
      <c r="AJ186" s="7"/>
      <c r="AK186" s="7"/>
      <c r="AL186" s="7"/>
      <c r="AM186" s="7"/>
      <c r="AN186" s="7"/>
      <c r="AO186" s="7"/>
      <c r="AP186" s="7"/>
      <c r="AQ186" s="7"/>
      <c r="AR186" s="7"/>
      <c r="AS186" s="7"/>
      <c r="AT186" s="7"/>
      <c r="AU186" s="7"/>
      <c r="AV186" s="7"/>
      <c r="AW186" s="7"/>
      <c r="AX186" s="7"/>
      <c r="AY186" s="7"/>
      <c r="AZ186" s="7"/>
    </row>
    <row r="187" spans="1:52" ht="63" customHeight="1">
      <c r="A187" s="20" t="s">
        <v>991</v>
      </c>
      <c r="B187" s="7">
        <v>1</v>
      </c>
      <c r="C187" s="7" t="s">
        <v>79</v>
      </c>
      <c r="D187" s="7" t="s">
        <v>95</v>
      </c>
      <c r="E187" s="7" t="s">
        <v>37</v>
      </c>
      <c r="F187" s="7" t="s">
        <v>992</v>
      </c>
      <c r="G187" s="7">
        <v>1983</v>
      </c>
      <c r="H187" s="7"/>
      <c r="I187" s="14" t="str">
        <f>HYPERLINK("mailto:info@kew.org","info@kew.org")</f>
        <v>info@kew.org</v>
      </c>
      <c r="J187" s="14" t="str">
        <f>HYPERLINK("http://www.kew.org/ about-kew/index.htm","http://www.kew.org/
about-kew/index.htm")</f>
        <v>http://www.kew.org/
about-kew/index.htm</v>
      </c>
      <c r="K187" s="7" t="s">
        <v>993</v>
      </c>
      <c r="L187" s="7" t="s">
        <v>994</v>
      </c>
      <c r="M187" s="13" t="s">
        <v>42</v>
      </c>
      <c r="N187" s="15" t="s">
        <v>37</v>
      </c>
      <c r="O187" s="16"/>
      <c r="P187" s="15"/>
      <c r="Q187" s="17" t="s">
        <v>995</v>
      </c>
      <c r="R187" s="7" t="s">
        <v>37</v>
      </c>
      <c r="S187" s="7" t="s">
        <v>37</v>
      </c>
      <c r="T187" s="7" t="s">
        <v>43</v>
      </c>
      <c r="U187" s="7" t="s">
        <v>54</v>
      </c>
      <c r="V187" s="25"/>
      <c r="W187" s="7">
        <v>879</v>
      </c>
      <c r="X187" s="18">
        <v>35528</v>
      </c>
      <c r="Y187" s="18">
        <v>56203</v>
      </c>
      <c r="Z187" s="18">
        <v>91731</v>
      </c>
      <c r="AA187" s="18">
        <v>74117</v>
      </c>
      <c r="AB187" s="18">
        <v>12847</v>
      </c>
      <c r="AC187" s="18">
        <v>0</v>
      </c>
      <c r="AD187" s="7"/>
      <c r="AE187" s="7"/>
      <c r="AF187" s="7"/>
      <c r="AG187" s="7"/>
      <c r="AH187" s="7"/>
      <c r="AI187" s="7"/>
      <c r="AJ187" s="7"/>
      <c r="AK187" s="7"/>
      <c r="AL187" s="7"/>
      <c r="AM187" s="7"/>
      <c r="AN187" s="7"/>
      <c r="AO187" s="7"/>
      <c r="AP187" s="7"/>
      <c r="AQ187" s="7"/>
      <c r="AR187" s="7"/>
      <c r="AS187" s="7"/>
      <c r="AT187" s="7"/>
      <c r="AU187" s="7"/>
      <c r="AV187" s="7"/>
      <c r="AW187" s="7"/>
      <c r="AX187" s="7"/>
      <c r="AY187" s="7"/>
      <c r="AZ187" s="7"/>
    </row>
    <row r="188" spans="1:52" ht="63" customHeight="1">
      <c r="A188" s="20" t="s">
        <v>996</v>
      </c>
      <c r="B188" s="7">
        <v>1</v>
      </c>
      <c r="C188" s="7" t="s">
        <v>275</v>
      </c>
      <c r="D188" s="7" t="s">
        <v>36</v>
      </c>
      <c r="E188" s="7" t="s">
        <v>37</v>
      </c>
      <c r="F188" s="7" t="s">
        <v>997</v>
      </c>
      <c r="G188" s="7">
        <v>1922</v>
      </c>
      <c r="H188" s="7"/>
      <c r="I188" s="14" t="s">
        <v>998</v>
      </c>
      <c r="J188" s="14" t="str">
        <f>HYPERLINK("http://www.royalmintmuseum.org.uk/about-us/royal-mint-advisory-committee/index.html","http://www.royalmintmuseum.org.uk/about-us/royal-mint-advisory-committee/index.html")</f>
        <v>http://www.royalmintmuseum.org.uk/about-us/royal-mint-advisory-committee/index.html</v>
      </c>
      <c r="K188" s="7" t="s">
        <v>999</v>
      </c>
      <c r="L188" s="35" t="s">
        <v>1000</v>
      </c>
      <c r="M188" s="7" t="s">
        <v>42</v>
      </c>
      <c r="N188" s="15" t="s">
        <v>63</v>
      </c>
      <c r="O188" s="16"/>
      <c r="P188" s="15"/>
      <c r="Q188" s="17" t="s">
        <v>1001</v>
      </c>
      <c r="R188" s="7" t="s">
        <v>63</v>
      </c>
      <c r="S188" s="7" t="s">
        <v>63</v>
      </c>
      <c r="T188" s="7" t="s">
        <v>43</v>
      </c>
      <c r="U188" s="7" t="s">
        <v>54</v>
      </c>
      <c r="V188" s="7">
        <v>2014</v>
      </c>
      <c r="W188" s="7">
        <v>0</v>
      </c>
      <c r="X188" s="18">
        <v>0</v>
      </c>
      <c r="Y188" s="18">
        <v>0</v>
      </c>
      <c r="Z188" s="18">
        <v>0</v>
      </c>
      <c r="AA188" s="18">
        <v>0</v>
      </c>
      <c r="AB188" s="18">
        <v>0</v>
      </c>
      <c r="AC188" s="18">
        <v>0</v>
      </c>
      <c r="AD188" s="7"/>
      <c r="AE188" s="7"/>
      <c r="AF188" s="7"/>
      <c r="AG188" s="7"/>
      <c r="AH188" s="7"/>
      <c r="AI188" s="7"/>
      <c r="AJ188" s="7"/>
      <c r="AK188" s="7"/>
      <c r="AL188" s="7"/>
      <c r="AM188" s="7"/>
      <c r="AN188" s="7"/>
      <c r="AO188" s="7"/>
      <c r="AP188" s="7"/>
      <c r="AQ188" s="7"/>
      <c r="AR188" s="7"/>
      <c r="AS188" s="7"/>
      <c r="AT188" s="7"/>
      <c r="AU188" s="7"/>
      <c r="AV188" s="7"/>
      <c r="AW188" s="7"/>
      <c r="AX188" s="7"/>
      <c r="AY188" s="7"/>
      <c r="AZ188" s="7"/>
    </row>
    <row r="189" spans="1:52" ht="63" customHeight="1">
      <c r="A189" s="20" t="s">
        <v>1002</v>
      </c>
      <c r="B189" s="7">
        <v>1</v>
      </c>
      <c r="C189" s="7" t="s">
        <v>122</v>
      </c>
      <c r="D189" s="7" t="s">
        <v>95</v>
      </c>
      <c r="E189" s="7" t="s">
        <v>37</v>
      </c>
      <c r="F189" s="7" t="s">
        <v>1003</v>
      </c>
      <c r="G189" s="7">
        <v>1937</v>
      </c>
      <c r="H189" s="7"/>
      <c r="I189" s="14" t="str">
        <f>HYPERLINK("mailto:RMGEnquiries@rmg.co.uk","RMGEnquiries@rmg.co.uk")</f>
        <v>RMGEnquiries@rmg.co.uk</v>
      </c>
      <c r="J189" s="14" t="str">
        <f>HYPERLINK("https://www.rmg.co.uk/","www,rmg.co.uk")</f>
        <v>www,rmg.co.uk</v>
      </c>
      <c r="K189" s="13" t="s">
        <v>979</v>
      </c>
      <c r="L189" s="7" t="s">
        <v>1004</v>
      </c>
      <c r="M189" s="13" t="s">
        <v>42</v>
      </c>
      <c r="N189" s="15" t="s">
        <v>37</v>
      </c>
      <c r="O189" s="16"/>
      <c r="P189" s="15"/>
      <c r="Q189" s="13" t="s">
        <v>1005</v>
      </c>
      <c r="R189" s="7" t="s">
        <v>37</v>
      </c>
      <c r="S189" s="7" t="s">
        <v>43</v>
      </c>
      <c r="T189" s="7" t="s">
        <v>43</v>
      </c>
      <c r="U189" s="7" t="s">
        <v>54</v>
      </c>
      <c r="V189" s="7">
        <v>2017</v>
      </c>
      <c r="W189" s="7">
        <v>488.1</v>
      </c>
      <c r="X189" s="18">
        <v>15870</v>
      </c>
      <c r="Y189" s="18">
        <v>16256</v>
      </c>
      <c r="Z189" s="18">
        <f>(X189+Y189)</f>
        <v>32126</v>
      </c>
      <c r="AA189" s="18">
        <v>15268</v>
      </c>
      <c r="AB189" s="18">
        <v>3818</v>
      </c>
      <c r="AC189" s="18">
        <v>2849</v>
      </c>
      <c r="AD189" s="7"/>
      <c r="AE189" s="7"/>
      <c r="AF189" s="7"/>
      <c r="AG189" s="7"/>
      <c r="AH189" s="7"/>
      <c r="AI189" s="7"/>
      <c r="AJ189" s="7"/>
      <c r="AK189" s="7"/>
      <c r="AL189" s="7"/>
      <c r="AM189" s="7"/>
      <c r="AN189" s="7"/>
      <c r="AO189" s="7"/>
      <c r="AP189" s="7"/>
      <c r="AQ189" s="7"/>
      <c r="AR189" s="7"/>
      <c r="AS189" s="7"/>
      <c r="AT189" s="7"/>
      <c r="AU189" s="7"/>
      <c r="AV189" s="7"/>
      <c r="AW189" s="7"/>
      <c r="AX189" s="7"/>
      <c r="AY189" s="7"/>
      <c r="AZ189" s="7"/>
    </row>
    <row r="190" spans="1:52" ht="63" customHeight="1">
      <c r="A190" s="20" t="s">
        <v>1006</v>
      </c>
      <c r="B190" s="7">
        <v>1</v>
      </c>
      <c r="C190" s="7" t="s">
        <v>79</v>
      </c>
      <c r="D190" s="7" t="s">
        <v>108</v>
      </c>
      <c r="E190" s="7" t="s">
        <v>37</v>
      </c>
      <c r="F190" s="7" t="s">
        <v>1007</v>
      </c>
      <c r="G190" s="7">
        <v>2001</v>
      </c>
      <c r="H190" s="7"/>
      <c r="I190" s="14" t="str">
        <f>HYPERLINK("mailto:ruralpayments@defra.gov.uk","ruralpayments@defra.gov.uk")</f>
        <v>ruralpayments@defra.gov.uk</v>
      </c>
      <c r="J190" s="14" t="str">
        <f>HYPERLINK("https://www.gov.uk/government/organisations/ rural-payments-agency","https://www.gov.uk/government/organisations/
rural-payments-agency")</f>
        <v>https://www.gov.uk/government/organisations/
rural-payments-agency</v>
      </c>
      <c r="K190" s="7" t="s">
        <v>1008</v>
      </c>
      <c r="L190" s="7" t="s">
        <v>1009</v>
      </c>
      <c r="M190" s="7" t="s">
        <v>42</v>
      </c>
      <c r="N190" s="15" t="s">
        <v>43</v>
      </c>
      <c r="O190" s="16">
        <v>9000</v>
      </c>
      <c r="P190" s="15" t="s">
        <v>52</v>
      </c>
      <c r="Q190" s="17" t="s">
        <v>1010</v>
      </c>
      <c r="R190" s="7" t="s">
        <v>37</v>
      </c>
      <c r="S190" s="7" t="s">
        <v>37</v>
      </c>
      <c r="T190" s="7" t="s">
        <v>43</v>
      </c>
      <c r="U190" s="7" t="s">
        <v>54</v>
      </c>
      <c r="V190" s="7">
        <v>2010</v>
      </c>
      <c r="W190" s="26">
        <v>2040</v>
      </c>
      <c r="X190" s="18">
        <v>445000</v>
      </c>
      <c r="Y190" s="18">
        <v>2040360</v>
      </c>
      <c r="Z190" s="18">
        <v>2485360</v>
      </c>
      <c r="AA190" s="18">
        <v>2113167</v>
      </c>
      <c r="AB190" s="18">
        <v>-3353</v>
      </c>
      <c r="AC190" s="18">
        <v>-1</v>
      </c>
      <c r="AD190" s="7"/>
      <c r="AE190" s="7"/>
      <c r="AF190" s="7"/>
      <c r="AG190" s="7"/>
      <c r="AH190" s="7"/>
      <c r="AI190" s="7"/>
      <c r="AJ190" s="7"/>
      <c r="AK190" s="7"/>
      <c r="AL190" s="7"/>
      <c r="AM190" s="7"/>
      <c r="AN190" s="7"/>
      <c r="AO190" s="7"/>
      <c r="AP190" s="7"/>
      <c r="AQ190" s="7"/>
      <c r="AR190" s="7"/>
      <c r="AS190" s="7"/>
      <c r="AT190" s="7"/>
      <c r="AU190" s="7"/>
      <c r="AV190" s="7"/>
      <c r="AW190" s="7"/>
      <c r="AX190" s="7"/>
      <c r="AY190" s="7"/>
      <c r="AZ190" s="7"/>
    </row>
    <row r="191" spans="1:52" ht="63" customHeight="1">
      <c r="A191" s="12" t="s">
        <v>1011</v>
      </c>
      <c r="B191" s="7">
        <v>1</v>
      </c>
      <c r="C191" s="7" t="s">
        <v>334</v>
      </c>
      <c r="D191" s="7" t="s">
        <v>36</v>
      </c>
      <c r="E191" s="13" t="s">
        <v>63</v>
      </c>
      <c r="F191" s="7" t="s">
        <v>1012</v>
      </c>
      <c r="G191" s="7">
        <v>1991</v>
      </c>
      <c r="H191" s="7"/>
      <c r="I191" s="40" t="s">
        <v>1013</v>
      </c>
      <c r="J191" s="14" t="str">
        <f>HYPERLINK("https://www.gov.uk/government/organisations/school-teachers-review-body","https://www.gov.uk/government/organisations/school-teachers-review-body")</f>
        <v>https://www.gov.uk/government/organisations/school-teachers-review-body</v>
      </c>
      <c r="K191" s="7" t="s">
        <v>1014</v>
      </c>
      <c r="L191" s="13" t="s">
        <v>1015</v>
      </c>
      <c r="M191" s="7" t="s">
        <v>42</v>
      </c>
      <c r="N191" s="15" t="s">
        <v>43</v>
      </c>
      <c r="O191" s="16">
        <v>350</v>
      </c>
      <c r="P191" s="15" t="s">
        <v>44</v>
      </c>
      <c r="Q191" s="13" t="s">
        <v>560</v>
      </c>
      <c r="R191" s="7" t="s">
        <v>37</v>
      </c>
      <c r="S191" s="7" t="s">
        <v>37</v>
      </c>
      <c r="T191" s="7" t="s">
        <v>43</v>
      </c>
      <c r="U191" s="7" t="s">
        <v>46</v>
      </c>
      <c r="V191" s="13">
        <v>2013</v>
      </c>
      <c r="W191" s="6">
        <v>9</v>
      </c>
      <c r="X191" s="18">
        <v>0</v>
      </c>
      <c r="Y191" s="18">
        <v>48.5</v>
      </c>
      <c r="Z191" s="18">
        <f>IF(SUM(Y191)&lt;&gt;0,SUM(Y191),"")</f>
        <v>48.5</v>
      </c>
      <c r="AA191" s="18">
        <v>0</v>
      </c>
      <c r="AB191" s="18">
        <v>0</v>
      </c>
      <c r="AC191" s="18">
        <v>0</v>
      </c>
      <c r="AD191" s="7"/>
      <c r="AE191" s="7" t="s">
        <v>185</v>
      </c>
      <c r="AF191" s="7"/>
      <c r="AG191" s="7"/>
      <c r="AH191" s="7"/>
      <c r="AI191" s="7"/>
      <c r="AJ191" s="7"/>
      <c r="AK191" s="7"/>
      <c r="AL191" s="7"/>
      <c r="AM191" s="7"/>
      <c r="AN191" s="7"/>
      <c r="AO191" s="7"/>
      <c r="AP191" s="7"/>
      <c r="AQ191" s="7"/>
      <c r="AR191" s="7"/>
      <c r="AS191" s="7"/>
      <c r="AT191" s="7"/>
      <c r="AU191" s="7"/>
      <c r="AV191" s="7"/>
      <c r="AW191" s="7"/>
      <c r="AX191" s="7"/>
      <c r="AY191" s="7"/>
      <c r="AZ191" s="7"/>
    </row>
    <row r="192" spans="1:52" ht="63" customHeight="1">
      <c r="A192" s="12" t="s">
        <v>1016</v>
      </c>
      <c r="B192" s="7">
        <v>1</v>
      </c>
      <c r="C192" s="7" t="s">
        <v>65</v>
      </c>
      <c r="D192" s="7" t="s">
        <v>36</v>
      </c>
      <c r="E192" s="7" t="s">
        <v>37</v>
      </c>
      <c r="F192" s="7" t="s">
        <v>1017</v>
      </c>
      <c r="G192" s="7">
        <v>2009</v>
      </c>
      <c r="H192" s="7"/>
      <c r="I192" s="14" t="str">
        <f>HYPERLINK("mailto:sgsecfin-secgpmailbox@mod.uk","sgsecfin-secgpmailbox@mod.uk")</f>
        <v>sgsecfin-secgpmailbox@mod.uk</v>
      </c>
      <c r="J192" s="14" t="str">
        <f>HYPERLINK("https://www.gov.uk/government/organisations/science-advisory-committee-on-the-medical-implications-of-less-lethal-weapons","https://www.gov.uk/government/organisations/science-advisory-committee-on-the-medical-implications-of-less-lethal-weapons")</f>
        <v>https://www.gov.uk/government/organisations/science-advisory-committee-on-the-medical-implications-of-less-lethal-weapons</v>
      </c>
      <c r="K192" s="7" t="s">
        <v>1018</v>
      </c>
      <c r="L192" s="6"/>
      <c r="M192" s="13" t="s">
        <v>42</v>
      </c>
      <c r="N192" s="15" t="s">
        <v>43</v>
      </c>
      <c r="O192" s="16">
        <v>460</v>
      </c>
      <c r="P192" s="15" t="s">
        <v>44</v>
      </c>
      <c r="Q192" s="17" t="s">
        <v>45</v>
      </c>
      <c r="R192" s="7" t="s">
        <v>37</v>
      </c>
      <c r="S192" s="7" t="s">
        <v>37</v>
      </c>
      <c r="T192" s="7" t="s">
        <v>37</v>
      </c>
      <c r="U192" s="7" t="s">
        <v>46</v>
      </c>
      <c r="V192" s="7">
        <v>2014</v>
      </c>
      <c r="W192" s="7">
        <v>0</v>
      </c>
      <c r="X192" s="18">
        <v>4</v>
      </c>
      <c r="Y192" s="18">
        <v>0</v>
      </c>
      <c r="Z192" s="18">
        <v>4</v>
      </c>
      <c r="AA192" s="18">
        <v>4</v>
      </c>
      <c r="AB192" s="18">
        <v>0</v>
      </c>
      <c r="AC192" s="18">
        <v>0</v>
      </c>
      <c r="AD192" s="7"/>
      <c r="AE192" s="7" t="s">
        <v>185</v>
      </c>
      <c r="AF192" s="7"/>
      <c r="AG192" s="7"/>
      <c r="AH192" s="7"/>
      <c r="AI192" s="7"/>
      <c r="AJ192" s="7"/>
      <c r="AK192" s="7"/>
      <c r="AL192" s="7"/>
      <c r="AM192" s="7"/>
      <c r="AN192" s="7"/>
      <c r="AO192" s="7"/>
      <c r="AP192" s="7"/>
      <c r="AQ192" s="7"/>
      <c r="AR192" s="7"/>
      <c r="AS192" s="7"/>
      <c r="AT192" s="7"/>
      <c r="AU192" s="7"/>
      <c r="AV192" s="7"/>
      <c r="AW192" s="7"/>
      <c r="AX192" s="7"/>
      <c r="AY192" s="7"/>
      <c r="AZ192" s="7"/>
    </row>
    <row r="193" spans="1:52" ht="63" customHeight="1">
      <c r="A193" s="20" t="s">
        <v>1019</v>
      </c>
      <c r="B193" s="7">
        <v>1</v>
      </c>
      <c r="C193" s="7" t="s">
        <v>79</v>
      </c>
      <c r="D193" s="7" t="s">
        <v>36</v>
      </c>
      <c r="E193" s="7" t="s">
        <v>37</v>
      </c>
      <c r="F193" s="7" t="s">
        <v>1020</v>
      </c>
      <c r="G193" s="7">
        <v>2004</v>
      </c>
      <c r="H193" s="7"/>
      <c r="I193" s="14" t="str">
        <f>HYPERLINK("mailto:Science.Advisory.Council@defra.gov.uk","Science.Advisory.Council@defra.gov.uk")</f>
        <v>Science.Advisory.Council@defra.gov.uk</v>
      </c>
      <c r="J193" s="14" t="str">
        <f>HYPERLINK("https://www.gov.uk/government/ organisations/science-advisory-council","https://www.gov.uk/government/
organisations/science-advisory-council")</f>
        <v>https://www.gov.uk/government/
organisations/science-advisory-council</v>
      </c>
      <c r="K193" s="7" t="s">
        <v>1021</v>
      </c>
      <c r="L193" s="7" t="s">
        <v>1022</v>
      </c>
      <c r="M193" s="13" t="s">
        <v>42</v>
      </c>
      <c r="N193" s="15" t="s">
        <v>43</v>
      </c>
      <c r="O193" s="16">
        <v>2152</v>
      </c>
      <c r="P193" s="15" t="s">
        <v>52</v>
      </c>
      <c r="Q193" s="17" t="s">
        <v>1023</v>
      </c>
      <c r="R193" s="7" t="s">
        <v>37</v>
      </c>
      <c r="S193" s="7" t="s">
        <v>43</v>
      </c>
      <c r="T193" s="7" t="s">
        <v>43</v>
      </c>
      <c r="U193" s="7" t="s">
        <v>46</v>
      </c>
      <c r="V193" s="7">
        <v>2014</v>
      </c>
      <c r="W193" s="7">
        <v>1.8</v>
      </c>
      <c r="X193" s="18">
        <v>1429</v>
      </c>
      <c r="Y193" s="18">
        <v>0</v>
      </c>
      <c r="Z193" s="18">
        <v>1429</v>
      </c>
      <c r="AA193" s="18">
        <v>1278</v>
      </c>
      <c r="AB193" s="18">
        <v>150</v>
      </c>
      <c r="AC193" s="18">
        <v>324</v>
      </c>
      <c r="AD193" s="7"/>
      <c r="AE193" s="7" t="s">
        <v>185</v>
      </c>
      <c r="AF193" s="7"/>
      <c r="AG193" s="7"/>
      <c r="AH193" s="7"/>
      <c r="AI193" s="7"/>
      <c r="AJ193" s="7"/>
      <c r="AK193" s="7"/>
      <c r="AL193" s="7"/>
      <c r="AM193" s="7"/>
      <c r="AN193" s="7"/>
      <c r="AO193" s="7"/>
      <c r="AP193" s="7"/>
      <c r="AQ193" s="7"/>
      <c r="AR193" s="7"/>
      <c r="AS193" s="7"/>
      <c r="AT193" s="7"/>
      <c r="AU193" s="7"/>
      <c r="AV193" s="7"/>
      <c r="AW193" s="7"/>
      <c r="AX193" s="7"/>
      <c r="AY193" s="7"/>
      <c r="AZ193" s="7"/>
    </row>
    <row r="194" spans="1:52" ht="63" customHeight="1">
      <c r="A194" s="20" t="s">
        <v>1024</v>
      </c>
      <c r="B194" s="7">
        <v>1</v>
      </c>
      <c r="C194" s="7" t="s">
        <v>122</v>
      </c>
      <c r="D194" s="7" t="s">
        <v>95</v>
      </c>
      <c r="E194" s="7" t="s">
        <v>43</v>
      </c>
      <c r="F194" s="7" t="s">
        <v>1025</v>
      </c>
      <c r="G194" s="7">
        <v>2012</v>
      </c>
      <c r="H194" s="7"/>
      <c r="I194" s="14" t="str">
        <f>HYPERLINK("mailto:info@sciencemuseum.ac.uk","info@sciencemuseum.ac.uk")</f>
        <v>info@sciencemuseum.ac.uk</v>
      </c>
      <c r="J194" s="14" t="s">
        <v>1026</v>
      </c>
      <c r="K194" s="7" t="s">
        <v>197</v>
      </c>
      <c r="L194" s="7" t="s">
        <v>1027</v>
      </c>
      <c r="M194" s="13" t="s">
        <v>42</v>
      </c>
      <c r="N194" s="15" t="s">
        <v>37</v>
      </c>
      <c r="O194" s="16"/>
      <c r="P194" s="15"/>
      <c r="Q194" s="13" t="s">
        <v>1028</v>
      </c>
      <c r="R194" s="7" t="s">
        <v>37</v>
      </c>
      <c r="S194" s="7" t="s">
        <v>43</v>
      </c>
      <c r="T194" s="7" t="s">
        <v>43</v>
      </c>
      <c r="U194" s="7" t="s">
        <v>54</v>
      </c>
      <c r="V194" s="7">
        <v>2019</v>
      </c>
      <c r="W194" s="39">
        <v>1019.45</v>
      </c>
      <c r="X194" s="18">
        <v>0</v>
      </c>
      <c r="Y194" s="18">
        <v>96728</v>
      </c>
      <c r="Z194" s="18">
        <f>(X194+Y194)</f>
        <v>96728</v>
      </c>
      <c r="AA194" s="18">
        <f>97162-1458-688</f>
        <v>95016</v>
      </c>
      <c r="AB194" s="18">
        <v>688</v>
      </c>
      <c r="AC194" s="18">
        <v>0</v>
      </c>
      <c r="AD194" s="7"/>
      <c r="AE194" s="7"/>
      <c r="AF194" s="7"/>
      <c r="AG194" s="7"/>
      <c r="AH194" s="7"/>
      <c r="AI194" s="7"/>
      <c r="AJ194" s="7"/>
      <c r="AK194" s="7"/>
      <c r="AL194" s="7"/>
      <c r="AM194" s="7"/>
      <c r="AN194" s="7"/>
      <c r="AO194" s="7"/>
      <c r="AP194" s="7"/>
      <c r="AQ194" s="7"/>
      <c r="AR194" s="7"/>
      <c r="AS194" s="7"/>
      <c r="AT194" s="7"/>
      <c r="AU194" s="7"/>
      <c r="AV194" s="7"/>
      <c r="AW194" s="7"/>
      <c r="AX194" s="7"/>
      <c r="AY194" s="7"/>
      <c r="AZ194" s="7"/>
    </row>
    <row r="195" spans="1:52" ht="63" customHeight="1">
      <c r="A195" s="20" t="s">
        <v>1029</v>
      </c>
      <c r="B195" s="7">
        <v>1</v>
      </c>
      <c r="C195" s="7" t="s">
        <v>79</v>
      </c>
      <c r="D195" s="7" t="s">
        <v>95</v>
      </c>
      <c r="E195" s="7" t="s">
        <v>43</v>
      </c>
      <c r="F195" s="7" t="s">
        <v>1030</v>
      </c>
      <c r="G195" s="7">
        <v>1981</v>
      </c>
      <c r="H195" s="7"/>
      <c r="I195" s="14" t="str">
        <f>HYPERLINK("mailto:seafish@seafish.co.uk","seafish@seafish.co.uk ")</f>
        <v>seafish@seafish.co.uk </v>
      </c>
      <c r="J195" s="14" t="str">
        <f>HYPERLINK("http://www.seafish.org/","http://www.seafish.org/")</f>
        <v>http://www.seafish.org/</v>
      </c>
      <c r="K195" s="7" t="s">
        <v>1031</v>
      </c>
      <c r="L195" s="7" t="s">
        <v>1032</v>
      </c>
      <c r="M195" s="13" t="s">
        <v>42</v>
      </c>
      <c r="N195" s="15" t="s">
        <v>43</v>
      </c>
      <c r="O195" s="16">
        <v>18000</v>
      </c>
      <c r="P195" s="15" t="s">
        <v>52</v>
      </c>
      <c r="Q195" s="15" t="s">
        <v>379</v>
      </c>
      <c r="R195" s="7" t="s">
        <v>43</v>
      </c>
      <c r="S195" s="7" t="s">
        <v>43</v>
      </c>
      <c r="T195" s="7" t="s">
        <v>43</v>
      </c>
      <c r="U195" s="7" t="s">
        <v>54</v>
      </c>
      <c r="V195" s="7">
        <v>2011</v>
      </c>
      <c r="W195" s="7">
        <v>101</v>
      </c>
      <c r="X195" s="18">
        <f>18195-55</f>
        <v>18140</v>
      </c>
      <c r="Y195" s="18">
        <v>55</v>
      </c>
      <c r="Z195" s="18">
        <v>18195</v>
      </c>
      <c r="AA195" s="18">
        <v>18095</v>
      </c>
      <c r="AB195" s="18">
        <v>100</v>
      </c>
      <c r="AC195" s="18">
        <v>0</v>
      </c>
      <c r="AD195" s="7"/>
      <c r="AE195" s="7"/>
      <c r="AF195" s="7"/>
      <c r="AG195" s="7"/>
      <c r="AH195" s="7"/>
      <c r="AI195" s="7"/>
      <c r="AJ195" s="7"/>
      <c r="AK195" s="7"/>
      <c r="AL195" s="7"/>
      <c r="AM195" s="7"/>
      <c r="AN195" s="7"/>
      <c r="AO195" s="7"/>
      <c r="AP195" s="7"/>
      <c r="AQ195" s="7"/>
      <c r="AR195" s="7"/>
      <c r="AS195" s="7"/>
      <c r="AT195" s="7"/>
      <c r="AU195" s="7"/>
      <c r="AV195" s="7"/>
      <c r="AW195" s="7"/>
      <c r="AX195" s="7"/>
      <c r="AY195" s="7"/>
      <c r="AZ195" s="7"/>
    </row>
    <row r="196" spans="1:52" ht="63" customHeight="1">
      <c r="A196" s="20" t="s">
        <v>1033</v>
      </c>
      <c r="B196" s="7">
        <v>1</v>
      </c>
      <c r="C196" s="7" t="s">
        <v>133</v>
      </c>
      <c r="D196" s="7" t="s">
        <v>95</v>
      </c>
      <c r="E196" s="7" t="s">
        <v>43</v>
      </c>
      <c r="F196" s="7" t="s">
        <v>1034</v>
      </c>
      <c r="G196" s="7">
        <v>2003</v>
      </c>
      <c r="H196" s="7"/>
      <c r="I196" s="14" t="s">
        <v>1035</v>
      </c>
      <c r="J196" s="14" t="str">
        <f>HYPERLINK("https://www.sia.homeoffice.gov.uk/","www.sia.homeoffice.gov.uk")</f>
        <v>www.sia.homeoffice.gov.uk</v>
      </c>
      <c r="K196" s="7" t="s">
        <v>1036</v>
      </c>
      <c r="L196" s="7" t="s">
        <v>1037</v>
      </c>
      <c r="M196" s="7" t="s">
        <v>42</v>
      </c>
      <c r="N196" s="15" t="s">
        <v>43</v>
      </c>
      <c r="O196" s="16">
        <v>54963</v>
      </c>
      <c r="P196" s="15" t="s">
        <v>52</v>
      </c>
      <c r="Q196" s="17" t="s">
        <v>1038</v>
      </c>
      <c r="R196" s="7" t="s">
        <v>37</v>
      </c>
      <c r="S196" s="7" t="s">
        <v>56</v>
      </c>
      <c r="T196" s="7" t="s">
        <v>43</v>
      </c>
      <c r="U196" s="7" t="s">
        <v>54</v>
      </c>
      <c r="V196" s="7">
        <v>2016</v>
      </c>
      <c r="W196" s="7">
        <v>254</v>
      </c>
      <c r="X196" s="18">
        <v>0</v>
      </c>
      <c r="Y196" s="18">
        <v>26264</v>
      </c>
      <c r="Z196" s="18">
        <f>IF(SUM(Y196)&lt;&gt;0,SUM(Y196),"")</f>
        <v>26264</v>
      </c>
      <c r="AA196" s="18">
        <v>28257</v>
      </c>
      <c r="AB196" s="18">
        <v>800</v>
      </c>
      <c r="AC196" s="18">
        <v>0</v>
      </c>
      <c r="AD196" s="7" t="s">
        <v>1039</v>
      </c>
      <c r="AE196" s="7"/>
      <c r="AF196" s="7"/>
      <c r="AG196" s="7"/>
      <c r="AH196" s="7"/>
      <c r="AI196" s="7"/>
      <c r="AJ196" s="7"/>
      <c r="AK196" s="7"/>
      <c r="AL196" s="7"/>
      <c r="AM196" s="7"/>
      <c r="AN196" s="7"/>
      <c r="AO196" s="7"/>
      <c r="AP196" s="7"/>
      <c r="AQ196" s="7"/>
      <c r="AR196" s="7"/>
      <c r="AS196" s="7"/>
      <c r="AT196" s="7"/>
      <c r="AU196" s="7"/>
      <c r="AV196" s="7"/>
      <c r="AW196" s="7"/>
      <c r="AX196" s="7"/>
      <c r="AY196" s="7"/>
      <c r="AZ196" s="7"/>
    </row>
    <row r="197" spans="1:52" ht="63" customHeight="1">
      <c r="A197" s="20" t="s">
        <v>1040</v>
      </c>
      <c r="B197" s="7">
        <v>1</v>
      </c>
      <c r="C197" s="7" t="s">
        <v>48</v>
      </c>
      <c r="D197" s="7" t="s">
        <v>36</v>
      </c>
      <c r="E197" s="7" t="s">
        <v>37</v>
      </c>
      <c r="F197" s="7" t="s">
        <v>1041</v>
      </c>
      <c r="G197" s="7">
        <v>1997</v>
      </c>
      <c r="H197" s="7"/>
      <c r="I197" s="14" t="str">
        <f>HYPERLINK("mailto:svap@cabinet-office.x.gsi.gov.uk","svap@cabinet-office.x.gsi.gov.uk")</f>
        <v>svap@cabinet-office.x.gsi.gov.uk</v>
      </c>
      <c r="J197" s="14" t="str">
        <f>HYPERLINK("https://www.gov.uk/government/organisations/security-vetting-appeals-panel","https://www.gov.uk/government/organisations/security-vetting-appeals-panel")</f>
        <v>https://www.gov.uk/government/organisations/security-vetting-appeals-panel</v>
      </c>
      <c r="K197" s="7" t="s">
        <v>1042</v>
      </c>
      <c r="L197" s="7" t="s">
        <v>1043</v>
      </c>
      <c r="M197" s="13" t="s">
        <v>42</v>
      </c>
      <c r="N197" s="15" t="s">
        <v>43</v>
      </c>
      <c r="O197" s="16">
        <v>240</v>
      </c>
      <c r="P197" s="15" t="s">
        <v>44</v>
      </c>
      <c r="Q197" s="22" t="s">
        <v>1044</v>
      </c>
      <c r="R197" s="7" t="s">
        <v>37</v>
      </c>
      <c r="S197" s="7" t="s">
        <v>37</v>
      </c>
      <c r="T197" s="7" t="s">
        <v>37</v>
      </c>
      <c r="U197" s="7" t="s">
        <v>54</v>
      </c>
      <c r="V197" s="7">
        <v>2019</v>
      </c>
      <c r="W197" s="7">
        <v>2</v>
      </c>
      <c r="X197" s="18">
        <v>3</v>
      </c>
      <c r="Y197" s="18">
        <v>31391</v>
      </c>
      <c r="Z197" s="18">
        <v>31394</v>
      </c>
      <c r="AA197" s="18">
        <v>3</v>
      </c>
      <c r="AB197" s="18">
        <v>483</v>
      </c>
      <c r="AC197" s="18">
        <v>0</v>
      </c>
      <c r="AD197" s="7" t="s">
        <v>1045</v>
      </c>
      <c r="AE197" s="7"/>
      <c r="AF197" s="7"/>
      <c r="AG197" s="7"/>
      <c r="AH197" s="7"/>
      <c r="AI197" s="7"/>
      <c r="AJ197" s="7"/>
      <c r="AK197" s="7"/>
      <c r="AL197" s="7"/>
      <c r="AM197" s="7"/>
      <c r="AN197" s="7"/>
      <c r="AO197" s="7"/>
      <c r="AP197" s="7"/>
      <c r="AQ197" s="7"/>
      <c r="AR197" s="7"/>
      <c r="AS197" s="7"/>
      <c r="AT197" s="7"/>
      <c r="AU197" s="7"/>
      <c r="AV197" s="7"/>
      <c r="AW197" s="7"/>
      <c r="AX197" s="7"/>
      <c r="AY197" s="7"/>
      <c r="AZ197" s="7"/>
    </row>
    <row r="198" spans="1:52" ht="63" customHeight="1">
      <c r="A198" s="12" t="s">
        <v>1046</v>
      </c>
      <c r="B198" s="7">
        <v>1</v>
      </c>
      <c r="C198" s="7" t="s">
        <v>48</v>
      </c>
      <c r="D198" s="7" t="s">
        <v>36</v>
      </c>
      <c r="E198" s="7" t="s">
        <v>37</v>
      </c>
      <c r="F198" s="7" t="s">
        <v>1047</v>
      </c>
      <c r="G198" s="7">
        <v>1971</v>
      </c>
      <c r="H198" s="7"/>
      <c r="I198" s="14" t="str">
        <f>HYPERLINK("mailto:SSRB@BEIS.gov.uk","SSRB@BEIS.gov.uk")</f>
        <v>SSRB@BEIS.gov.uk</v>
      </c>
      <c r="J198" s="14" t="str">
        <f>HYPERLINK("https://www.gov.uk/government/organisations/review-body-on-senior-salaries","https://www.gov.uk/government/organisations/review-body-on-senior-salaries")</f>
        <v>https://www.gov.uk/government/organisations/review-body-on-senior-salaries</v>
      </c>
      <c r="K198" s="7" t="s">
        <v>1048</v>
      </c>
      <c r="L198" s="13" t="s">
        <v>1049</v>
      </c>
      <c r="M198" s="13" t="s">
        <v>42</v>
      </c>
      <c r="N198" s="15" t="s">
        <v>43</v>
      </c>
      <c r="O198" s="16">
        <v>350</v>
      </c>
      <c r="P198" s="15" t="s">
        <v>44</v>
      </c>
      <c r="Q198" s="22" t="s">
        <v>1044</v>
      </c>
      <c r="R198" s="7" t="s">
        <v>37</v>
      </c>
      <c r="S198" s="7" t="s">
        <v>37</v>
      </c>
      <c r="T198" s="7" t="s">
        <v>43</v>
      </c>
      <c r="U198" s="7" t="s">
        <v>54</v>
      </c>
      <c r="V198" s="7">
        <v>2015</v>
      </c>
      <c r="W198" s="7" t="s">
        <v>1050</v>
      </c>
      <c r="X198" s="18">
        <v>2764.1779999999999</v>
      </c>
      <c r="Y198" s="18">
        <v>0</v>
      </c>
      <c r="Z198" s="18">
        <v>2764.1779999999999</v>
      </c>
      <c r="AA198" s="18">
        <f>SUM(X198:Z198)</f>
        <v>5528.3559999999998</v>
      </c>
      <c r="AB198" s="18">
        <v>2407</v>
      </c>
      <c r="AC198" s="18">
        <v>0</v>
      </c>
      <c r="AD198" s="7"/>
      <c r="AE198" s="7"/>
      <c r="AF198" s="7"/>
      <c r="AG198" s="7"/>
      <c r="AH198" s="7"/>
      <c r="AI198" s="7"/>
      <c r="AJ198" s="7"/>
      <c r="AK198" s="7"/>
      <c r="AL198" s="7"/>
      <c r="AM198" s="7"/>
      <c r="AN198" s="7"/>
      <c r="AO198" s="7"/>
      <c r="AP198" s="7"/>
      <c r="AQ198" s="7"/>
      <c r="AR198" s="7"/>
      <c r="AS198" s="7"/>
      <c r="AT198" s="7"/>
      <c r="AU198" s="7"/>
      <c r="AV198" s="7"/>
      <c r="AW198" s="7"/>
      <c r="AX198" s="7"/>
      <c r="AY198" s="7"/>
      <c r="AZ198" s="7"/>
    </row>
    <row r="199" spans="1:52" ht="63" customHeight="1">
      <c r="A199" s="20" t="s">
        <v>1051</v>
      </c>
      <c r="B199" s="7">
        <v>1</v>
      </c>
      <c r="C199" s="7" t="s">
        <v>89</v>
      </c>
      <c r="D199" s="7" t="s">
        <v>36</v>
      </c>
      <c r="E199" s="7" t="s">
        <v>37</v>
      </c>
      <c r="F199" s="7" t="s">
        <v>1052</v>
      </c>
      <c r="G199" s="7">
        <v>2010</v>
      </c>
      <c r="H199" s="7"/>
      <c r="I199" s="14" t="str">
        <f>HYPERLINK("mailto:info@sentencingcouncil.gsi.gov.uk","info@sentencingcouncil.gsi.gov.uk")</f>
        <v>info@sentencingcouncil.gsi.gov.uk</v>
      </c>
      <c r="J199" s="14" t="str">
        <f>HYPERLINK("http://www.sentencingcouncil.org.uk/","http://www.sentencingcouncil.org.uk/")</f>
        <v>http://www.sentencingcouncil.org.uk/</v>
      </c>
      <c r="K199" s="7" t="s">
        <v>352</v>
      </c>
      <c r="L199" s="13" t="s">
        <v>1053</v>
      </c>
      <c r="M199" s="13" t="s">
        <v>71</v>
      </c>
      <c r="N199" s="15" t="s">
        <v>37</v>
      </c>
      <c r="O199" s="16"/>
      <c r="P199" s="15"/>
      <c r="Q199" s="17" t="s">
        <v>1054</v>
      </c>
      <c r="R199" s="7" t="s">
        <v>37</v>
      </c>
      <c r="S199" s="7" t="s">
        <v>43</v>
      </c>
      <c r="T199" s="7" t="s">
        <v>43</v>
      </c>
      <c r="U199" s="7" t="s">
        <v>54</v>
      </c>
      <c r="V199" s="7">
        <v>2019</v>
      </c>
      <c r="W199" s="7">
        <v>18</v>
      </c>
      <c r="X199" s="18">
        <v>1404</v>
      </c>
      <c r="Y199" s="18">
        <v>0</v>
      </c>
      <c r="Z199" s="18">
        <v>1404</v>
      </c>
      <c r="AA199" s="18">
        <v>1370</v>
      </c>
      <c r="AB199" s="18">
        <v>0</v>
      </c>
      <c r="AC199" s="18">
        <v>0</v>
      </c>
      <c r="AD199" s="7"/>
      <c r="AE199" s="7"/>
      <c r="AF199" s="7"/>
      <c r="AG199" s="7"/>
      <c r="AH199" s="7"/>
      <c r="AI199" s="7"/>
      <c r="AJ199" s="7"/>
      <c r="AK199" s="7"/>
      <c r="AL199" s="7"/>
      <c r="AM199" s="7"/>
      <c r="AN199" s="7"/>
      <c r="AO199" s="7"/>
      <c r="AP199" s="7"/>
      <c r="AQ199" s="7"/>
      <c r="AR199" s="7"/>
      <c r="AS199" s="7"/>
      <c r="AT199" s="7"/>
      <c r="AU199" s="7"/>
      <c r="AV199" s="7"/>
      <c r="AW199" s="7"/>
      <c r="AX199" s="7"/>
      <c r="AY199" s="7"/>
      <c r="AZ199" s="7"/>
    </row>
    <row r="200" spans="1:52" ht="63" customHeight="1">
      <c r="A200" s="20" t="s">
        <v>1055</v>
      </c>
      <c r="B200" s="7">
        <v>1</v>
      </c>
      <c r="C200" s="7" t="s">
        <v>501</v>
      </c>
      <c r="D200" s="7" t="s">
        <v>233</v>
      </c>
      <c r="E200" s="7" t="s">
        <v>37</v>
      </c>
      <c r="F200" s="7" t="s">
        <v>1056</v>
      </c>
      <c r="G200" s="7">
        <v>1987</v>
      </c>
      <c r="H200" s="7"/>
      <c r="I200" s="14" t="str">
        <f>HYPERLINK("mailto:public.enquiries@sfo.gsi.gov.uk","public.enquiries@sfo.gsi.gov.uk")</f>
        <v>public.enquiries@sfo.gsi.gov.uk</v>
      </c>
      <c r="J200" s="14" t="str">
        <f>HYPERLINK("http://www.sfo.gov.uk/","http://www.sfo.gov.uk/")</f>
        <v>http://www.sfo.gov.uk/</v>
      </c>
      <c r="K200" s="13" t="s">
        <v>1057</v>
      </c>
      <c r="L200" s="13" t="s">
        <v>46</v>
      </c>
      <c r="M200" s="13" t="s">
        <v>46</v>
      </c>
      <c r="N200" s="13" t="s">
        <v>46</v>
      </c>
      <c r="O200" s="16"/>
      <c r="P200" s="13" t="s">
        <v>46</v>
      </c>
      <c r="Q200" s="13" t="s">
        <v>46</v>
      </c>
      <c r="R200" s="7" t="s">
        <v>37</v>
      </c>
      <c r="S200" s="7" t="s">
        <v>37</v>
      </c>
      <c r="T200" s="7" t="s">
        <v>43</v>
      </c>
      <c r="U200" s="7" t="s">
        <v>46</v>
      </c>
      <c r="V200" s="7"/>
      <c r="W200" s="7">
        <v>416</v>
      </c>
      <c r="X200" s="18">
        <v>64400</v>
      </c>
      <c r="Y200" s="18">
        <v>900</v>
      </c>
      <c r="Z200" s="18">
        <v>65300</v>
      </c>
      <c r="AA200" s="18">
        <v>58024</v>
      </c>
      <c r="AB200" s="18">
        <v>1420</v>
      </c>
      <c r="AC200" s="18">
        <v>364</v>
      </c>
      <c r="AD200" s="7" t="s">
        <v>1058</v>
      </c>
      <c r="AE200" s="7"/>
      <c r="AF200" s="7"/>
      <c r="AG200" s="7"/>
      <c r="AH200" s="7"/>
      <c r="AI200" s="7"/>
      <c r="AJ200" s="7"/>
      <c r="AK200" s="7"/>
      <c r="AL200" s="7"/>
      <c r="AM200" s="7"/>
      <c r="AN200" s="7"/>
      <c r="AO200" s="7"/>
      <c r="AP200" s="7"/>
      <c r="AQ200" s="7"/>
      <c r="AR200" s="7"/>
      <c r="AS200" s="7"/>
      <c r="AT200" s="7"/>
      <c r="AU200" s="7"/>
      <c r="AV200" s="7"/>
      <c r="AW200" s="7"/>
      <c r="AX200" s="7"/>
      <c r="AY200" s="7"/>
      <c r="AZ200" s="7"/>
    </row>
    <row r="201" spans="1:52" ht="63" customHeight="1">
      <c r="A201" s="12" t="s">
        <v>1059</v>
      </c>
      <c r="B201" s="7">
        <v>1</v>
      </c>
      <c r="C201" s="7" t="s">
        <v>512</v>
      </c>
      <c r="D201" s="7" t="s">
        <v>1060</v>
      </c>
      <c r="E201" s="7" t="s">
        <v>37</v>
      </c>
      <c r="F201" s="13" t="s">
        <v>1061</v>
      </c>
      <c r="G201" s="7">
        <v>2018</v>
      </c>
      <c r="H201" s="13" t="s">
        <v>1062</v>
      </c>
      <c r="I201" s="14" t="s">
        <v>1063</v>
      </c>
      <c r="J201" s="14" t="s">
        <v>1064</v>
      </c>
      <c r="K201" s="7" t="s">
        <v>515</v>
      </c>
      <c r="L201" s="7" t="s">
        <v>1065</v>
      </c>
      <c r="M201" s="7" t="s">
        <v>42</v>
      </c>
      <c r="N201" s="15" t="s">
        <v>43</v>
      </c>
      <c r="O201" s="16">
        <v>80000</v>
      </c>
      <c r="P201" s="15" t="s">
        <v>52</v>
      </c>
      <c r="Q201" s="17" t="s">
        <v>100</v>
      </c>
      <c r="R201" s="7" t="s">
        <v>37</v>
      </c>
      <c r="S201" s="7" t="s">
        <v>37</v>
      </c>
      <c r="T201" s="7" t="s">
        <v>37</v>
      </c>
      <c r="U201" s="7" t="s">
        <v>54</v>
      </c>
      <c r="V201" s="7"/>
      <c r="W201" s="7">
        <v>253</v>
      </c>
      <c r="X201" s="18">
        <v>0</v>
      </c>
      <c r="Y201" s="18">
        <v>0</v>
      </c>
      <c r="Z201" s="18">
        <v>0</v>
      </c>
      <c r="AA201" s="18">
        <v>0</v>
      </c>
      <c r="AB201" s="18">
        <v>0</v>
      </c>
      <c r="AC201" s="18">
        <v>0</v>
      </c>
      <c r="AD201" s="7" t="s">
        <v>1066</v>
      </c>
      <c r="AE201" s="7"/>
      <c r="AF201" s="7"/>
      <c r="AG201" s="7"/>
      <c r="AH201" s="7"/>
      <c r="AI201" s="7"/>
      <c r="AJ201" s="7"/>
      <c r="AK201" s="7"/>
      <c r="AL201" s="7"/>
      <c r="AM201" s="7"/>
      <c r="AN201" s="7"/>
      <c r="AO201" s="7"/>
      <c r="AP201" s="7"/>
      <c r="AQ201" s="7"/>
      <c r="AR201" s="7"/>
      <c r="AS201" s="7"/>
      <c r="AT201" s="7"/>
      <c r="AU201" s="7"/>
      <c r="AV201" s="7"/>
      <c r="AW201" s="7"/>
      <c r="AX201" s="7"/>
      <c r="AY201" s="7"/>
      <c r="AZ201" s="7"/>
    </row>
    <row r="202" spans="1:52" ht="63" customHeight="1">
      <c r="A202" s="20" t="s">
        <v>1067</v>
      </c>
      <c r="B202" s="7">
        <v>1</v>
      </c>
      <c r="C202" s="7" t="s">
        <v>65</v>
      </c>
      <c r="D202" s="7" t="s">
        <v>95</v>
      </c>
      <c r="E202" s="7" t="s">
        <v>37</v>
      </c>
      <c r="F202" s="7" t="s">
        <v>1068</v>
      </c>
      <c r="G202" s="7">
        <v>2014</v>
      </c>
      <c r="H202" s="7"/>
      <c r="I202" s="14" t="str">
        <f>HYPERLINK("mailto:enquiries@ssro.gov.uk","enquiries@ssro.gov.uk")</f>
        <v>enquiries@ssro.gov.uk</v>
      </c>
      <c r="J202" s="14" t="str">
        <f>HYPERLINK("https://www.gov.uk/ssro","https://www.gov.uk/ssro")</f>
        <v>https://www.gov.uk/ssro</v>
      </c>
      <c r="K202" s="7" t="s">
        <v>1069</v>
      </c>
      <c r="L202" s="13" t="s">
        <v>1070</v>
      </c>
      <c r="M202" s="13" t="s">
        <v>42</v>
      </c>
      <c r="N202" s="15" t="s">
        <v>43</v>
      </c>
      <c r="O202" s="16">
        <v>75000</v>
      </c>
      <c r="P202" s="15" t="s">
        <v>52</v>
      </c>
      <c r="Q202" s="15"/>
      <c r="R202" s="7" t="s">
        <v>37</v>
      </c>
      <c r="S202" s="7" t="s">
        <v>43</v>
      </c>
      <c r="T202" s="7" t="s">
        <v>43</v>
      </c>
      <c r="U202" s="7" t="s">
        <v>54</v>
      </c>
      <c r="V202" s="7"/>
      <c r="W202" s="7">
        <v>36</v>
      </c>
      <c r="X202" s="18">
        <v>5849</v>
      </c>
      <c r="Y202" s="18">
        <v>0</v>
      </c>
      <c r="Z202" s="18">
        <v>5849</v>
      </c>
      <c r="AA202" s="18">
        <v>5849</v>
      </c>
      <c r="AB202" s="18">
        <v>0</v>
      </c>
      <c r="AC202" s="18">
        <v>0</v>
      </c>
      <c r="AD202" s="7"/>
      <c r="AE202" s="7" t="s">
        <v>56</v>
      </c>
      <c r="AF202" s="7"/>
      <c r="AG202" s="7"/>
      <c r="AH202" s="7"/>
      <c r="AI202" s="7"/>
      <c r="AJ202" s="7"/>
      <c r="AK202" s="7"/>
      <c r="AL202" s="7"/>
      <c r="AM202" s="7"/>
      <c r="AN202" s="7"/>
      <c r="AO202" s="7"/>
      <c r="AP202" s="7"/>
      <c r="AQ202" s="7"/>
      <c r="AR202" s="7"/>
      <c r="AS202" s="7"/>
      <c r="AT202" s="7"/>
      <c r="AU202" s="7"/>
      <c r="AV202" s="7"/>
      <c r="AW202" s="7"/>
      <c r="AX202" s="7"/>
      <c r="AY202" s="7"/>
      <c r="AZ202" s="7"/>
    </row>
    <row r="203" spans="1:52" ht="63" customHeight="1">
      <c r="A203" s="20" t="s">
        <v>1071</v>
      </c>
      <c r="B203" s="7">
        <v>1</v>
      </c>
      <c r="C203" s="7" t="s">
        <v>122</v>
      </c>
      <c r="D203" s="7" t="s">
        <v>95</v>
      </c>
      <c r="E203" s="7" t="s">
        <v>37</v>
      </c>
      <c r="F203" s="7" t="s">
        <v>1072</v>
      </c>
      <c r="G203" s="7">
        <v>1837</v>
      </c>
      <c r="H203" s="7"/>
      <c r="I203" s="14" t="str">
        <f>HYPERLINK("mailto:admin@soane.org.uk","admin@soane.org.uk")</f>
        <v>admin@soane.org.uk</v>
      </c>
      <c r="J203" s="14" t="str">
        <f>HYPERLINK("http://www.soane.org/","http://www.soane.org/")</f>
        <v>http://www.soane.org/</v>
      </c>
      <c r="K203" s="7" t="s">
        <v>1073</v>
      </c>
      <c r="L203" s="7" t="s">
        <v>1074</v>
      </c>
      <c r="M203" s="7" t="s">
        <v>71</v>
      </c>
      <c r="N203" s="15" t="s">
        <v>37</v>
      </c>
      <c r="O203" s="16"/>
      <c r="P203" s="15"/>
      <c r="Q203" s="13" t="s">
        <v>1075</v>
      </c>
      <c r="R203" s="7" t="s">
        <v>37</v>
      </c>
      <c r="S203" s="7" t="s">
        <v>37</v>
      </c>
      <c r="T203" s="7" t="s">
        <v>43</v>
      </c>
      <c r="U203" s="7" t="s">
        <v>54</v>
      </c>
      <c r="V203" s="7">
        <v>2017</v>
      </c>
      <c r="W203" s="7">
        <v>48.9</v>
      </c>
      <c r="X203" s="18">
        <v>1032</v>
      </c>
      <c r="Y203" s="18">
        <v>1385</v>
      </c>
      <c r="Z203" s="18">
        <f>(X203+Y203)</f>
        <v>2417</v>
      </c>
      <c r="AA203" s="18">
        <v>918</v>
      </c>
      <c r="AB203" s="18">
        <v>29</v>
      </c>
      <c r="AC203" s="18">
        <v>0</v>
      </c>
      <c r="AD203" s="7"/>
      <c r="AE203" s="7"/>
      <c r="AF203" s="7"/>
      <c r="AG203" s="7"/>
      <c r="AH203" s="7"/>
      <c r="AI203" s="7"/>
      <c r="AJ203" s="7"/>
      <c r="AK203" s="7"/>
      <c r="AL203" s="7"/>
      <c r="AM203" s="7"/>
      <c r="AN203" s="7"/>
      <c r="AO203" s="7"/>
      <c r="AP203" s="7"/>
      <c r="AQ203" s="7"/>
      <c r="AR203" s="7"/>
      <c r="AS203" s="7"/>
      <c r="AT203" s="7"/>
      <c r="AU203" s="7"/>
      <c r="AV203" s="7"/>
      <c r="AW203" s="7"/>
      <c r="AX203" s="7"/>
      <c r="AY203" s="7"/>
      <c r="AZ203" s="7"/>
    </row>
    <row r="204" spans="1:52" ht="63" customHeight="1">
      <c r="A204" s="20" t="s">
        <v>1076</v>
      </c>
      <c r="B204" s="7">
        <v>1</v>
      </c>
      <c r="C204" s="7" t="s">
        <v>94</v>
      </c>
      <c r="D204" s="7" t="s">
        <v>95</v>
      </c>
      <c r="E204" s="7" t="s">
        <v>63</v>
      </c>
      <c r="F204" s="7" t="s">
        <v>1077</v>
      </c>
      <c r="G204" s="7">
        <v>2017</v>
      </c>
      <c r="H204" s="7"/>
      <c r="I204" s="14" t="str">
        <f>HYPERLINK("mailto:enquiries@smallbusinesscommissioner.gov.uk","enquiries@smallbusinesscommissioner.gov.uk")</f>
        <v>enquiries@smallbusinesscommissioner.gov.uk</v>
      </c>
      <c r="J204" s="14" t="str">
        <f>HYPERLINK("https://www.smallbusinesscommissioner.gov.uk/","https://www.smallbusinesscommissioner.gov.uk/")</f>
        <v>https://www.smallbusinesscommissioner.gov.uk/</v>
      </c>
      <c r="K204" s="7" t="s">
        <v>1078</v>
      </c>
      <c r="L204" s="7" t="s">
        <v>1079</v>
      </c>
      <c r="M204" s="7" t="s">
        <v>42</v>
      </c>
      <c r="N204" s="15" t="s">
        <v>56</v>
      </c>
      <c r="O204" s="16">
        <v>120000</v>
      </c>
      <c r="P204" s="15" t="s">
        <v>52</v>
      </c>
      <c r="Q204" s="17" t="s">
        <v>1080</v>
      </c>
      <c r="R204" s="7" t="s">
        <v>37</v>
      </c>
      <c r="S204" s="7" t="s">
        <v>37</v>
      </c>
      <c r="T204" s="7" t="s">
        <v>43</v>
      </c>
      <c r="U204" s="7" t="s">
        <v>46</v>
      </c>
      <c r="V204" s="7"/>
      <c r="W204" s="7">
        <v>10</v>
      </c>
      <c r="X204" s="18">
        <v>1350</v>
      </c>
      <c r="Y204" s="18">
        <v>0</v>
      </c>
      <c r="Z204" s="18">
        <v>1350</v>
      </c>
      <c r="AA204" s="18">
        <v>1350</v>
      </c>
      <c r="AB204" s="18">
        <v>75</v>
      </c>
      <c r="AC204" s="18">
        <v>0</v>
      </c>
      <c r="AD204" s="7" t="s">
        <v>56</v>
      </c>
      <c r="AE204" s="7"/>
      <c r="AF204" s="7"/>
      <c r="AG204" s="7"/>
      <c r="AH204" s="7"/>
      <c r="AI204" s="7"/>
      <c r="AJ204" s="7"/>
      <c r="AK204" s="7"/>
      <c r="AL204" s="7"/>
      <c r="AM204" s="7"/>
      <c r="AN204" s="7"/>
      <c r="AO204" s="7"/>
      <c r="AP204" s="7"/>
      <c r="AQ204" s="7"/>
      <c r="AR204" s="7"/>
      <c r="AS204" s="7"/>
      <c r="AT204" s="7"/>
      <c r="AU204" s="7"/>
      <c r="AV204" s="7"/>
      <c r="AW204" s="7"/>
      <c r="AX204" s="7"/>
      <c r="AY204" s="7"/>
      <c r="AZ204" s="7"/>
    </row>
    <row r="205" spans="1:52" ht="63" customHeight="1">
      <c r="A205" s="20" t="s">
        <v>1081</v>
      </c>
      <c r="B205" s="7">
        <v>1</v>
      </c>
      <c r="C205" s="7" t="s">
        <v>334</v>
      </c>
      <c r="D205" s="7" t="s">
        <v>36</v>
      </c>
      <c r="E205" s="13" t="s">
        <v>63</v>
      </c>
      <c r="F205" s="7" t="s">
        <v>1082</v>
      </c>
      <c r="G205" s="7">
        <v>2012</v>
      </c>
      <c r="H205" s="7"/>
      <c r="I205" s="14" t="str">
        <f>HYPERLINK("mailto:contact@socialmobilitycommission.gov.uk","contact@socialmobilitycommission.gov.uk")</f>
        <v>contact@socialmobilitycommission.gov.uk</v>
      </c>
      <c r="J205" s="14" t="str">
        <f>HYPERLINK("https://www.gov.uk/government/organisations/social-mobility-commission","
https://www.gov.uk/government/organisations/social-mobility-commission")</f>
        <v xml:space="preserve">
https://www.gov.uk/government/organisations/social-mobility-commission</v>
      </c>
      <c r="K205" s="7" t="s">
        <v>1083</v>
      </c>
      <c r="L205" s="7" t="s">
        <v>1084</v>
      </c>
      <c r="M205" s="7" t="s">
        <v>42</v>
      </c>
      <c r="N205" s="15" t="s">
        <v>43</v>
      </c>
      <c r="O205" s="16">
        <v>350</v>
      </c>
      <c r="P205" s="15" t="s">
        <v>44</v>
      </c>
      <c r="Q205" s="13" t="s">
        <v>268</v>
      </c>
      <c r="R205" s="7" t="s">
        <v>37</v>
      </c>
      <c r="S205" s="7" t="s">
        <v>43</v>
      </c>
      <c r="T205" s="13" t="s">
        <v>56</v>
      </c>
      <c r="U205" s="7" t="s">
        <v>46</v>
      </c>
      <c r="V205" s="7"/>
      <c r="W205" s="7">
        <v>7</v>
      </c>
      <c r="X205" s="18">
        <v>2583</v>
      </c>
      <c r="Y205" s="18">
        <v>0</v>
      </c>
      <c r="Z205" s="18">
        <v>2583</v>
      </c>
      <c r="AA205" s="18">
        <v>0</v>
      </c>
      <c r="AB205" s="18">
        <v>2583</v>
      </c>
      <c r="AC205" s="18">
        <v>0</v>
      </c>
      <c r="AD205" s="7"/>
      <c r="AE205" s="7" t="s">
        <v>56</v>
      </c>
      <c r="AF205" s="7"/>
      <c r="AG205" s="7"/>
      <c r="AH205" s="7"/>
      <c r="AI205" s="7"/>
      <c r="AJ205" s="7"/>
      <c r="AK205" s="7"/>
      <c r="AL205" s="7"/>
      <c r="AM205" s="7"/>
      <c r="AN205" s="7"/>
      <c r="AO205" s="7"/>
      <c r="AP205" s="7"/>
      <c r="AQ205" s="7"/>
      <c r="AR205" s="7"/>
      <c r="AS205" s="7"/>
      <c r="AT205" s="7"/>
      <c r="AU205" s="7"/>
      <c r="AV205" s="7"/>
      <c r="AW205" s="7"/>
      <c r="AX205" s="7"/>
      <c r="AY205" s="7"/>
      <c r="AZ205" s="7"/>
    </row>
    <row r="206" spans="1:52" ht="63" customHeight="1">
      <c r="A206" s="20" t="s">
        <v>1085</v>
      </c>
      <c r="B206" s="7">
        <v>1</v>
      </c>
      <c r="C206" s="7" t="s">
        <v>512</v>
      </c>
      <c r="D206" s="7" t="s">
        <v>36</v>
      </c>
      <c r="E206" s="13" t="s">
        <v>63</v>
      </c>
      <c r="F206" s="7" t="s">
        <v>1086</v>
      </c>
      <c r="G206" s="7">
        <v>1980</v>
      </c>
      <c r="H206" s="7"/>
      <c r="I206" s="14" t="s">
        <v>1087</v>
      </c>
      <c r="J206" s="14" t="str">
        <f>HYPERLINK("http://gov.uk/SSAC","http://gov.uk/SSAC")</f>
        <v>http://gov.uk/SSAC</v>
      </c>
      <c r="K206" s="7" t="s">
        <v>646</v>
      </c>
      <c r="L206" s="7" t="s">
        <v>1088</v>
      </c>
      <c r="M206" s="7" t="s">
        <v>42</v>
      </c>
      <c r="N206" s="15" t="s">
        <v>37</v>
      </c>
      <c r="O206" s="16"/>
      <c r="P206" s="7" t="s">
        <v>46</v>
      </c>
      <c r="Q206" s="17" t="s">
        <v>1089</v>
      </c>
      <c r="R206" s="7" t="s">
        <v>37</v>
      </c>
      <c r="S206" s="7" t="s">
        <v>43</v>
      </c>
      <c r="T206" s="7" t="s">
        <v>43</v>
      </c>
      <c r="U206" s="7" t="s">
        <v>46</v>
      </c>
      <c r="V206" s="7">
        <v>2015</v>
      </c>
      <c r="W206" s="7">
        <v>3.6</v>
      </c>
      <c r="X206" s="18">
        <v>0</v>
      </c>
      <c r="Y206" s="18">
        <v>0</v>
      </c>
      <c r="Z206" s="18">
        <v>0</v>
      </c>
      <c r="AA206" s="18">
        <v>0</v>
      </c>
      <c r="AB206" s="18">
        <v>0</v>
      </c>
      <c r="AC206" s="18">
        <v>0</v>
      </c>
      <c r="AD206" s="7" t="s">
        <v>1090</v>
      </c>
      <c r="AE206" s="7" t="s">
        <v>56</v>
      </c>
      <c r="AF206" s="7"/>
      <c r="AG206" s="7"/>
      <c r="AH206" s="7"/>
      <c r="AI206" s="7"/>
      <c r="AJ206" s="7"/>
      <c r="AK206" s="7"/>
      <c r="AL206" s="7"/>
      <c r="AM206" s="7"/>
      <c r="AN206" s="7"/>
      <c r="AO206" s="7"/>
      <c r="AP206" s="7"/>
      <c r="AQ206" s="7"/>
      <c r="AR206" s="7"/>
      <c r="AS206" s="7"/>
      <c r="AT206" s="7"/>
      <c r="AU206" s="7"/>
      <c r="AV206" s="7"/>
      <c r="AW206" s="7"/>
      <c r="AX206" s="7"/>
      <c r="AY206" s="7"/>
      <c r="AZ206" s="7"/>
    </row>
    <row r="207" spans="1:52" ht="63" customHeight="1">
      <c r="A207" s="20" t="s">
        <v>1091</v>
      </c>
      <c r="B207" s="7">
        <v>1</v>
      </c>
      <c r="C207" s="7" t="s">
        <v>334</v>
      </c>
      <c r="D207" s="7" t="s">
        <v>95</v>
      </c>
      <c r="E207" s="7" t="s">
        <v>43</v>
      </c>
      <c r="F207" s="7" t="s">
        <v>1092</v>
      </c>
      <c r="G207" s="7">
        <v>2018</v>
      </c>
      <c r="H207" s="7"/>
      <c r="I207" s="14" t="str">
        <f>HYPERLINK("mailto:enquiries@socialworkengland.org.uk","enquiries@socialworkengland.org.uk")</f>
        <v>enquiries@socialworkengland.org.uk</v>
      </c>
      <c r="J207" s="14" t="str">
        <f>HYPERLINK("https://www.socialworkengland.org.uk/","www.socialworkengland.org.uk")</f>
        <v>www.socialworkengland.org.uk</v>
      </c>
      <c r="K207" s="7" t="s">
        <v>1093</v>
      </c>
      <c r="L207" s="13" t="s">
        <v>1094</v>
      </c>
      <c r="M207" s="13" t="s">
        <v>42</v>
      </c>
      <c r="N207" s="15" t="s">
        <v>43</v>
      </c>
      <c r="O207" s="16">
        <v>450</v>
      </c>
      <c r="P207" s="15" t="s">
        <v>44</v>
      </c>
      <c r="Q207" s="13" t="s">
        <v>1095</v>
      </c>
      <c r="R207" s="7" t="s">
        <v>43</v>
      </c>
      <c r="S207" s="7" t="s">
        <v>43</v>
      </c>
      <c r="T207" s="7" t="s">
        <v>43</v>
      </c>
      <c r="U207" s="7" t="s">
        <v>46</v>
      </c>
      <c r="V207" s="7"/>
      <c r="W207" s="7">
        <v>147</v>
      </c>
      <c r="X207" s="18">
        <v>5030</v>
      </c>
      <c r="Y207" s="18">
        <v>0</v>
      </c>
      <c r="Z207" s="18">
        <v>5030</v>
      </c>
      <c r="AA207" s="18">
        <v>2142</v>
      </c>
      <c r="AB207" s="18">
        <v>2218</v>
      </c>
      <c r="AC207" s="18">
        <v>0</v>
      </c>
      <c r="AD207" s="7"/>
      <c r="AE207" s="7" t="s">
        <v>56</v>
      </c>
      <c r="AF207" s="7"/>
      <c r="AG207" s="7"/>
      <c r="AH207" s="7"/>
      <c r="AI207" s="7"/>
      <c r="AJ207" s="7"/>
      <c r="AK207" s="7"/>
      <c r="AL207" s="7"/>
      <c r="AM207" s="7"/>
      <c r="AN207" s="7"/>
      <c r="AO207" s="7"/>
      <c r="AP207" s="7"/>
      <c r="AQ207" s="7"/>
      <c r="AR207" s="7"/>
      <c r="AS207" s="7"/>
      <c r="AT207" s="7"/>
      <c r="AU207" s="7"/>
      <c r="AV207" s="7"/>
      <c r="AW207" s="7"/>
      <c r="AX207" s="7"/>
      <c r="AY207" s="7"/>
      <c r="AZ207" s="7"/>
    </row>
    <row r="208" spans="1:52" ht="63" customHeight="1">
      <c r="A208" s="20" t="s">
        <v>1096</v>
      </c>
      <c r="B208" s="7">
        <v>1</v>
      </c>
      <c r="C208" s="7" t="s">
        <v>122</v>
      </c>
      <c r="D208" s="7" t="s">
        <v>95</v>
      </c>
      <c r="E208" s="7" t="s">
        <v>37</v>
      </c>
      <c r="F208" s="7" t="s">
        <v>1097</v>
      </c>
      <c r="G208" s="7">
        <v>1997</v>
      </c>
      <c r="H208" s="7"/>
      <c r="I208" s="14" t="str">
        <f>HYPERLINK("mailto:Info@sportengland.org","Info@sportengland.org")</f>
        <v>Info@sportengland.org</v>
      </c>
      <c r="J208" s="14" t="s">
        <v>1098</v>
      </c>
      <c r="K208" s="7" t="s">
        <v>1099</v>
      </c>
      <c r="L208" s="7" t="s">
        <v>1100</v>
      </c>
      <c r="M208" s="13" t="s">
        <v>42</v>
      </c>
      <c r="N208" s="15" t="s">
        <v>43</v>
      </c>
      <c r="O208" s="16">
        <v>40000</v>
      </c>
      <c r="P208" s="15" t="s">
        <v>52</v>
      </c>
      <c r="Q208" s="13" t="s">
        <v>1101</v>
      </c>
      <c r="R208" s="7" t="s">
        <v>37</v>
      </c>
      <c r="S208" s="7" t="s">
        <v>43</v>
      </c>
      <c r="T208" s="7" t="s">
        <v>43</v>
      </c>
      <c r="U208" s="7" t="s">
        <v>54</v>
      </c>
      <c r="V208" s="7">
        <v>2015</v>
      </c>
      <c r="W208" s="7">
        <v>285</v>
      </c>
      <c r="X208" s="18">
        <v>98765</v>
      </c>
      <c r="Y208" s="18">
        <v>201805</v>
      </c>
      <c r="Z208" s="18">
        <f>(X208+Y208)</f>
        <v>300570</v>
      </c>
      <c r="AA208" s="18">
        <v>65078</v>
      </c>
      <c r="AB208" s="18">
        <v>41161</v>
      </c>
      <c r="AC208" s="18">
        <v>197124</v>
      </c>
      <c r="AD208" s="7"/>
      <c r="AE208" s="7"/>
      <c r="AF208" s="7"/>
      <c r="AG208" s="7"/>
      <c r="AH208" s="7"/>
      <c r="AI208" s="7"/>
      <c r="AJ208" s="7"/>
      <c r="AK208" s="7"/>
      <c r="AL208" s="7"/>
      <c r="AM208" s="7"/>
      <c r="AN208" s="7"/>
      <c r="AO208" s="7"/>
      <c r="AP208" s="7"/>
      <c r="AQ208" s="7"/>
      <c r="AR208" s="7"/>
      <c r="AS208" s="7"/>
      <c r="AT208" s="7"/>
      <c r="AU208" s="7"/>
      <c r="AV208" s="7"/>
      <c r="AW208" s="7"/>
      <c r="AX208" s="7"/>
      <c r="AY208" s="7"/>
      <c r="AZ208" s="7"/>
    </row>
    <row r="209" spans="1:52" ht="63" customHeight="1">
      <c r="A209" s="20" t="s">
        <v>1102</v>
      </c>
      <c r="B209" s="7">
        <v>1</v>
      </c>
      <c r="C209" s="7" t="s">
        <v>122</v>
      </c>
      <c r="D209" s="7" t="s">
        <v>95</v>
      </c>
      <c r="E209" s="7" t="s">
        <v>43</v>
      </c>
      <c r="F209" s="7" t="s">
        <v>1103</v>
      </c>
      <c r="G209" s="7">
        <v>1989</v>
      </c>
      <c r="H209" s="7"/>
      <c r="I209" s="14" t="str">
        <f>HYPERLINK("mailto:info@sgsamail.org.uk","info@sgsamail.org.uk")</f>
        <v>info@sgsamail.org.uk</v>
      </c>
      <c r="J209" s="14" t="str">
        <f>HYPERLINK("www.sgsa.org.uk","www.sgsa.org.uk")</f>
        <v>www.sgsa.org.uk</v>
      </c>
      <c r="K209" s="7" t="s">
        <v>1099</v>
      </c>
      <c r="L209" s="7" t="s">
        <v>1104</v>
      </c>
      <c r="M209" s="7" t="s">
        <v>42</v>
      </c>
      <c r="N209" s="15" t="s">
        <v>43</v>
      </c>
      <c r="O209" s="16">
        <v>18130</v>
      </c>
      <c r="P209" s="15" t="s">
        <v>52</v>
      </c>
      <c r="Q209" s="7" t="s">
        <v>1105</v>
      </c>
      <c r="R209" s="7" t="s">
        <v>37</v>
      </c>
      <c r="S209" s="7" t="s">
        <v>43</v>
      </c>
      <c r="T209" s="7" t="s">
        <v>43</v>
      </c>
      <c r="U209" s="7" t="s">
        <v>54</v>
      </c>
      <c r="V209" s="7">
        <v>2011</v>
      </c>
      <c r="W209" s="7">
        <v>21.4</v>
      </c>
      <c r="X209" s="18">
        <v>1601</v>
      </c>
      <c r="Y209" s="18">
        <v>446</v>
      </c>
      <c r="Z209" s="18">
        <v>2047</v>
      </c>
      <c r="AA209" s="18">
        <v>1600</v>
      </c>
      <c r="AB209" s="18">
        <v>1</v>
      </c>
      <c r="AC209" s="18">
        <v>0</v>
      </c>
      <c r="AD209" s="7"/>
      <c r="AE209" s="7"/>
      <c r="AF209" s="7"/>
      <c r="AG209" s="7"/>
      <c r="AH209" s="7"/>
      <c r="AI209" s="7"/>
      <c r="AJ209" s="7"/>
      <c r="AK209" s="7"/>
      <c r="AL209" s="7"/>
      <c r="AM209" s="7"/>
      <c r="AN209" s="7"/>
      <c r="AO209" s="7"/>
      <c r="AP209" s="7"/>
      <c r="AQ209" s="7"/>
      <c r="AR209" s="7"/>
      <c r="AS209" s="7"/>
      <c r="AT209" s="7"/>
      <c r="AU209" s="7"/>
      <c r="AV209" s="7"/>
      <c r="AW209" s="7"/>
      <c r="AX209" s="7"/>
      <c r="AY209" s="7"/>
      <c r="AZ209" s="7"/>
    </row>
    <row r="210" spans="1:52" ht="63" customHeight="1">
      <c r="A210" s="20" t="s">
        <v>1106</v>
      </c>
      <c r="B210" s="7">
        <v>1</v>
      </c>
      <c r="C210" s="7" t="s">
        <v>334</v>
      </c>
      <c r="D210" s="7" t="s">
        <v>108</v>
      </c>
      <c r="E210" s="7" t="s">
        <v>37</v>
      </c>
      <c r="F210" s="7" t="s">
        <v>1107</v>
      </c>
      <c r="G210" s="7">
        <v>2011</v>
      </c>
      <c r="H210" s="7"/>
      <c r="I210" s="14" t="str">
        <f>HYPERLINK("mailto:assessments@education.gov.uk","assessments@education.gov.uk")</f>
        <v>assessments@education.gov.uk</v>
      </c>
      <c r="J210" s="14" t="str">
        <f>HYPERLINK("https://www.gov.uk/government/organisations/standards-and-testing-agency","https://www.gov.uk/government/organisations/standards-and-testing-agency")</f>
        <v>https://www.gov.uk/government/organisations/standards-and-testing-agency</v>
      </c>
      <c r="K210" s="7" t="s">
        <v>1108</v>
      </c>
      <c r="L210" s="13" t="s">
        <v>46</v>
      </c>
      <c r="M210" s="13" t="s">
        <v>46</v>
      </c>
      <c r="N210" s="17" t="s">
        <v>46</v>
      </c>
      <c r="O210" s="16"/>
      <c r="P210" s="15"/>
      <c r="Q210" s="7"/>
      <c r="R210" s="7" t="s">
        <v>37</v>
      </c>
      <c r="S210" s="7" t="s">
        <v>37</v>
      </c>
      <c r="T210" s="7" t="s">
        <v>43</v>
      </c>
      <c r="U210" s="7" t="s">
        <v>54</v>
      </c>
      <c r="V210" s="7">
        <v>2018</v>
      </c>
      <c r="W210" s="7">
        <v>142</v>
      </c>
      <c r="X210" s="18">
        <v>55230</v>
      </c>
      <c r="Y210" s="18">
        <v>0</v>
      </c>
      <c r="Z210" s="18">
        <v>55230</v>
      </c>
      <c r="AA210" s="18">
        <v>53330</v>
      </c>
      <c r="AB210" s="18">
        <v>19000</v>
      </c>
      <c r="AC210" s="18">
        <v>0</v>
      </c>
      <c r="AD210" s="7"/>
      <c r="AE210" s="7"/>
      <c r="AF210" s="7"/>
      <c r="AG210" s="7"/>
      <c r="AH210" s="7"/>
      <c r="AI210" s="7"/>
      <c r="AJ210" s="7"/>
      <c r="AK210" s="7"/>
      <c r="AL210" s="7"/>
      <c r="AM210" s="7"/>
      <c r="AN210" s="7"/>
      <c r="AO210" s="7"/>
      <c r="AP210" s="7"/>
      <c r="AQ210" s="7"/>
      <c r="AR210" s="7"/>
      <c r="AS210" s="7"/>
      <c r="AT210" s="7"/>
      <c r="AU210" s="7"/>
      <c r="AV210" s="7"/>
      <c r="AW210" s="7"/>
      <c r="AX210" s="7"/>
      <c r="AY210" s="7"/>
      <c r="AZ210" s="7"/>
    </row>
    <row r="211" spans="1:52" ht="63" customHeight="1">
      <c r="A211" s="20" t="s">
        <v>1109</v>
      </c>
      <c r="B211" s="7">
        <v>1</v>
      </c>
      <c r="C211" s="7" t="s">
        <v>334</v>
      </c>
      <c r="D211" s="7" t="s">
        <v>95</v>
      </c>
      <c r="E211" s="7" t="s">
        <v>37</v>
      </c>
      <c r="F211" s="7" t="s">
        <v>1110</v>
      </c>
      <c r="G211" s="7">
        <v>1989</v>
      </c>
      <c r="H211" s="7"/>
      <c r="I211" s="14" t="str">
        <f>HYPERLINK("www.gov.uk/contact-student-finance-england","www.gov.uk/contact-student-finance-england")</f>
        <v>www.gov.uk/contact-student-finance-england</v>
      </c>
      <c r="J211" s="14" t="str">
        <f>HYPERLINK("https://www.gov.uk/government/organisations/student-loans-company","www.gov.uk/government/organisations/student-loans-company#content")</f>
        <v>www.gov.uk/government/organisations/student-loans-company#content</v>
      </c>
      <c r="K211" s="7" t="s">
        <v>1111</v>
      </c>
      <c r="L211" s="7" t="s">
        <v>1112</v>
      </c>
      <c r="M211" s="7" t="s">
        <v>42</v>
      </c>
      <c r="N211" s="15" t="s">
        <v>43</v>
      </c>
      <c r="O211" s="16">
        <v>50000</v>
      </c>
      <c r="P211" s="15"/>
      <c r="Q211" s="13" t="s">
        <v>729</v>
      </c>
      <c r="R211" s="7" t="s">
        <v>37</v>
      </c>
      <c r="S211" s="7" t="s">
        <v>43</v>
      </c>
      <c r="T211" s="7" t="s">
        <v>43</v>
      </c>
      <c r="U211" s="7" t="s">
        <v>766</v>
      </c>
      <c r="V211" s="7">
        <v>2018</v>
      </c>
      <c r="W211" s="26">
        <v>2895</v>
      </c>
      <c r="X211" s="18">
        <v>260900</v>
      </c>
      <c r="Y211" s="18">
        <v>0</v>
      </c>
      <c r="Z211" s="18">
        <v>260900</v>
      </c>
      <c r="AA211" s="18">
        <v>223900</v>
      </c>
      <c r="AB211" s="18">
        <v>37000</v>
      </c>
      <c r="AC211" s="18">
        <v>-474</v>
      </c>
      <c r="AD211" s="7" t="s">
        <v>1113</v>
      </c>
      <c r="AE211" s="7" t="s">
        <v>56</v>
      </c>
      <c r="AF211" s="7"/>
      <c r="AG211" s="7"/>
      <c r="AH211" s="7"/>
      <c r="AI211" s="7"/>
      <c r="AJ211" s="7"/>
      <c r="AK211" s="7"/>
      <c r="AL211" s="7"/>
      <c r="AM211" s="7"/>
      <c r="AN211" s="7"/>
      <c r="AO211" s="7"/>
      <c r="AP211" s="7"/>
      <c r="AQ211" s="7"/>
      <c r="AR211" s="7"/>
      <c r="AS211" s="7"/>
      <c r="AT211" s="7"/>
      <c r="AU211" s="7"/>
      <c r="AV211" s="7"/>
      <c r="AW211" s="7"/>
      <c r="AX211" s="7"/>
      <c r="AY211" s="7"/>
      <c r="AZ211" s="7"/>
    </row>
    <row r="212" spans="1:52" ht="63" customHeight="1">
      <c r="A212" s="20" t="s">
        <v>1114</v>
      </c>
      <c r="B212" s="7">
        <v>1</v>
      </c>
      <c r="C212" s="7" t="s">
        <v>65</v>
      </c>
      <c r="D212" s="7" t="s">
        <v>108</v>
      </c>
      <c r="E212" s="7" t="s">
        <v>37</v>
      </c>
      <c r="F212" s="7" t="s">
        <v>1115</v>
      </c>
      <c r="G212" s="7">
        <v>2018</v>
      </c>
      <c r="H212" s="7"/>
      <c r="I212" s="7"/>
      <c r="J212" s="14" t="str">
        <f>HYPERLINK("https://des.mod.uk/","https://des.mod.uk/")</f>
        <v>https://des.mod.uk/</v>
      </c>
      <c r="K212" s="7" t="s">
        <v>1116</v>
      </c>
      <c r="L212" s="7" t="s">
        <v>1117</v>
      </c>
      <c r="M212" s="7" t="s">
        <v>42</v>
      </c>
      <c r="N212" s="15" t="s">
        <v>43</v>
      </c>
      <c r="O212" s="16">
        <v>150000</v>
      </c>
      <c r="P212" s="15" t="s">
        <v>52</v>
      </c>
      <c r="Q212" s="17" t="s">
        <v>100</v>
      </c>
      <c r="R212" s="7" t="s">
        <v>37</v>
      </c>
      <c r="S212" s="7" t="s">
        <v>37</v>
      </c>
      <c r="T212" s="7" t="s">
        <v>43</v>
      </c>
      <c r="U212" s="7" t="s">
        <v>46</v>
      </c>
      <c r="V212" s="7"/>
      <c r="W212" s="26">
        <v>1409</v>
      </c>
      <c r="X212" s="18">
        <v>169680</v>
      </c>
      <c r="Y212" s="18">
        <v>0</v>
      </c>
      <c r="Z212" s="18">
        <v>169680</v>
      </c>
      <c r="AA212" s="18">
        <v>174580</v>
      </c>
      <c r="AB212" s="18">
        <v>0</v>
      </c>
      <c r="AC212" s="18">
        <v>905</v>
      </c>
      <c r="AD212" s="7" t="s">
        <v>1118</v>
      </c>
      <c r="AE212" s="7"/>
      <c r="AF212" s="7"/>
      <c r="AG212" s="7"/>
      <c r="AH212" s="7"/>
      <c r="AI212" s="7"/>
      <c r="AJ212" s="7"/>
      <c r="AK212" s="7"/>
      <c r="AL212" s="7"/>
      <c r="AM212" s="7"/>
      <c r="AN212" s="7"/>
      <c r="AO212" s="7"/>
      <c r="AP212" s="7"/>
      <c r="AQ212" s="7"/>
      <c r="AR212" s="7"/>
      <c r="AS212" s="7"/>
      <c r="AT212" s="7"/>
      <c r="AU212" s="7"/>
      <c r="AV212" s="7"/>
      <c r="AW212" s="7"/>
      <c r="AX212" s="7"/>
      <c r="AY212" s="7"/>
      <c r="AZ212" s="7"/>
    </row>
    <row r="213" spans="1:52" ht="63" customHeight="1">
      <c r="A213" s="20" t="s">
        <v>1119</v>
      </c>
      <c r="B213" s="7">
        <v>1</v>
      </c>
      <c r="C213" s="7" t="s">
        <v>122</v>
      </c>
      <c r="D213" s="7" t="s">
        <v>95</v>
      </c>
      <c r="E213" s="7" t="s">
        <v>37</v>
      </c>
      <c r="F213" s="7" t="s">
        <v>1120</v>
      </c>
      <c r="G213" s="7">
        <v>1897</v>
      </c>
      <c r="H213" s="7"/>
      <c r="I213" s="14" t="str">
        <f>HYPERLINK("mailto:tab@homeoffice.gov.uk","info@tate.org.uk")</f>
        <v>info@tate.org.uk</v>
      </c>
      <c r="J213" s="14" t="s">
        <v>1121</v>
      </c>
      <c r="K213" s="13" t="s">
        <v>979</v>
      </c>
      <c r="L213" s="7" t="s">
        <v>1122</v>
      </c>
      <c r="M213" s="50" t="s">
        <v>780</v>
      </c>
      <c r="N213" s="15" t="s">
        <v>37</v>
      </c>
      <c r="O213" s="16"/>
      <c r="P213" s="15"/>
      <c r="Q213" s="13" t="s">
        <v>783</v>
      </c>
      <c r="R213" s="7" t="s">
        <v>37</v>
      </c>
      <c r="S213" s="13" t="s">
        <v>56</v>
      </c>
      <c r="T213" s="7" t="s">
        <v>43</v>
      </c>
      <c r="U213" s="7" t="s">
        <v>54</v>
      </c>
      <c r="V213" s="7">
        <v>2017</v>
      </c>
      <c r="W213" s="7">
        <v>843</v>
      </c>
      <c r="X213" s="18">
        <v>35126</v>
      </c>
      <c r="Y213" s="18">
        <v>85112</v>
      </c>
      <c r="Z213" s="18">
        <f>(X213+Y213)</f>
        <v>120238</v>
      </c>
      <c r="AA213" s="18">
        <v>64645</v>
      </c>
      <c r="AB213" s="18">
        <v>3159</v>
      </c>
      <c r="AC213" s="18">
        <v>0</v>
      </c>
      <c r="AD213" s="7"/>
      <c r="AE213" s="7"/>
      <c r="AF213" s="7"/>
      <c r="AG213" s="7"/>
      <c r="AH213" s="7"/>
      <c r="AI213" s="7"/>
      <c r="AJ213" s="7"/>
      <c r="AK213" s="7"/>
      <c r="AL213" s="7"/>
      <c r="AM213" s="7"/>
      <c r="AN213" s="7"/>
      <c r="AO213" s="7"/>
      <c r="AP213" s="7"/>
      <c r="AQ213" s="7"/>
      <c r="AR213" s="7"/>
      <c r="AS213" s="7"/>
      <c r="AT213" s="7"/>
      <c r="AU213" s="7"/>
      <c r="AV213" s="7"/>
      <c r="AW213" s="7"/>
      <c r="AX213" s="7"/>
      <c r="AY213" s="7"/>
      <c r="AZ213" s="7"/>
    </row>
    <row r="214" spans="1:52" ht="63" customHeight="1">
      <c r="A214" s="20" t="s">
        <v>1123</v>
      </c>
      <c r="B214" s="7">
        <v>1</v>
      </c>
      <c r="C214" s="7" t="s">
        <v>133</v>
      </c>
      <c r="D214" s="7" t="s">
        <v>36</v>
      </c>
      <c r="E214" s="7" t="s">
        <v>37</v>
      </c>
      <c r="F214" s="7" t="s">
        <v>1124</v>
      </c>
      <c r="G214" s="7">
        <v>2002</v>
      </c>
      <c r="H214" s="7"/>
      <c r="I214" s="14" t="str">
        <f>HYPERLINK("mailto:tab@homeoffice.gov.uk","tab@homeoffice.gov.uk")</f>
        <v>tab@homeoffice.gov.uk</v>
      </c>
      <c r="J214" s="14" t="str">
        <f>HYPERLINK("http://www.gov.uk/tab","http://www.gov.uk/tab")</f>
        <v>http://www.gov.uk/tab</v>
      </c>
      <c r="K214" s="7" t="s">
        <v>1125</v>
      </c>
      <c r="L214" s="7" t="s">
        <v>1126</v>
      </c>
      <c r="M214" s="45" t="s">
        <v>42</v>
      </c>
      <c r="N214" s="15" t="s">
        <v>43</v>
      </c>
      <c r="O214" s="16"/>
      <c r="P214" s="15" t="s">
        <v>44</v>
      </c>
      <c r="Q214" s="7" t="s">
        <v>1127</v>
      </c>
      <c r="R214" s="7" t="s">
        <v>37</v>
      </c>
      <c r="S214" s="7" t="s">
        <v>37</v>
      </c>
      <c r="T214" s="7" t="s">
        <v>37</v>
      </c>
      <c r="U214" s="7" t="s">
        <v>46</v>
      </c>
      <c r="V214" s="7">
        <v>2013</v>
      </c>
      <c r="W214" s="7">
        <v>0</v>
      </c>
      <c r="X214" s="18">
        <v>0</v>
      </c>
      <c r="Y214" s="18">
        <v>0</v>
      </c>
      <c r="Z214" s="18">
        <v>0</v>
      </c>
      <c r="AA214" s="18">
        <v>0</v>
      </c>
      <c r="AB214" s="18">
        <v>0</v>
      </c>
      <c r="AC214" s="18">
        <v>0</v>
      </c>
      <c r="AD214" s="7" t="s">
        <v>1128</v>
      </c>
      <c r="AE214" s="7" t="s">
        <v>56</v>
      </c>
      <c r="AF214" s="7"/>
      <c r="AG214" s="7"/>
      <c r="AH214" s="7"/>
      <c r="AI214" s="7"/>
      <c r="AJ214" s="7"/>
      <c r="AK214" s="7"/>
      <c r="AL214" s="7"/>
      <c r="AM214" s="7"/>
      <c r="AN214" s="7"/>
      <c r="AO214" s="7"/>
      <c r="AP214" s="7"/>
      <c r="AQ214" s="7"/>
      <c r="AR214" s="7"/>
      <c r="AS214" s="7"/>
      <c r="AT214" s="7"/>
      <c r="AU214" s="7"/>
      <c r="AV214" s="7"/>
      <c r="AW214" s="7"/>
      <c r="AX214" s="7"/>
      <c r="AY214" s="7"/>
      <c r="AZ214" s="7"/>
    </row>
    <row r="215" spans="1:52" ht="63" customHeight="1">
      <c r="A215" s="20" t="s">
        <v>1129</v>
      </c>
      <c r="B215" s="7">
        <v>1</v>
      </c>
      <c r="C215" s="7" t="s">
        <v>122</v>
      </c>
      <c r="D215" s="7" t="s">
        <v>36</v>
      </c>
      <c r="E215" s="7" t="s">
        <v>37</v>
      </c>
      <c r="F215" s="7" t="s">
        <v>1130</v>
      </c>
      <c r="G215" s="7">
        <v>1958</v>
      </c>
      <c r="H215" s="7"/>
      <c r="I215" s="14" t="str">
        <f>HYPERLINK("https://nationalarchives.gov.uk/contact-us/your-views/","Please contact via website")</f>
        <v>Please contact via website</v>
      </c>
      <c r="J215" s="14" t="str">
        <f>HYPERLINK("https://www.nationalarchives.gov.uk/about/our-role/advisory-council/","https://www.nationalarchives.gov.uk/about/our-role/advisory-council/")</f>
        <v>https://www.nationalarchives.gov.uk/about/our-role/advisory-council/</v>
      </c>
      <c r="K215" s="13" t="s">
        <v>753</v>
      </c>
      <c r="L215" s="7" t="s">
        <v>1131</v>
      </c>
      <c r="M215" s="13" t="s">
        <v>1132</v>
      </c>
      <c r="N215" s="15" t="s">
        <v>37</v>
      </c>
      <c r="O215" s="16"/>
      <c r="P215" s="15"/>
      <c r="Q215" s="13" t="s">
        <v>1133</v>
      </c>
      <c r="R215" s="7" t="s">
        <v>37</v>
      </c>
      <c r="S215" s="7" t="s">
        <v>43</v>
      </c>
      <c r="T215" s="7" t="s">
        <v>43</v>
      </c>
      <c r="U215" s="7" t="s">
        <v>54</v>
      </c>
      <c r="V215" s="7">
        <v>2014</v>
      </c>
      <c r="W215" s="7"/>
      <c r="X215" s="18">
        <v>0</v>
      </c>
      <c r="Y215" s="18">
        <v>0</v>
      </c>
      <c r="Z215" s="18">
        <f>(X215+Y215)</f>
        <v>0</v>
      </c>
      <c r="AA215" s="18">
        <v>0</v>
      </c>
      <c r="AB215" s="18">
        <v>0</v>
      </c>
      <c r="AC215" s="18">
        <v>0</v>
      </c>
      <c r="AD215" s="7"/>
      <c r="AE215" s="7"/>
      <c r="AF215" s="7"/>
      <c r="AG215" s="7"/>
      <c r="AH215" s="7"/>
      <c r="AI215" s="7"/>
      <c r="AJ215" s="7"/>
      <c r="AK215" s="7"/>
      <c r="AL215" s="7"/>
      <c r="AM215" s="7"/>
      <c r="AN215" s="7"/>
      <c r="AO215" s="7"/>
      <c r="AP215" s="7"/>
      <c r="AQ215" s="7"/>
      <c r="AR215" s="7"/>
      <c r="AS215" s="7"/>
      <c r="AT215" s="7"/>
      <c r="AU215" s="7"/>
      <c r="AV215" s="7"/>
      <c r="AW215" s="7"/>
      <c r="AX215" s="7"/>
      <c r="AY215" s="7"/>
      <c r="AZ215" s="7"/>
    </row>
    <row r="216" spans="1:52" ht="63" customHeight="1">
      <c r="A216" s="20" t="s">
        <v>1134</v>
      </c>
      <c r="B216" s="7">
        <v>1</v>
      </c>
      <c r="C216" s="7" t="s">
        <v>212</v>
      </c>
      <c r="D216" s="7" t="s">
        <v>95</v>
      </c>
      <c r="E216" s="7" t="s">
        <v>37</v>
      </c>
      <c r="F216" s="7" t="s">
        <v>1135</v>
      </c>
      <c r="G216" s="7">
        <v>1996</v>
      </c>
      <c r="H216" s="7"/>
      <c r="I216" s="14" t="str">
        <f>HYPERLINK("mailto:info@housing-ombudsman.org.uk","info@housing-ombudsman.org.uk
")</f>
        <v xml:space="preserve">info@housing-ombudsman.org.uk
</v>
      </c>
      <c r="J216" s="14" t="s">
        <v>1136</v>
      </c>
      <c r="K216" s="7" t="s">
        <v>1137</v>
      </c>
      <c r="L216" s="13" t="s">
        <v>46</v>
      </c>
      <c r="M216" s="13" t="s">
        <v>46</v>
      </c>
      <c r="N216" s="17" t="s">
        <v>46</v>
      </c>
      <c r="O216" s="16"/>
      <c r="P216" s="15"/>
      <c r="Q216" s="15"/>
      <c r="R216" s="7" t="s">
        <v>37</v>
      </c>
      <c r="S216" s="7" t="s">
        <v>37</v>
      </c>
      <c r="T216" s="7" t="s">
        <v>43</v>
      </c>
      <c r="U216" s="7" t="s">
        <v>46</v>
      </c>
      <c r="V216" s="7"/>
      <c r="W216" s="7">
        <v>62.6</v>
      </c>
      <c r="X216" s="18">
        <v>75</v>
      </c>
      <c r="Y216" s="18">
        <v>5889</v>
      </c>
      <c r="Z216" s="18">
        <v>5964</v>
      </c>
      <c r="AA216" s="18">
        <v>5825</v>
      </c>
      <c r="AB216" s="18">
        <v>75</v>
      </c>
      <c r="AC216" s="18">
        <v>752</v>
      </c>
      <c r="AD216" s="7"/>
      <c r="AE216" s="7" t="s">
        <v>56</v>
      </c>
      <c r="AF216" s="7"/>
      <c r="AG216" s="7"/>
      <c r="AH216" s="7"/>
      <c r="AI216" s="7"/>
      <c r="AJ216" s="7"/>
      <c r="AK216" s="7"/>
      <c r="AL216" s="7"/>
      <c r="AM216" s="7"/>
      <c r="AN216" s="7"/>
      <c r="AO216" s="7"/>
      <c r="AP216" s="7"/>
      <c r="AQ216" s="7"/>
      <c r="AR216" s="7"/>
      <c r="AS216" s="7"/>
      <c r="AT216" s="7"/>
      <c r="AU216" s="7"/>
      <c r="AV216" s="7"/>
      <c r="AW216" s="7"/>
      <c r="AX216" s="7"/>
      <c r="AY216" s="7"/>
      <c r="AZ216" s="7"/>
    </row>
    <row r="217" spans="1:52" ht="63" customHeight="1">
      <c r="A217" s="12" t="s">
        <v>1138</v>
      </c>
      <c r="B217" s="7">
        <v>1</v>
      </c>
      <c r="C217" s="7" t="s">
        <v>334</v>
      </c>
      <c r="D217" s="7" t="s">
        <v>108</v>
      </c>
      <c r="E217" s="7" t="s">
        <v>37</v>
      </c>
      <c r="F217" s="7" t="s">
        <v>1139</v>
      </c>
      <c r="G217" s="7">
        <v>2018</v>
      </c>
      <c r="H217" s="7"/>
      <c r="I217" s="7" t="s">
        <v>1140</v>
      </c>
      <c r="J217" s="14" t="str">
        <f>HYPERLINK("https://www.gov.uk/government/organisations/teaching-regulation-agency","https://www.gov.uk/government/organisations/teaching-regulation-agency")</f>
        <v>https://www.gov.uk/government/organisations/teaching-regulation-agency</v>
      </c>
      <c r="K217" s="7" t="s">
        <v>1141</v>
      </c>
      <c r="L217" s="13" t="s">
        <v>46</v>
      </c>
      <c r="M217" s="13" t="s">
        <v>46</v>
      </c>
      <c r="N217" s="15"/>
      <c r="O217" s="16"/>
      <c r="P217" s="15"/>
      <c r="Q217" s="7"/>
      <c r="R217" s="7" t="s">
        <v>37</v>
      </c>
      <c r="S217" s="7" t="s">
        <v>37</v>
      </c>
      <c r="T217" s="7" t="s">
        <v>43</v>
      </c>
      <c r="U217" s="7" t="s">
        <v>334</v>
      </c>
      <c r="V217" s="7">
        <v>2019</v>
      </c>
      <c r="W217" s="7">
        <v>73</v>
      </c>
      <c r="X217" s="18">
        <v>8014</v>
      </c>
      <c r="Y217" s="18">
        <v>0</v>
      </c>
      <c r="Z217" s="18">
        <v>8014</v>
      </c>
      <c r="AA217" s="18">
        <v>8014</v>
      </c>
      <c r="AB217" s="18">
        <v>0</v>
      </c>
      <c r="AC217" s="18">
        <v>0</v>
      </c>
      <c r="AD217" s="7"/>
      <c r="AE217" s="7"/>
      <c r="AF217" s="7"/>
      <c r="AG217" s="7"/>
      <c r="AH217" s="7"/>
      <c r="AI217" s="7"/>
      <c r="AJ217" s="7"/>
      <c r="AK217" s="7"/>
      <c r="AL217" s="7"/>
      <c r="AM217" s="7"/>
      <c r="AN217" s="7"/>
      <c r="AO217" s="7"/>
      <c r="AP217" s="7"/>
      <c r="AQ217" s="7"/>
      <c r="AR217" s="7"/>
      <c r="AS217" s="7"/>
      <c r="AT217" s="7"/>
      <c r="AU217" s="7"/>
      <c r="AV217" s="7"/>
      <c r="AW217" s="7"/>
      <c r="AX217" s="7"/>
      <c r="AY217" s="7"/>
      <c r="AZ217" s="7"/>
    </row>
    <row r="218" spans="1:52" ht="63" customHeight="1">
      <c r="A218" s="20" t="s">
        <v>1142</v>
      </c>
      <c r="B218" s="7">
        <v>1</v>
      </c>
      <c r="C218" s="7" t="s">
        <v>122</v>
      </c>
      <c r="D218" s="7" t="s">
        <v>36</v>
      </c>
      <c r="E218" s="7" t="s">
        <v>43</v>
      </c>
      <c r="F218" s="7" t="s">
        <v>1143</v>
      </c>
      <c r="G218" s="7">
        <v>1976</v>
      </c>
      <c r="H218" s="7"/>
      <c r="I218" s="14" t="str">
        <f>HYPERLINK("mailto:info@theatrestrust.org.uk","info@theatrestrust.org.uk")</f>
        <v>info@theatrestrust.org.uk</v>
      </c>
      <c r="J218" s="14" t="str">
        <f>HYPERLINK("http://www.theatrestrust.org.uk/","http://www.theatrestrust.org.uk/")</f>
        <v>http://www.theatrestrust.org.uk/</v>
      </c>
      <c r="K218" s="7" t="s">
        <v>1144</v>
      </c>
      <c r="L218" s="7" t="s">
        <v>1145</v>
      </c>
      <c r="M218" s="13" t="s">
        <v>42</v>
      </c>
      <c r="N218" s="15" t="s">
        <v>37</v>
      </c>
      <c r="O218" s="16"/>
      <c r="P218" s="15"/>
      <c r="Q218" s="7" t="s">
        <v>1146</v>
      </c>
      <c r="R218" s="7" t="s">
        <v>63</v>
      </c>
      <c r="S218" s="7" t="s">
        <v>63</v>
      </c>
      <c r="T218" s="7" t="s">
        <v>56</v>
      </c>
      <c r="U218" s="7" t="s">
        <v>1147</v>
      </c>
      <c r="V218" s="7"/>
      <c r="W218" s="7">
        <v>9</v>
      </c>
      <c r="X218" s="18">
        <v>0</v>
      </c>
      <c r="Y218" s="18">
        <v>0</v>
      </c>
      <c r="Z218" s="18">
        <f>(X218+Y218)</f>
        <v>0</v>
      </c>
      <c r="AA218" s="18">
        <v>0</v>
      </c>
      <c r="AB218" s="18">
        <v>0</v>
      </c>
      <c r="AC218" s="18">
        <v>0</v>
      </c>
      <c r="AD218" s="7" t="s">
        <v>948</v>
      </c>
      <c r="AE218" s="7"/>
      <c r="AF218" s="7"/>
      <c r="AG218" s="7"/>
      <c r="AH218" s="7"/>
      <c r="AI218" s="7"/>
      <c r="AJ218" s="7"/>
      <c r="AK218" s="7"/>
      <c r="AL218" s="7"/>
      <c r="AM218" s="7"/>
      <c r="AN218" s="7"/>
      <c r="AO218" s="7"/>
      <c r="AP218" s="7"/>
      <c r="AQ218" s="7"/>
      <c r="AR218" s="7"/>
      <c r="AS218" s="7"/>
      <c r="AT218" s="7"/>
      <c r="AU218" s="7"/>
      <c r="AV218" s="7"/>
      <c r="AW218" s="7"/>
      <c r="AX218" s="7"/>
      <c r="AY218" s="7"/>
      <c r="AZ218" s="7"/>
    </row>
    <row r="219" spans="1:52" ht="63" customHeight="1">
      <c r="A219" s="12" t="s">
        <v>1148</v>
      </c>
      <c r="B219" s="7">
        <v>1</v>
      </c>
      <c r="C219" s="7" t="s">
        <v>206</v>
      </c>
      <c r="D219" s="7" t="s">
        <v>678</v>
      </c>
      <c r="E219" s="7" t="s">
        <v>43</v>
      </c>
      <c r="F219" s="7" t="s">
        <v>1149</v>
      </c>
      <c r="G219" s="7">
        <v>1931</v>
      </c>
      <c r="H219" s="7"/>
      <c r="I219" s="14" t="str">
        <f>HYPERLINK("mailto:enquiries@otc.gov.uk","enquiries@otc.gov.uk")</f>
        <v>enquiries@otc.gov.uk</v>
      </c>
      <c r="J219" s="14" t="str">
        <f>HYPERLINK("https://www.gov.uk/government/organisations/traffic-commissioners","www.gov.uk/traffic-commissioners")</f>
        <v>www.gov.uk/traffic-commissioners</v>
      </c>
      <c r="K219" s="7" t="s">
        <v>408</v>
      </c>
      <c r="L219" s="13" t="s">
        <v>1150</v>
      </c>
      <c r="M219" s="13" t="s">
        <v>42</v>
      </c>
      <c r="N219" s="15" t="s">
        <v>43</v>
      </c>
      <c r="O219" s="16">
        <v>127562</v>
      </c>
      <c r="P219" s="15" t="s">
        <v>52</v>
      </c>
      <c r="Q219" s="15" t="s">
        <v>1080</v>
      </c>
      <c r="R219" s="7" t="s">
        <v>37</v>
      </c>
      <c r="S219" s="7" t="s">
        <v>37</v>
      </c>
      <c r="T219" s="7" t="s">
        <v>43</v>
      </c>
      <c r="U219" s="7" t="s">
        <v>46</v>
      </c>
      <c r="V219" s="7">
        <v>2018</v>
      </c>
      <c r="W219" s="7">
        <v>0</v>
      </c>
      <c r="X219" s="18">
        <v>0</v>
      </c>
      <c r="Y219" s="18">
        <v>0</v>
      </c>
      <c r="Z219" s="18">
        <v>0</v>
      </c>
      <c r="AA219" s="18">
        <v>0</v>
      </c>
      <c r="AB219" s="18">
        <v>0</v>
      </c>
      <c r="AC219" s="18">
        <v>0</v>
      </c>
      <c r="AD219" s="7"/>
      <c r="AE219" s="7"/>
      <c r="AF219" s="7"/>
      <c r="AG219" s="7"/>
      <c r="AH219" s="7"/>
      <c r="AI219" s="7"/>
      <c r="AJ219" s="7"/>
      <c r="AK219" s="7"/>
      <c r="AL219" s="7"/>
      <c r="AM219" s="7"/>
      <c r="AN219" s="7"/>
      <c r="AO219" s="7"/>
      <c r="AP219" s="7"/>
      <c r="AQ219" s="7"/>
      <c r="AR219" s="7"/>
      <c r="AS219" s="7"/>
      <c r="AT219" s="7"/>
      <c r="AU219" s="7"/>
      <c r="AV219" s="7"/>
      <c r="AW219" s="7"/>
      <c r="AX219" s="7"/>
      <c r="AY219" s="7"/>
      <c r="AZ219" s="7"/>
    </row>
    <row r="220" spans="1:52" ht="63" customHeight="1">
      <c r="A220" s="20" t="s">
        <v>1151</v>
      </c>
      <c r="B220" s="7">
        <v>1</v>
      </c>
      <c r="C220" s="7" t="s">
        <v>206</v>
      </c>
      <c r="D220" s="7" t="s">
        <v>95</v>
      </c>
      <c r="E220" s="7" t="s">
        <v>37</v>
      </c>
      <c r="F220" s="7" t="s">
        <v>1152</v>
      </c>
      <c r="G220" s="7">
        <v>2005</v>
      </c>
      <c r="H220" s="7"/>
      <c r="I220" s="14" t="str">
        <f>HYPERLINK("mailto:jon.carter@transportfocus.org.uk","jon.carter@transportfocus.org.uk")</f>
        <v>jon.carter@transportfocus.org.uk</v>
      </c>
      <c r="J220" s="14" t="str">
        <f>HYPERLINK("https://www.transportfocus.org.uk/","www.transportfocus.org.uk")</f>
        <v>www.transportfocus.org.uk</v>
      </c>
      <c r="K220" s="7" t="s">
        <v>208</v>
      </c>
      <c r="L220" s="13" t="s">
        <v>1153</v>
      </c>
      <c r="M220" s="13" t="s">
        <v>42</v>
      </c>
      <c r="N220" s="15" t="s">
        <v>43</v>
      </c>
      <c r="O220" s="16">
        <v>35000</v>
      </c>
      <c r="P220" s="15" t="s">
        <v>52</v>
      </c>
      <c r="Q220" s="17" t="s">
        <v>193</v>
      </c>
      <c r="R220" s="7" t="s">
        <v>43</v>
      </c>
      <c r="S220" s="7" t="s">
        <v>43</v>
      </c>
      <c r="T220" s="7" t="s">
        <v>43</v>
      </c>
      <c r="U220" s="7" t="s">
        <v>54</v>
      </c>
      <c r="V220" s="7">
        <v>2019</v>
      </c>
      <c r="W220" s="7">
        <v>52</v>
      </c>
      <c r="X220" s="18">
        <v>6145</v>
      </c>
      <c r="Y220" s="18">
        <v>0</v>
      </c>
      <c r="Z220" s="18">
        <v>6145</v>
      </c>
      <c r="AA220" s="18">
        <v>5245</v>
      </c>
      <c r="AB220" s="18">
        <v>0</v>
      </c>
      <c r="AC220" s="18">
        <v>0</v>
      </c>
      <c r="AD220" s="7"/>
      <c r="AE220" s="7"/>
      <c r="AF220" s="7"/>
      <c r="AG220" s="7"/>
      <c r="AH220" s="7"/>
      <c r="AI220" s="7"/>
      <c r="AJ220" s="7"/>
      <c r="AK220" s="7"/>
      <c r="AL220" s="7"/>
      <c r="AM220" s="7"/>
      <c r="AN220" s="7"/>
      <c r="AO220" s="7"/>
      <c r="AP220" s="7"/>
      <c r="AQ220" s="7"/>
      <c r="AR220" s="7"/>
      <c r="AS220" s="7"/>
      <c r="AT220" s="7"/>
      <c r="AU220" s="7"/>
      <c r="AV220" s="7"/>
      <c r="AW220" s="7"/>
      <c r="AX220" s="7"/>
      <c r="AY220" s="7"/>
      <c r="AZ220" s="7"/>
    </row>
    <row r="221" spans="1:52" ht="63" customHeight="1">
      <c r="A221" s="20" t="s">
        <v>1154</v>
      </c>
      <c r="B221" s="7">
        <v>1</v>
      </c>
      <c r="C221" s="7" t="s">
        <v>122</v>
      </c>
      <c r="D221" s="7" t="s">
        <v>36</v>
      </c>
      <c r="E221" s="7" t="s">
        <v>37</v>
      </c>
      <c r="F221" s="7" t="s">
        <v>1155</v>
      </c>
      <c r="G221" s="7">
        <v>1997</v>
      </c>
      <c r="H221" s="7"/>
      <c r="I221" s="14" t="str">
        <f>HYPERLINK("mailto:treasure@britishmuseum.org","treasure@britishmuseum.org")</f>
        <v>treasure@britishmuseum.org</v>
      </c>
      <c r="J221" s="14" t="s">
        <v>1156</v>
      </c>
      <c r="K221" s="7" t="s">
        <v>979</v>
      </c>
      <c r="L221" s="7" t="s">
        <v>1157</v>
      </c>
      <c r="M221" s="7" t="s">
        <v>42</v>
      </c>
      <c r="N221" s="15" t="s">
        <v>37</v>
      </c>
      <c r="O221" s="16"/>
      <c r="P221" s="15"/>
      <c r="Q221" s="13" t="s">
        <v>783</v>
      </c>
      <c r="R221" s="7" t="s">
        <v>37</v>
      </c>
      <c r="S221" s="7" t="s">
        <v>43</v>
      </c>
      <c r="T221" s="7" t="s">
        <v>43</v>
      </c>
      <c r="U221" s="7" t="s">
        <v>54</v>
      </c>
      <c r="V221" s="7">
        <v>2012</v>
      </c>
      <c r="W221" s="7"/>
      <c r="X221" s="18">
        <v>0</v>
      </c>
      <c r="Y221" s="18">
        <v>0</v>
      </c>
      <c r="Z221" s="18">
        <f>(X221+Y221)</f>
        <v>0</v>
      </c>
      <c r="AA221" s="18">
        <v>0</v>
      </c>
      <c r="AB221" s="18">
        <v>0</v>
      </c>
      <c r="AC221" s="18">
        <v>0</v>
      </c>
      <c r="AD221" s="7"/>
      <c r="AE221" s="7"/>
      <c r="AF221" s="7"/>
      <c r="AG221" s="7"/>
      <c r="AH221" s="7"/>
      <c r="AI221" s="7"/>
      <c r="AJ221" s="7"/>
      <c r="AK221" s="7"/>
      <c r="AL221" s="7"/>
      <c r="AM221" s="7"/>
      <c r="AN221" s="7"/>
      <c r="AO221" s="7"/>
      <c r="AP221" s="7"/>
      <c r="AQ221" s="7"/>
      <c r="AR221" s="7"/>
      <c r="AS221" s="7"/>
      <c r="AT221" s="7"/>
      <c r="AU221" s="7"/>
      <c r="AV221" s="7"/>
      <c r="AW221" s="7"/>
      <c r="AX221" s="7"/>
      <c r="AY221" s="7"/>
      <c r="AZ221" s="7"/>
    </row>
    <row r="222" spans="1:52" ht="63" customHeight="1">
      <c r="A222" s="20" t="s">
        <v>1158</v>
      </c>
      <c r="B222" s="7">
        <v>1</v>
      </c>
      <c r="C222" s="7" t="s">
        <v>89</v>
      </c>
      <c r="D222" s="7" t="s">
        <v>95</v>
      </c>
      <c r="E222" s="7" t="s">
        <v>37</v>
      </c>
      <c r="F222" s="13" t="s">
        <v>1159</v>
      </c>
      <c r="G222" s="7">
        <v>2008</v>
      </c>
      <c r="H222" s="7"/>
      <c r="I222" s="14" t="str">
        <f>HYPERLINK("tpcsecretariat@justice.gsi.gov.uk   ","tpcsecretariat@justice.gsi.gov.uk   ")</f>
        <v xml:space="preserve">tpcsecretariat@justice.gsi.gov.uk   </v>
      </c>
      <c r="J222" s="14" t="str">
        <f>HYPERLINK("https://www.gov.uk/government/organisations/tribunal-procedure-committee","https://www.gov.uk/government/organisations/tribunal-procedure-committee")</f>
        <v>https://www.gov.uk/government/organisations/tribunal-procedure-committee</v>
      </c>
      <c r="K222" s="7" t="s">
        <v>1160</v>
      </c>
      <c r="L222" s="7" t="s">
        <v>1161</v>
      </c>
      <c r="M222" s="13" t="s">
        <v>71</v>
      </c>
      <c r="N222" s="15" t="s">
        <v>37</v>
      </c>
      <c r="O222" s="16"/>
      <c r="P222" s="15"/>
      <c r="Q222" s="17" t="s">
        <v>1162</v>
      </c>
      <c r="R222" s="7" t="s">
        <v>37</v>
      </c>
      <c r="S222" s="7" t="s">
        <v>43</v>
      </c>
      <c r="T222" s="7" t="s">
        <v>37</v>
      </c>
      <c r="U222" s="7" t="s">
        <v>46</v>
      </c>
      <c r="V222" s="7"/>
      <c r="W222" s="7">
        <v>2</v>
      </c>
      <c r="X222" s="18">
        <v>0</v>
      </c>
      <c r="Y222" s="18">
        <v>0</v>
      </c>
      <c r="Z222" s="18">
        <v>0</v>
      </c>
      <c r="AA222" s="18">
        <v>0</v>
      </c>
      <c r="AB222" s="18">
        <v>0</v>
      </c>
      <c r="AC222" s="18">
        <v>0</v>
      </c>
      <c r="AD222" s="7"/>
      <c r="AE222" s="7"/>
      <c r="AF222" s="7"/>
      <c r="AG222" s="7"/>
      <c r="AH222" s="7"/>
      <c r="AI222" s="7"/>
      <c r="AJ222" s="7"/>
      <c r="AK222" s="7"/>
      <c r="AL222" s="7"/>
      <c r="AM222" s="7"/>
      <c r="AN222" s="7"/>
      <c r="AO222" s="7"/>
      <c r="AP222" s="7"/>
      <c r="AQ222" s="7"/>
      <c r="AR222" s="7"/>
      <c r="AS222" s="7"/>
      <c r="AT222" s="7"/>
      <c r="AU222" s="7"/>
      <c r="AV222" s="7"/>
      <c r="AW222" s="7"/>
      <c r="AX222" s="7"/>
      <c r="AY222" s="7"/>
      <c r="AZ222" s="7"/>
    </row>
    <row r="223" spans="1:52" ht="63" customHeight="1">
      <c r="A223" s="12" t="s">
        <v>1163</v>
      </c>
      <c r="B223" s="7">
        <v>1</v>
      </c>
      <c r="C223" s="7" t="s">
        <v>206</v>
      </c>
      <c r="D223" s="7" t="s">
        <v>95</v>
      </c>
      <c r="E223" s="7" t="s">
        <v>43</v>
      </c>
      <c r="F223" s="7" t="s">
        <v>1164</v>
      </c>
      <c r="G223" s="7">
        <v>1514</v>
      </c>
      <c r="H223" s="7"/>
      <c r="I223" s="14" t="str">
        <f>HYPERLINK("mailto:enquiries@trinityhouse.co.uk","enquiries@trinityhouse.co.uk")</f>
        <v>enquiries@trinityhouse.co.uk</v>
      </c>
      <c r="J223" s="14" t="str">
        <f>HYPERLINK("https://www.trinityhouse.co.uk/","www.trinityhouse.co.uk")</f>
        <v>www.trinityhouse.co.uk</v>
      </c>
      <c r="K223" s="7" t="s">
        <v>624</v>
      </c>
      <c r="L223" s="13" t="s">
        <v>1165</v>
      </c>
      <c r="M223" s="7" t="s">
        <v>71</v>
      </c>
      <c r="N223" s="15" t="s">
        <v>43</v>
      </c>
      <c r="O223" s="16"/>
      <c r="P223" s="15"/>
      <c r="Q223" s="15"/>
      <c r="R223" s="7" t="s">
        <v>37</v>
      </c>
      <c r="S223" s="7" t="s">
        <v>43</v>
      </c>
      <c r="T223" s="7" t="s">
        <v>43</v>
      </c>
      <c r="U223" s="7" t="s">
        <v>54</v>
      </c>
      <c r="V223" s="7">
        <v>2014</v>
      </c>
      <c r="W223" s="7">
        <v>299</v>
      </c>
      <c r="X223" s="18">
        <v>0</v>
      </c>
      <c r="Y223" s="18">
        <v>36496</v>
      </c>
      <c r="Z223" s="18">
        <f>IF(SUM(Y223)&lt;&gt;0,SUM(Y223),"")</f>
        <v>36496</v>
      </c>
      <c r="AA223" s="18">
        <v>35590</v>
      </c>
      <c r="AB223" s="18">
        <v>0</v>
      </c>
      <c r="AC223" s="18">
        <v>0</v>
      </c>
      <c r="AD223" s="7"/>
      <c r="AE223" s="7"/>
      <c r="AF223" s="7"/>
      <c r="AG223" s="7"/>
      <c r="AH223" s="7"/>
      <c r="AI223" s="7"/>
      <c r="AJ223" s="7"/>
      <c r="AK223" s="7"/>
      <c r="AL223" s="7"/>
      <c r="AM223" s="7"/>
      <c r="AN223" s="7"/>
      <c r="AO223" s="7"/>
      <c r="AP223" s="7"/>
      <c r="AQ223" s="7"/>
      <c r="AR223" s="7"/>
      <c r="AS223" s="7"/>
      <c r="AT223" s="7"/>
      <c r="AU223" s="7"/>
      <c r="AV223" s="7"/>
      <c r="AW223" s="7"/>
      <c r="AX223" s="7"/>
      <c r="AY223" s="7"/>
      <c r="AZ223" s="7"/>
    </row>
    <row r="224" spans="1:52" ht="63" customHeight="1">
      <c r="A224" s="20" t="s">
        <v>1166</v>
      </c>
      <c r="B224" s="7">
        <v>1</v>
      </c>
      <c r="C224" s="7" t="s">
        <v>94</v>
      </c>
      <c r="D224" s="7" t="s">
        <v>95</v>
      </c>
      <c r="E224" s="7" t="s">
        <v>63</v>
      </c>
      <c r="F224" s="7" t="s">
        <v>1167</v>
      </c>
      <c r="G224" s="7">
        <v>1954</v>
      </c>
      <c r="H224" s="7"/>
      <c r="I224" s="14" t="str">
        <f>HYPERLINK("mailto:foienquiries@uk-atomic-energy.org.uk","foienquiries@uk-atomic-energy.org.uk")</f>
        <v>foienquiries@uk-atomic-energy.org.uk</v>
      </c>
      <c r="J224" s="14" t="str">
        <f>HYPERLINK("https://www.gov.uk/government/organisations/uk-atomic-energy-authority","www.gov.uk/ukaea")</f>
        <v>www.gov.uk/ukaea</v>
      </c>
      <c r="K224" s="7" t="s">
        <v>347</v>
      </c>
      <c r="L224" s="7" t="s">
        <v>1168</v>
      </c>
      <c r="M224" s="7" t="s">
        <v>42</v>
      </c>
      <c r="N224" s="15" t="s">
        <v>56</v>
      </c>
      <c r="O224" s="16">
        <v>25000</v>
      </c>
      <c r="P224" s="15" t="s">
        <v>52</v>
      </c>
      <c r="Q224" s="15" t="s">
        <v>112</v>
      </c>
      <c r="R224" s="7" t="s">
        <v>63</v>
      </c>
      <c r="S224" s="7" t="s">
        <v>56</v>
      </c>
      <c r="T224" s="7" t="s">
        <v>56</v>
      </c>
      <c r="U224" s="7" t="s">
        <v>46</v>
      </c>
      <c r="V224" s="7">
        <v>2015</v>
      </c>
      <c r="W224" s="7">
        <v>993</v>
      </c>
      <c r="X224" s="18">
        <v>161000</v>
      </c>
      <c r="Y224" s="18">
        <v>100000</v>
      </c>
      <c r="Z224" s="18">
        <v>261000</v>
      </c>
      <c r="AA224" s="18">
        <v>4000</v>
      </c>
      <c r="AB224" s="18">
        <v>101500</v>
      </c>
      <c r="AC224" s="18">
        <v>0</v>
      </c>
      <c r="AD224" s="7"/>
      <c r="AE224" s="7"/>
      <c r="AF224" s="7"/>
      <c r="AG224" s="7"/>
      <c r="AH224" s="7"/>
      <c r="AI224" s="7"/>
      <c r="AJ224" s="7"/>
      <c r="AK224" s="7"/>
      <c r="AL224" s="7"/>
      <c r="AM224" s="7"/>
      <c r="AN224" s="7"/>
      <c r="AO224" s="7"/>
      <c r="AP224" s="7"/>
      <c r="AQ224" s="7"/>
      <c r="AR224" s="7"/>
      <c r="AS224" s="7"/>
      <c r="AT224" s="7"/>
      <c r="AU224" s="7"/>
      <c r="AV224" s="7"/>
      <c r="AW224" s="7"/>
      <c r="AX224" s="7"/>
      <c r="AY224" s="7"/>
      <c r="AZ224" s="7"/>
    </row>
    <row r="225" spans="1:52" ht="63" customHeight="1">
      <c r="A225" s="20" t="s">
        <v>1169</v>
      </c>
      <c r="B225" s="7">
        <v>1</v>
      </c>
      <c r="C225" s="7" t="s">
        <v>275</v>
      </c>
      <c r="D225" s="7" t="s">
        <v>108</v>
      </c>
      <c r="E225" s="7" t="s">
        <v>63</v>
      </c>
      <c r="F225" s="7" t="s">
        <v>1170</v>
      </c>
      <c r="G225" s="7">
        <v>1998</v>
      </c>
      <c r="H225" s="7"/>
      <c r="I225" s="14" t="s">
        <v>1171</v>
      </c>
      <c r="J225" s="14" t="s">
        <v>1172</v>
      </c>
      <c r="K225" s="7" t="s">
        <v>1173</v>
      </c>
      <c r="L225" s="13" t="s">
        <v>46</v>
      </c>
      <c r="M225" s="13" t="s">
        <v>46</v>
      </c>
      <c r="N225" s="13" t="s">
        <v>46</v>
      </c>
      <c r="O225" s="16"/>
      <c r="P225" s="7"/>
      <c r="Q225" s="51" t="s">
        <v>279</v>
      </c>
      <c r="R225" s="7" t="s">
        <v>63</v>
      </c>
      <c r="S225" s="7" t="s">
        <v>63</v>
      </c>
      <c r="T225" s="7" t="s">
        <v>56</v>
      </c>
      <c r="U225" s="7" t="s">
        <v>54</v>
      </c>
      <c r="V225" s="7"/>
      <c r="W225" s="7">
        <v>135</v>
      </c>
      <c r="X225" s="18">
        <v>18961</v>
      </c>
      <c r="Y225" s="18">
        <v>4024</v>
      </c>
      <c r="Z225" s="18">
        <f>(X225+Y225)</f>
        <v>22985</v>
      </c>
      <c r="AA225" s="33">
        <v>21587</v>
      </c>
      <c r="AB225" s="33">
        <v>4566</v>
      </c>
      <c r="AC225" s="33">
        <v>0</v>
      </c>
      <c r="AD225" s="7"/>
      <c r="AE225" s="7"/>
      <c r="AF225" s="7"/>
      <c r="AG225" s="7"/>
      <c r="AH225" s="7"/>
      <c r="AI225" s="7"/>
      <c r="AJ225" s="7"/>
      <c r="AK225" s="7"/>
      <c r="AL225" s="7"/>
      <c r="AM225" s="7"/>
      <c r="AN225" s="7"/>
      <c r="AO225" s="7"/>
      <c r="AP225" s="7"/>
      <c r="AQ225" s="7"/>
      <c r="AR225" s="7"/>
      <c r="AS225" s="7"/>
      <c r="AT225" s="7"/>
      <c r="AU225" s="7"/>
      <c r="AV225" s="7"/>
      <c r="AW225" s="7"/>
      <c r="AX225" s="7"/>
      <c r="AY225" s="7"/>
      <c r="AZ225" s="7"/>
    </row>
    <row r="226" spans="1:52" ht="63" customHeight="1">
      <c r="A226" s="20" t="s">
        <v>1174</v>
      </c>
      <c r="B226" s="7">
        <v>1</v>
      </c>
      <c r="C226" s="7" t="s">
        <v>65</v>
      </c>
      <c r="D226" s="7" t="s">
        <v>108</v>
      </c>
      <c r="E226" s="7" t="s">
        <v>37</v>
      </c>
      <c r="F226" s="7" t="s">
        <v>1175</v>
      </c>
      <c r="G226" s="7">
        <v>1996</v>
      </c>
      <c r="H226" s="7"/>
      <c r="I226" s="14" t="str">
        <f>HYPERLINK("mailto:UKHO-Secretariat@UKHO.gov.uk","UKHO-Secretariat@UKHO.gov.uk")</f>
        <v>UKHO-Secretariat@UKHO.gov.uk</v>
      </c>
      <c r="J226" s="14" t="str">
        <f>HYPERLINK("https://www.gov.uk/government/organisations/uk-hydrographic-office","www.admiralty.co.uk
www.gov.uk/government/organisations/uk-hydrographic-office")</f>
        <v>www.admiralty.co.uk
www.gov.uk/government/organisations/uk-hydrographic-office</v>
      </c>
      <c r="K226" s="7" t="s">
        <v>377</v>
      </c>
      <c r="L226" s="7" t="s">
        <v>1176</v>
      </c>
      <c r="M226" s="7" t="s">
        <v>42</v>
      </c>
      <c r="N226" s="15" t="s">
        <v>43</v>
      </c>
      <c r="O226" s="16">
        <v>28000</v>
      </c>
      <c r="P226" s="15" t="s">
        <v>52</v>
      </c>
      <c r="Q226" s="17" t="s">
        <v>174</v>
      </c>
      <c r="R226" s="7" t="s">
        <v>37</v>
      </c>
      <c r="S226" s="7" t="s">
        <v>37</v>
      </c>
      <c r="T226" s="7" t="s">
        <v>43</v>
      </c>
      <c r="U226" s="7" t="s">
        <v>54</v>
      </c>
      <c r="V226" s="7">
        <v>2019</v>
      </c>
      <c r="W226" s="7">
        <v>825</v>
      </c>
      <c r="X226" s="18">
        <v>0</v>
      </c>
      <c r="Y226" s="18">
        <v>157657</v>
      </c>
      <c r="Z226" s="18">
        <f>IF(SUM(Y226)&lt;&gt;0,SUM(Y226),"")</f>
        <v>157657</v>
      </c>
      <c r="AA226" s="18">
        <v>102577</v>
      </c>
      <c r="AB226" s="18">
        <v>19027</v>
      </c>
      <c r="AC226" s="18">
        <v>580</v>
      </c>
      <c r="AD226" s="7"/>
      <c r="AE226" s="7"/>
      <c r="AF226" s="7"/>
      <c r="AG226" s="7"/>
      <c r="AH226" s="7"/>
      <c r="AI226" s="7"/>
      <c r="AJ226" s="7"/>
      <c r="AK226" s="7"/>
      <c r="AL226" s="7"/>
      <c r="AM226" s="7"/>
      <c r="AN226" s="7"/>
      <c r="AO226" s="7"/>
      <c r="AP226" s="7"/>
      <c r="AQ226" s="7"/>
      <c r="AR226" s="7"/>
      <c r="AS226" s="7"/>
      <c r="AT226" s="7"/>
      <c r="AU226" s="7"/>
      <c r="AV226" s="7"/>
      <c r="AW226" s="7"/>
      <c r="AX226" s="7"/>
      <c r="AY226" s="7"/>
      <c r="AZ226" s="7"/>
    </row>
    <row r="227" spans="1:52" ht="63" customHeight="1">
      <c r="A227" s="20" t="s">
        <v>1177</v>
      </c>
      <c r="B227" s="7">
        <v>1</v>
      </c>
      <c r="C227" s="7" t="s">
        <v>94</v>
      </c>
      <c r="D227" s="7" t="s">
        <v>95</v>
      </c>
      <c r="E227" s="7" t="s">
        <v>63</v>
      </c>
      <c r="F227" s="7" t="s">
        <v>1178</v>
      </c>
      <c r="G227" s="7">
        <v>2018</v>
      </c>
      <c r="H227" s="7"/>
      <c r="I227" s="14" t="str">
        <f>HYPERLINK("mailto:communications@ukri.org","communications@ukri.org")</f>
        <v>communications@ukri.org</v>
      </c>
      <c r="J227" s="14" t="str">
        <f>HYPERLINK("https://www.ukri.org/","https://www.ukri.org/")</f>
        <v>https://www.ukri.org/</v>
      </c>
      <c r="K227" s="7" t="s">
        <v>347</v>
      </c>
      <c r="L227" s="7" t="s">
        <v>1179</v>
      </c>
      <c r="M227" s="13" t="s">
        <v>42</v>
      </c>
      <c r="N227" s="15" t="s">
        <v>56</v>
      </c>
      <c r="O227" s="16">
        <v>28000</v>
      </c>
      <c r="P227" s="15" t="s">
        <v>52</v>
      </c>
      <c r="Q227" s="17" t="s">
        <v>1180</v>
      </c>
      <c r="R227" s="7" t="s">
        <v>63</v>
      </c>
      <c r="S227" s="7" t="s">
        <v>56</v>
      </c>
      <c r="T227" s="7" t="s">
        <v>56</v>
      </c>
      <c r="U227" s="7" t="s">
        <v>54</v>
      </c>
      <c r="V227" s="7"/>
      <c r="W227" s="26">
        <v>7503</v>
      </c>
      <c r="X227" s="18">
        <v>7424805</v>
      </c>
      <c r="Y227" s="18">
        <v>331112</v>
      </c>
      <c r="Z227" s="18">
        <f t="shared" ref="Z227:Z228" si="9">(X227+Y227)</f>
        <v>7755917</v>
      </c>
      <c r="AA227" s="18">
        <v>233200</v>
      </c>
      <c r="AB227" s="18">
        <v>7460414</v>
      </c>
      <c r="AC227" s="18">
        <v>19565</v>
      </c>
      <c r="AD227" s="7"/>
      <c r="AE227" s="7" t="s">
        <v>56</v>
      </c>
      <c r="AF227" s="7"/>
      <c r="AG227" s="7"/>
      <c r="AH227" s="7"/>
      <c r="AI227" s="7"/>
      <c r="AJ227" s="7"/>
      <c r="AK227" s="7"/>
      <c r="AL227" s="7"/>
      <c r="AM227" s="7"/>
      <c r="AN227" s="7"/>
      <c r="AO227" s="7"/>
      <c r="AP227" s="7"/>
      <c r="AQ227" s="7"/>
      <c r="AR227" s="7"/>
      <c r="AS227" s="7"/>
      <c r="AT227" s="7"/>
      <c r="AU227" s="7"/>
      <c r="AV227" s="7"/>
      <c r="AW227" s="7"/>
      <c r="AX227" s="7"/>
      <c r="AY227" s="7"/>
      <c r="AZ227" s="7"/>
    </row>
    <row r="228" spans="1:52" ht="63" customHeight="1">
      <c r="A228" s="20" t="s">
        <v>1181</v>
      </c>
      <c r="B228" s="7">
        <v>1</v>
      </c>
      <c r="C228" s="7" t="s">
        <v>94</v>
      </c>
      <c r="D228" s="7" t="s">
        <v>108</v>
      </c>
      <c r="E228" s="7" t="s">
        <v>56</v>
      </c>
      <c r="F228" s="7" t="s">
        <v>1182</v>
      </c>
      <c r="G228" s="7">
        <v>2011</v>
      </c>
      <c r="H228" s="7"/>
      <c r="I228" s="14" t="str">
        <f>HYPERLINK("mailto:info@ukspaceagency.gov.uk","info@ukspaceagency.gov.uk")</f>
        <v>info@ukspaceagency.gov.uk</v>
      </c>
      <c r="J228" s="14" t="str">
        <f>HYPERLINK("https://www.gov.uk/government/organisations/uk-space-agency","https://www.gov.uk/government/organisations/uk-space-agency")</f>
        <v>https://www.gov.uk/government/organisations/uk-space-agency</v>
      </c>
      <c r="K228" s="7" t="s">
        <v>347</v>
      </c>
      <c r="L228" s="7" t="s">
        <v>1183</v>
      </c>
      <c r="M228" s="7" t="s">
        <v>42</v>
      </c>
      <c r="N228" s="15" t="s">
        <v>56</v>
      </c>
      <c r="O228" s="16">
        <v>10000</v>
      </c>
      <c r="P228" s="15" t="s">
        <v>52</v>
      </c>
      <c r="Q228" s="15" t="s">
        <v>1184</v>
      </c>
      <c r="R228" s="7" t="s">
        <v>63</v>
      </c>
      <c r="S228" s="7" t="s">
        <v>56</v>
      </c>
      <c r="T228" s="7" t="s">
        <v>56</v>
      </c>
      <c r="U228" s="7" t="s">
        <v>46</v>
      </c>
      <c r="V228" s="7"/>
      <c r="W228" s="7">
        <v>187</v>
      </c>
      <c r="X228" s="18">
        <v>416442</v>
      </c>
      <c r="Y228" s="18">
        <v>4517</v>
      </c>
      <c r="Z228" s="18">
        <f t="shared" si="9"/>
        <v>420959</v>
      </c>
      <c r="AA228" s="18">
        <v>0</v>
      </c>
      <c r="AB228" s="18">
        <v>402000</v>
      </c>
      <c r="AC228" s="18">
        <v>0</v>
      </c>
      <c r="AD228" s="7"/>
      <c r="AE228" s="7"/>
      <c r="AF228" s="7"/>
      <c r="AG228" s="7"/>
      <c r="AH228" s="7"/>
      <c r="AI228" s="7"/>
      <c r="AJ228" s="7"/>
      <c r="AK228" s="7"/>
      <c r="AL228" s="7"/>
      <c r="AM228" s="7"/>
      <c r="AN228" s="7"/>
      <c r="AO228" s="7"/>
      <c r="AP228" s="7"/>
      <c r="AQ228" s="7"/>
      <c r="AR228" s="7"/>
      <c r="AS228" s="7"/>
      <c r="AT228" s="7"/>
      <c r="AU228" s="7"/>
      <c r="AV228" s="7"/>
      <c r="AW228" s="7"/>
      <c r="AX228" s="7"/>
      <c r="AY228" s="7"/>
      <c r="AZ228" s="7"/>
    </row>
    <row r="229" spans="1:52" ht="63" customHeight="1">
      <c r="A229" s="20" t="s">
        <v>1185</v>
      </c>
      <c r="B229" s="7">
        <v>1</v>
      </c>
      <c r="C229" s="7" t="s">
        <v>122</v>
      </c>
      <c r="D229" s="7" t="s">
        <v>95</v>
      </c>
      <c r="E229" s="7" t="s">
        <v>37</v>
      </c>
      <c r="F229" s="7" t="s">
        <v>1186</v>
      </c>
      <c r="G229" s="7">
        <v>1996</v>
      </c>
      <c r="H229" s="7"/>
      <c r="I229" s="14" t="str">
        <f>HYPERLINK("mailto:info@uksport.gov.uk","info@uksport.gov.uk")</f>
        <v>info@uksport.gov.uk</v>
      </c>
      <c r="J229" s="14" t="s">
        <v>1187</v>
      </c>
      <c r="K229" s="7" t="s">
        <v>1188</v>
      </c>
      <c r="L229" s="7" t="s">
        <v>1189</v>
      </c>
      <c r="M229" s="13" t="s">
        <v>42</v>
      </c>
      <c r="N229" s="15" t="s">
        <v>43</v>
      </c>
      <c r="O229" s="16">
        <v>60000</v>
      </c>
      <c r="P229" s="15" t="s">
        <v>52</v>
      </c>
      <c r="Q229" s="13" t="s">
        <v>344</v>
      </c>
      <c r="R229" s="7" t="s">
        <v>37</v>
      </c>
      <c r="S229" s="7" t="s">
        <v>43</v>
      </c>
      <c r="T229" s="7" t="s">
        <v>43</v>
      </c>
      <c r="U229" s="7" t="s">
        <v>54</v>
      </c>
      <c r="V229" s="7">
        <v>2015</v>
      </c>
      <c r="W229" s="7">
        <v>130.25</v>
      </c>
      <c r="X229" s="18">
        <v>70091</v>
      </c>
      <c r="Y229" s="18">
        <v>76422</v>
      </c>
      <c r="Z229" s="18">
        <v>146513</v>
      </c>
      <c r="AA229" s="18">
        <v>65612</v>
      </c>
      <c r="AB229" s="18">
        <v>5471</v>
      </c>
      <c r="AC229" s="18">
        <v>74771</v>
      </c>
      <c r="AD229" s="7"/>
      <c r="AE229" s="46"/>
      <c r="AF229" s="46"/>
      <c r="AG229" s="7"/>
      <c r="AH229" s="7"/>
      <c r="AI229" s="7"/>
      <c r="AJ229" s="7"/>
      <c r="AK229" s="7"/>
      <c r="AL229" s="7"/>
      <c r="AM229" s="7"/>
      <c r="AN229" s="7"/>
      <c r="AO229" s="7"/>
      <c r="AP229" s="7"/>
      <c r="AQ229" s="7"/>
      <c r="AR229" s="7"/>
      <c r="AS229" s="7"/>
      <c r="AT229" s="7"/>
      <c r="AU229" s="7"/>
      <c r="AV229" s="7"/>
      <c r="AW229" s="7"/>
      <c r="AX229" s="7"/>
      <c r="AY229" s="7"/>
      <c r="AZ229" s="7"/>
    </row>
    <row r="230" spans="1:52" ht="63" customHeight="1">
      <c r="A230" s="20" t="s">
        <v>1190</v>
      </c>
      <c r="B230" s="7">
        <v>1</v>
      </c>
      <c r="C230" s="7" t="s">
        <v>48</v>
      </c>
      <c r="D230" s="7" t="s">
        <v>233</v>
      </c>
      <c r="E230" s="7" t="s">
        <v>43</v>
      </c>
      <c r="F230" s="7" t="s">
        <v>1191</v>
      </c>
      <c r="G230" s="7">
        <v>2007</v>
      </c>
      <c r="H230" s="7" t="s">
        <v>1192</v>
      </c>
      <c r="I230" s="14" t="str">
        <f>HYPERLINK("mailto:national.statistician@statistics.gov.uk","national.statistician@statistics.gov.uk")</f>
        <v>national.statistician@statistics.gov.uk</v>
      </c>
      <c r="J230" s="14" t="str">
        <f>HYPERLINK("https://www.statisticsauthority.gov.uk/","https://www.statisticsauthority.gov.uk/")</f>
        <v>https://www.statisticsauthority.gov.uk/</v>
      </c>
      <c r="K230" s="7" t="s">
        <v>1193</v>
      </c>
      <c r="L230" s="7" t="s">
        <v>1194</v>
      </c>
      <c r="M230" s="7" t="s">
        <v>42</v>
      </c>
      <c r="N230" s="15" t="s">
        <v>43</v>
      </c>
      <c r="O230" s="16">
        <v>57000</v>
      </c>
      <c r="P230" s="15" t="s">
        <v>52</v>
      </c>
      <c r="Q230" s="17" t="s">
        <v>1195</v>
      </c>
      <c r="R230" s="7" t="s">
        <v>37</v>
      </c>
      <c r="S230" s="7" t="s">
        <v>56</v>
      </c>
      <c r="T230" s="7" t="s">
        <v>43</v>
      </c>
      <c r="U230" s="7" t="s">
        <v>54</v>
      </c>
      <c r="V230" s="7">
        <v>2018</v>
      </c>
      <c r="W230" s="39">
        <v>3953</v>
      </c>
      <c r="X230" s="18">
        <v>278750</v>
      </c>
      <c r="Y230" s="18">
        <v>24262</v>
      </c>
      <c r="Z230" s="18">
        <v>303012</v>
      </c>
      <c r="AA230" s="18">
        <v>258299</v>
      </c>
      <c r="AB230" s="18">
        <v>17556</v>
      </c>
      <c r="AC230" s="18">
        <v>-765</v>
      </c>
      <c r="AD230" s="7"/>
      <c r="AE230" s="46"/>
      <c r="AF230" s="46"/>
      <c r="AG230" s="7"/>
      <c r="AH230" s="7"/>
      <c r="AI230" s="7"/>
      <c r="AJ230" s="7"/>
      <c r="AK230" s="7"/>
      <c r="AL230" s="7"/>
      <c r="AM230" s="7"/>
      <c r="AN230" s="7"/>
      <c r="AO230" s="7"/>
      <c r="AP230" s="7"/>
      <c r="AQ230" s="7"/>
      <c r="AR230" s="7"/>
      <c r="AS230" s="7"/>
      <c r="AT230" s="7"/>
      <c r="AU230" s="7"/>
      <c r="AV230" s="7"/>
      <c r="AW230" s="7"/>
      <c r="AX230" s="7"/>
      <c r="AY230" s="7"/>
      <c r="AZ230" s="7"/>
    </row>
    <row r="231" spans="1:52" ht="63" customHeight="1">
      <c r="A231" s="20" t="s">
        <v>1196</v>
      </c>
      <c r="B231" s="7">
        <v>1</v>
      </c>
      <c r="C231" s="7" t="s">
        <v>89</v>
      </c>
      <c r="D231" s="7" t="s">
        <v>233</v>
      </c>
      <c r="E231" s="7" t="s">
        <v>37</v>
      </c>
      <c r="F231" s="7" t="s">
        <v>1197</v>
      </c>
      <c r="G231" s="7">
        <v>2009</v>
      </c>
      <c r="H231" s="7"/>
      <c r="I231" s="14" t="str">
        <f>HYPERLINK("enquiries@supremecourt.uk ","enquiries@supremecourt.uk ")</f>
        <v xml:space="preserve">enquiries@supremecourt.uk </v>
      </c>
      <c r="J231" s="14" t="str">
        <f>HYPERLINK("https://www.supremecourt.uk/","www.supremecourt.uk")</f>
        <v>www.supremecourt.uk</v>
      </c>
      <c r="K231" s="7" t="s">
        <v>1198</v>
      </c>
      <c r="L231" s="7" t="s">
        <v>1198</v>
      </c>
      <c r="M231" s="7" t="s">
        <v>71</v>
      </c>
      <c r="N231" s="15"/>
      <c r="O231" s="16"/>
      <c r="P231" s="15"/>
      <c r="Q231" s="15"/>
      <c r="R231" s="7" t="s">
        <v>43</v>
      </c>
      <c r="S231" s="7" t="s">
        <v>43</v>
      </c>
      <c r="T231" s="7" t="s">
        <v>43</v>
      </c>
      <c r="U231" s="7"/>
      <c r="V231" s="7"/>
      <c r="W231" s="7">
        <v>52</v>
      </c>
      <c r="X231" s="18">
        <v>6781</v>
      </c>
      <c r="Y231" s="18">
        <v>1221</v>
      </c>
      <c r="Z231" s="18">
        <v>8002</v>
      </c>
      <c r="AA231" s="18">
        <v>5135</v>
      </c>
      <c r="AB231" s="18">
        <v>472</v>
      </c>
      <c r="AC231" s="18">
        <v>0</v>
      </c>
      <c r="AD231" s="7"/>
      <c r="AE231" s="46"/>
      <c r="AF231" s="46"/>
      <c r="AG231" s="7"/>
      <c r="AH231" s="7"/>
      <c r="AI231" s="7"/>
      <c r="AJ231" s="7"/>
      <c r="AK231" s="7"/>
      <c r="AL231" s="7"/>
      <c r="AM231" s="7"/>
      <c r="AN231" s="7"/>
      <c r="AO231" s="7"/>
      <c r="AP231" s="7"/>
      <c r="AQ231" s="7"/>
      <c r="AR231" s="7"/>
      <c r="AS231" s="7"/>
      <c r="AT231" s="7"/>
      <c r="AU231" s="7"/>
      <c r="AV231" s="7"/>
      <c r="AW231" s="7"/>
      <c r="AX231" s="7"/>
      <c r="AY231" s="7"/>
      <c r="AZ231" s="7"/>
    </row>
    <row r="232" spans="1:52" ht="63" customHeight="1">
      <c r="A232" s="20" t="s">
        <v>1199</v>
      </c>
      <c r="B232" s="7">
        <v>1</v>
      </c>
      <c r="C232" s="7" t="s">
        <v>122</v>
      </c>
      <c r="D232" s="7" t="s">
        <v>95</v>
      </c>
      <c r="E232" s="7" t="s">
        <v>37</v>
      </c>
      <c r="F232" s="7" t="s">
        <v>1200</v>
      </c>
      <c r="G232" s="7">
        <v>1998</v>
      </c>
      <c r="H232" s="7"/>
      <c r="I232" s="14" t="str">
        <f>HYPERLINK("mailto:ukad@ukad.org.uk","ukad@ukad.org.uk")</f>
        <v>ukad@ukad.org.uk</v>
      </c>
      <c r="J232" s="14" t="s">
        <v>1201</v>
      </c>
      <c r="K232" s="7" t="s">
        <v>1188</v>
      </c>
      <c r="L232" s="7" t="s">
        <v>1202</v>
      </c>
      <c r="M232" s="13" t="s">
        <v>42</v>
      </c>
      <c r="N232" s="15" t="s">
        <v>43</v>
      </c>
      <c r="O232" s="16">
        <v>33000</v>
      </c>
      <c r="P232" s="15" t="s">
        <v>52</v>
      </c>
      <c r="Q232" s="13" t="s">
        <v>1203</v>
      </c>
      <c r="R232" s="7" t="s">
        <v>37</v>
      </c>
      <c r="S232" s="7" t="s">
        <v>43</v>
      </c>
      <c r="T232" s="7" t="s">
        <v>43</v>
      </c>
      <c r="U232" s="7" t="s">
        <v>54</v>
      </c>
      <c r="V232" s="7">
        <v>2018</v>
      </c>
      <c r="W232" s="7">
        <v>75.7</v>
      </c>
      <c r="X232" s="18">
        <v>7998</v>
      </c>
      <c r="Y232" s="18">
        <v>3634</v>
      </c>
      <c r="Z232" s="18">
        <v>11632</v>
      </c>
      <c r="AA232" s="18">
        <v>7884</v>
      </c>
      <c r="AB232" s="18">
        <v>114</v>
      </c>
      <c r="AC232" s="18">
        <v>0</v>
      </c>
      <c r="AD232" s="7"/>
      <c r="AE232" s="46"/>
      <c r="AF232" s="46"/>
      <c r="AG232" s="7"/>
      <c r="AH232" s="7"/>
      <c r="AI232" s="7"/>
      <c r="AJ232" s="7"/>
      <c r="AK232" s="7"/>
      <c r="AL232" s="7"/>
      <c r="AM232" s="7"/>
      <c r="AN232" s="7"/>
      <c r="AO232" s="7"/>
      <c r="AP232" s="7"/>
      <c r="AQ232" s="7"/>
      <c r="AR232" s="7"/>
      <c r="AS232" s="7"/>
      <c r="AT232" s="7"/>
      <c r="AU232" s="7"/>
      <c r="AV232" s="7"/>
      <c r="AW232" s="7"/>
      <c r="AX232" s="7"/>
      <c r="AY232" s="7"/>
      <c r="AZ232" s="7"/>
    </row>
    <row r="233" spans="1:52" ht="63" customHeight="1">
      <c r="A233" s="41" t="s">
        <v>1204</v>
      </c>
      <c r="B233" s="42">
        <v>1</v>
      </c>
      <c r="C233" s="20" t="s">
        <v>553</v>
      </c>
      <c r="D233" s="52" t="s">
        <v>108</v>
      </c>
      <c r="E233" s="53"/>
      <c r="F233" s="13"/>
      <c r="G233" s="7"/>
      <c r="H233" s="7"/>
      <c r="I233" s="7"/>
      <c r="J233" s="7"/>
      <c r="K233" s="7"/>
      <c r="L233" s="54"/>
      <c r="M233" s="7"/>
      <c r="N233" s="15"/>
      <c r="O233" s="16"/>
      <c r="P233" s="15"/>
      <c r="Q233" s="17"/>
      <c r="R233" s="54"/>
      <c r="S233" s="54"/>
      <c r="T233" s="54"/>
      <c r="U233" s="7"/>
      <c r="V233" s="7"/>
      <c r="W233" s="7"/>
      <c r="X233" s="18"/>
      <c r="Y233" s="18"/>
      <c r="Z233" s="18"/>
      <c r="AA233" s="18"/>
      <c r="AB233" s="18"/>
      <c r="AC233" s="18"/>
      <c r="AD233" s="7"/>
      <c r="AE233" s="7"/>
      <c r="AG233" s="7"/>
      <c r="AH233" s="7"/>
      <c r="AI233" s="7"/>
      <c r="AJ233" s="7"/>
      <c r="AK233" s="7"/>
      <c r="AL233" s="7"/>
      <c r="AM233" s="7"/>
      <c r="AN233" s="7"/>
      <c r="AO233" s="7"/>
      <c r="AP233" s="7"/>
      <c r="AQ233" s="7"/>
      <c r="AR233" s="7"/>
      <c r="AS233" s="7"/>
      <c r="AT233" s="7"/>
      <c r="AU233" s="7"/>
      <c r="AV233" s="7"/>
      <c r="AW233" s="7"/>
      <c r="AX233" s="7"/>
      <c r="AY233" s="7"/>
      <c r="AZ233" s="7"/>
    </row>
    <row r="234" spans="1:52" ht="63" customHeight="1">
      <c r="A234" s="20" t="s">
        <v>1205</v>
      </c>
      <c r="B234" s="7">
        <v>1</v>
      </c>
      <c r="C234" s="7" t="s">
        <v>212</v>
      </c>
      <c r="D234" s="6" t="s">
        <v>678</v>
      </c>
      <c r="E234" s="27" t="s">
        <v>63</v>
      </c>
      <c r="F234" s="13" t="s">
        <v>1206</v>
      </c>
      <c r="G234" s="7">
        <v>2009</v>
      </c>
      <c r="H234" s="7"/>
      <c r="I234" s="14" t="str">
        <f>HYPERLINK("mailto:ceo.office@valuationtribunal.gov.uk","ceo.office@valuationtribunal.gov.uk
")</f>
        <v xml:space="preserve">ceo.office@valuationtribunal.gov.uk
</v>
      </c>
      <c r="J234" s="14" t="str">
        <f>HYPERLINK("https://www.valuationtribunal.gov.uk","https://www.valuationtribunal.gov.uk/
")</f>
        <v xml:space="preserve">https://www.valuationtribunal.gov.uk/
</v>
      </c>
      <c r="K234" s="7" t="s">
        <v>1207</v>
      </c>
      <c r="L234" s="6" t="s">
        <v>1208</v>
      </c>
      <c r="M234" s="7" t="s">
        <v>42</v>
      </c>
      <c r="N234" s="15" t="s">
        <v>43</v>
      </c>
      <c r="O234" s="16" t="s">
        <v>1209</v>
      </c>
      <c r="P234" s="15" t="s">
        <v>52</v>
      </c>
      <c r="Q234" s="17" t="s">
        <v>100</v>
      </c>
      <c r="R234" s="6" t="s">
        <v>37</v>
      </c>
      <c r="S234" s="6" t="s">
        <v>37</v>
      </c>
      <c r="T234" s="6" t="s">
        <v>37</v>
      </c>
      <c r="U234" s="7" t="s">
        <v>46</v>
      </c>
      <c r="V234" s="7"/>
      <c r="W234" s="7"/>
      <c r="X234" s="18">
        <v>0</v>
      </c>
      <c r="Y234" s="18">
        <v>0</v>
      </c>
      <c r="Z234" s="18">
        <v>0</v>
      </c>
      <c r="AA234" s="18">
        <v>0</v>
      </c>
      <c r="AB234" s="18">
        <v>0</v>
      </c>
      <c r="AC234" s="18">
        <v>0</v>
      </c>
      <c r="AD234" s="7" t="s">
        <v>1210</v>
      </c>
      <c r="AE234" s="7"/>
      <c r="AG234" s="7"/>
      <c r="AH234" s="7"/>
      <c r="AI234" s="7"/>
      <c r="AJ234" s="7"/>
      <c r="AK234" s="7"/>
      <c r="AL234" s="7"/>
      <c r="AM234" s="7"/>
      <c r="AN234" s="7"/>
      <c r="AO234" s="7"/>
      <c r="AP234" s="7"/>
      <c r="AQ234" s="7"/>
      <c r="AR234" s="7"/>
      <c r="AS234" s="7"/>
      <c r="AT234" s="7"/>
      <c r="AU234" s="7"/>
      <c r="AV234" s="7"/>
      <c r="AW234" s="7"/>
      <c r="AX234" s="7"/>
      <c r="AY234" s="7"/>
      <c r="AZ234" s="7"/>
    </row>
    <row r="235" spans="1:52" ht="63" customHeight="1">
      <c r="A235" s="20" t="s">
        <v>1211</v>
      </c>
      <c r="B235" s="7">
        <v>1</v>
      </c>
      <c r="C235" s="7" t="s">
        <v>212</v>
      </c>
      <c r="D235" s="27" t="s">
        <v>95</v>
      </c>
      <c r="E235" s="27" t="s">
        <v>63</v>
      </c>
      <c r="F235" s="7" t="s">
        <v>1212</v>
      </c>
      <c r="G235" s="7">
        <v>2004</v>
      </c>
      <c r="H235" s="7"/>
      <c r="I235" s="14" t="str">
        <f>HYPERLINK("mailto:ceo.office@valuationtribunal.gov.uk","ceo.office@valuationtribunal.gov.uk")</f>
        <v>ceo.office@valuationtribunal.gov.uk</v>
      </c>
      <c r="J235" s="14" t="str">
        <f>HYPERLINK("https://www.valuationtribunal.gov.uk/","https://www.valuationtribunal.gov.uk/")</f>
        <v>https://www.valuationtribunal.gov.uk/</v>
      </c>
      <c r="K235" s="7" t="s">
        <v>1213</v>
      </c>
      <c r="L235" s="7" t="s">
        <v>1214</v>
      </c>
      <c r="M235" s="7" t="s">
        <v>71</v>
      </c>
      <c r="N235" s="15" t="s">
        <v>43</v>
      </c>
      <c r="O235" s="16">
        <v>8839</v>
      </c>
      <c r="P235" s="15" t="s">
        <v>52</v>
      </c>
      <c r="Q235" s="17" t="s">
        <v>1184</v>
      </c>
      <c r="R235" s="6" t="s">
        <v>37</v>
      </c>
      <c r="S235" s="27" t="s">
        <v>56</v>
      </c>
      <c r="T235" s="6" t="s">
        <v>43</v>
      </c>
      <c r="U235" s="7" t="s">
        <v>695</v>
      </c>
      <c r="V235" s="7"/>
      <c r="W235" s="7">
        <v>23</v>
      </c>
      <c r="X235" s="18">
        <v>7400</v>
      </c>
      <c r="Y235" s="18">
        <v>0</v>
      </c>
      <c r="Z235" s="18">
        <v>7400</v>
      </c>
      <c r="AA235" s="18">
        <v>6349</v>
      </c>
      <c r="AB235" s="18">
        <v>430</v>
      </c>
      <c r="AC235" s="18">
        <v>745</v>
      </c>
      <c r="AD235" s="7" t="s">
        <v>1215</v>
      </c>
      <c r="AE235" s="7" t="s">
        <v>56</v>
      </c>
      <c r="AG235" s="7"/>
      <c r="AH235" s="7"/>
      <c r="AI235" s="7"/>
      <c r="AJ235" s="7"/>
      <c r="AK235" s="7"/>
      <c r="AL235" s="7"/>
      <c r="AM235" s="7"/>
      <c r="AN235" s="7"/>
      <c r="AO235" s="7"/>
      <c r="AP235" s="7"/>
      <c r="AQ235" s="7"/>
      <c r="AR235" s="7"/>
      <c r="AS235" s="7"/>
      <c r="AT235" s="7"/>
      <c r="AU235" s="7"/>
      <c r="AV235" s="7"/>
      <c r="AW235" s="7"/>
      <c r="AX235" s="7"/>
      <c r="AY235" s="7"/>
      <c r="AZ235" s="7"/>
    </row>
    <row r="236" spans="1:52" ht="63" customHeight="1">
      <c r="A236" s="20" t="s">
        <v>1216</v>
      </c>
      <c r="B236" s="7">
        <v>1</v>
      </c>
      <c r="C236" s="7" t="s">
        <v>206</v>
      </c>
      <c r="D236" s="6" t="s">
        <v>108</v>
      </c>
      <c r="E236" s="27" t="s">
        <v>56</v>
      </c>
      <c r="F236" s="7" t="s">
        <v>1217</v>
      </c>
      <c r="G236" s="7">
        <v>1990</v>
      </c>
      <c r="H236" s="7"/>
      <c r="I236" s="14" t="str">
        <f>HYPERLINK("mailto:enquiries@vca.gov.uk","enquiries@vca.gov.uk")</f>
        <v>enquiries@vca.gov.uk</v>
      </c>
      <c r="J236" s="14" t="str">
        <f>HYPERLINK("https://www.vehicle-certification-agency.gov.uk/","www.dft.gov.uk/vca")</f>
        <v>www.dft.gov.uk/vca</v>
      </c>
      <c r="K236" s="7" t="s">
        <v>408</v>
      </c>
      <c r="L236" s="7" t="s">
        <v>1218</v>
      </c>
      <c r="M236" s="7" t="s">
        <v>42</v>
      </c>
      <c r="N236" s="15" t="s">
        <v>43</v>
      </c>
      <c r="O236" s="16">
        <v>12500</v>
      </c>
      <c r="P236" s="15" t="s">
        <v>52</v>
      </c>
      <c r="Q236" s="15" t="s">
        <v>560</v>
      </c>
      <c r="R236" s="7" t="s">
        <v>37</v>
      </c>
      <c r="S236" s="7" t="s">
        <v>37</v>
      </c>
      <c r="T236" s="7" t="s">
        <v>43</v>
      </c>
      <c r="U236" s="7" t="s">
        <v>54</v>
      </c>
      <c r="V236" s="7">
        <v>2014</v>
      </c>
      <c r="W236" s="7">
        <v>200</v>
      </c>
      <c r="X236" s="18">
        <v>0</v>
      </c>
      <c r="Y236" s="18">
        <v>21233</v>
      </c>
      <c r="Z236" s="18">
        <f>IF(SUM(Y236)&lt;&gt;0,SUM(Y236),"")</f>
        <v>21233</v>
      </c>
      <c r="AA236" s="18">
        <v>20781</v>
      </c>
      <c r="AB236" s="18">
        <v>838</v>
      </c>
      <c r="AC236" s="18">
        <v>0</v>
      </c>
      <c r="AD236" s="7"/>
      <c r="AE236" s="7"/>
      <c r="AF236" s="7"/>
      <c r="AG236" s="7"/>
      <c r="AH236" s="7"/>
      <c r="AI236" s="7"/>
      <c r="AJ236" s="7"/>
      <c r="AK236" s="7"/>
      <c r="AL236" s="7"/>
      <c r="AM236" s="7"/>
      <c r="AN236" s="7"/>
      <c r="AO236" s="7"/>
      <c r="AP236" s="7"/>
      <c r="AQ236" s="7"/>
      <c r="AR236" s="7"/>
      <c r="AS236" s="7"/>
      <c r="AT236" s="7"/>
      <c r="AU236" s="7"/>
      <c r="AV236" s="7"/>
      <c r="AW236" s="7"/>
      <c r="AX236" s="7"/>
      <c r="AY236" s="7"/>
      <c r="AZ236" s="7"/>
    </row>
    <row r="237" spans="1:52" ht="63" customHeight="1">
      <c r="A237" s="20" t="s">
        <v>1219</v>
      </c>
      <c r="B237" s="7">
        <v>1</v>
      </c>
      <c r="C237" s="7" t="s">
        <v>65</v>
      </c>
      <c r="D237" s="6" t="s">
        <v>36</v>
      </c>
      <c r="E237" s="6" t="s">
        <v>37</v>
      </c>
      <c r="F237" s="7" t="s">
        <v>1220</v>
      </c>
      <c r="G237" s="7">
        <v>1921</v>
      </c>
      <c r="H237" s="7"/>
      <c r="I237" s="14" t="str">
        <f>HYPERLINK("kerry.wright741@mod.gov.uk ","kerry.wright741@mod.gov.uk ")</f>
        <v xml:space="preserve">kerry.wright741@mod.gov.uk </v>
      </c>
      <c r="J237" s="14" t="str">
        <f>HYPERLINK("https://www.gov.uk/government/organisations/veterans-advisory-and-pensions-committees-x13","https://www.gov.uk/government/organisations/veterans-advisory-and-pensions-committees-x13")</f>
        <v>https://www.gov.uk/government/organisations/veterans-advisory-and-pensions-committees-x13</v>
      </c>
      <c r="K237" s="7" t="s">
        <v>1221</v>
      </c>
      <c r="L237" s="27" t="s">
        <v>92</v>
      </c>
      <c r="M237" s="13" t="s">
        <v>42</v>
      </c>
      <c r="N237" s="15" t="s">
        <v>37</v>
      </c>
      <c r="O237" s="16"/>
      <c r="P237" s="15"/>
      <c r="Q237" s="17" t="s">
        <v>1222</v>
      </c>
      <c r="R237" s="7" t="s">
        <v>37</v>
      </c>
      <c r="S237" s="7" t="s">
        <v>43</v>
      </c>
      <c r="T237" s="7" t="s">
        <v>37</v>
      </c>
      <c r="U237" s="7" t="s">
        <v>46</v>
      </c>
      <c r="V237" s="7">
        <v>2017</v>
      </c>
      <c r="W237" s="7"/>
      <c r="X237" s="18">
        <v>30</v>
      </c>
      <c r="Y237" s="18">
        <v>0</v>
      </c>
      <c r="Z237" s="18">
        <v>30</v>
      </c>
      <c r="AA237" s="18">
        <v>30</v>
      </c>
      <c r="AB237" s="18">
        <v>0</v>
      </c>
      <c r="AC237" s="18">
        <v>0</v>
      </c>
      <c r="AD237" s="7"/>
      <c r="AE237" s="7" t="s">
        <v>56</v>
      </c>
      <c r="AF237" s="7"/>
      <c r="AG237" s="7"/>
      <c r="AH237" s="7"/>
      <c r="AI237" s="7"/>
      <c r="AJ237" s="7"/>
      <c r="AK237" s="7"/>
      <c r="AL237" s="7"/>
      <c r="AM237" s="7"/>
      <c r="AN237" s="7"/>
      <c r="AO237" s="7"/>
      <c r="AP237" s="7"/>
      <c r="AQ237" s="7"/>
      <c r="AR237" s="7"/>
      <c r="AS237" s="7"/>
      <c r="AT237" s="7"/>
      <c r="AU237" s="7"/>
      <c r="AV237" s="7"/>
      <c r="AW237" s="7"/>
      <c r="AX237" s="7"/>
      <c r="AY237" s="7"/>
      <c r="AZ237" s="7"/>
    </row>
    <row r="238" spans="1:52" ht="63" customHeight="1">
      <c r="A238" s="20" t="s">
        <v>1223</v>
      </c>
      <c r="B238" s="7">
        <v>1</v>
      </c>
      <c r="C238" s="7" t="s">
        <v>79</v>
      </c>
      <c r="D238" s="6" t="s">
        <v>108</v>
      </c>
      <c r="E238" s="6" t="s">
        <v>43</v>
      </c>
      <c r="F238" s="7" t="s">
        <v>1224</v>
      </c>
      <c r="G238" s="7">
        <v>1990</v>
      </c>
      <c r="H238" s="7"/>
      <c r="I238" s="14" t="str">
        <f>HYPERLINK("postmaster@vmd.gov.uk ","postmaster@vmd.gov.uk ")</f>
        <v xml:space="preserve">postmaster@vmd.gov.uk </v>
      </c>
      <c r="J238" s="14" t="str">
        <f>HYPERLINK("https://www.gov.uk/government/organisations/veterinary-medicines-directorate","=HYPERLINK(""https://www.gov.uk/government/organisations/veterinary-products-committee"",""https://www.gov.uk/government/
organisations/veterinary-medicines-directorate"")")</f>
        <v>=HYPERLINK("https://www.gov.uk/government/organisations/veterinary-products-committee","https://www.gov.uk/government/
organisations/veterinary-medicines-directorate")</v>
      </c>
      <c r="K238" s="7" t="s">
        <v>1008</v>
      </c>
      <c r="L238" s="7" t="s">
        <v>1225</v>
      </c>
      <c r="M238" s="7" t="s">
        <v>42</v>
      </c>
      <c r="N238" s="15" t="s">
        <v>43</v>
      </c>
      <c r="O238" s="16">
        <v>520</v>
      </c>
      <c r="P238" s="15" t="s">
        <v>44</v>
      </c>
      <c r="Q238" s="17" t="s">
        <v>1226</v>
      </c>
      <c r="R238" s="7" t="s">
        <v>37</v>
      </c>
      <c r="S238" s="7" t="s">
        <v>43</v>
      </c>
      <c r="T238" s="7" t="s">
        <v>43</v>
      </c>
      <c r="U238" s="7" t="s">
        <v>54</v>
      </c>
      <c r="V238" s="25"/>
      <c r="W238" s="39">
        <v>160</v>
      </c>
      <c r="X238" s="18">
        <v>3000</v>
      </c>
      <c r="Y238" s="18">
        <v>11935</v>
      </c>
      <c r="Z238" s="18">
        <v>14935</v>
      </c>
      <c r="AA238" s="18">
        <v>14267</v>
      </c>
      <c r="AB238" s="18">
        <v>1037</v>
      </c>
      <c r="AC238" s="18">
        <v>0</v>
      </c>
      <c r="AD238" s="7"/>
      <c r="AE238" s="7"/>
      <c r="AF238" s="7"/>
      <c r="AG238" s="7"/>
      <c r="AH238" s="7"/>
      <c r="AI238" s="7"/>
      <c r="AJ238" s="7"/>
      <c r="AK238" s="7"/>
      <c r="AL238" s="7"/>
      <c r="AM238" s="7"/>
      <c r="AN238" s="7"/>
      <c r="AO238" s="7"/>
      <c r="AP238" s="7"/>
      <c r="AQ238" s="7"/>
      <c r="AR238" s="7"/>
      <c r="AS238" s="7"/>
      <c r="AT238" s="7"/>
      <c r="AU238" s="7"/>
      <c r="AV238" s="7"/>
      <c r="AW238" s="7"/>
      <c r="AX238" s="7"/>
      <c r="AY238" s="7"/>
      <c r="AZ238" s="7"/>
    </row>
    <row r="239" spans="1:52" ht="63" customHeight="1">
      <c r="A239" s="20" t="s">
        <v>1227</v>
      </c>
      <c r="B239" s="7">
        <v>1</v>
      </c>
      <c r="C239" s="7" t="s">
        <v>79</v>
      </c>
      <c r="D239" s="6" t="s">
        <v>36</v>
      </c>
      <c r="E239" s="6" t="s">
        <v>37</v>
      </c>
      <c r="F239" s="7" t="s">
        <v>1228</v>
      </c>
      <c r="G239" s="7">
        <v>1970</v>
      </c>
      <c r="H239" s="7"/>
      <c r="I239" s="14" t="str">
        <f>HYPERLINK("mailto:vpc@vmd.gov.uk","vpc@vmd.gov.uk")</f>
        <v>vpc@vmd.gov.uk</v>
      </c>
      <c r="J239" s="14" t="str">
        <f>HYPERLINK("https://www.gov.uk/government/organisations/veterinary-products-committee","https://www.gov.uk/government/
organisations/veterinary-products-committee")</f>
        <v>https://www.gov.uk/government/
organisations/veterinary-products-committee</v>
      </c>
      <c r="K239" s="7" t="s">
        <v>1229</v>
      </c>
      <c r="L239" s="7" t="s">
        <v>1230</v>
      </c>
      <c r="M239" s="7" t="s">
        <v>42</v>
      </c>
      <c r="N239" s="15" t="s">
        <v>43</v>
      </c>
      <c r="O239" s="16">
        <v>279</v>
      </c>
      <c r="P239" s="15" t="s">
        <v>44</v>
      </c>
      <c r="Q239" s="17" t="s">
        <v>247</v>
      </c>
      <c r="R239" s="7" t="s">
        <v>37</v>
      </c>
      <c r="S239" s="7" t="s">
        <v>43</v>
      </c>
      <c r="T239" s="7" t="s">
        <v>43</v>
      </c>
      <c r="U239" s="7" t="s">
        <v>54</v>
      </c>
      <c r="V239" s="7">
        <v>2013</v>
      </c>
      <c r="W239" s="7"/>
      <c r="X239" s="18">
        <v>0</v>
      </c>
      <c r="Y239" s="18">
        <v>0</v>
      </c>
      <c r="Z239" s="18">
        <v>0</v>
      </c>
      <c r="AA239" s="18">
        <v>24</v>
      </c>
      <c r="AB239" s="18">
        <v>0</v>
      </c>
      <c r="AC239" s="18">
        <v>0</v>
      </c>
      <c r="AD239" s="7"/>
      <c r="AE239" s="7"/>
      <c r="AF239" s="7"/>
      <c r="AG239" s="7"/>
      <c r="AH239" s="7"/>
      <c r="AI239" s="7"/>
      <c r="AJ239" s="7"/>
      <c r="AK239" s="7"/>
      <c r="AL239" s="7"/>
      <c r="AM239" s="7"/>
      <c r="AN239" s="7"/>
      <c r="AO239" s="7"/>
      <c r="AP239" s="7"/>
      <c r="AQ239" s="7"/>
      <c r="AR239" s="7"/>
      <c r="AS239" s="7"/>
      <c r="AT239" s="7"/>
      <c r="AU239" s="7"/>
      <c r="AV239" s="7"/>
      <c r="AW239" s="7"/>
      <c r="AX239" s="7"/>
      <c r="AY239" s="7"/>
      <c r="AZ239" s="7"/>
    </row>
    <row r="240" spans="1:52" ht="63" customHeight="1">
      <c r="A240" s="20" t="s">
        <v>1231</v>
      </c>
      <c r="B240" s="7">
        <v>1</v>
      </c>
      <c r="C240" s="7" t="s">
        <v>122</v>
      </c>
      <c r="D240" s="7" t="s">
        <v>95</v>
      </c>
      <c r="E240" s="7" t="s">
        <v>37</v>
      </c>
      <c r="F240" s="7" t="s">
        <v>1232</v>
      </c>
      <c r="G240" s="7">
        <v>1857</v>
      </c>
      <c r="H240" s="7"/>
      <c r="I240" s="14" t="str">
        <f>HYPERLINK("mailto:hello@vam.ac.uk","hello@vam.ac.uk")</f>
        <v>hello@vam.ac.uk</v>
      </c>
      <c r="J240" s="14" t="s">
        <v>1233</v>
      </c>
      <c r="K240" s="7" t="s">
        <v>1234</v>
      </c>
      <c r="L240" s="7" t="s">
        <v>1235</v>
      </c>
      <c r="M240" s="7" t="s">
        <v>42</v>
      </c>
      <c r="N240" s="15" t="s">
        <v>37</v>
      </c>
      <c r="O240" s="16"/>
      <c r="P240" s="15"/>
      <c r="Q240" s="7" t="s">
        <v>1236</v>
      </c>
      <c r="R240" s="7" t="s">
        <v>63</v>
      </c>
      <c r="S240" s="13" t="s">
        <v>56</v>
      </c>
      <c r="T240" s="7" t="s">
        <v>56</v>
      </c>
      <c r="U240" s="7" t="s">
        <v>54</v>
      </c>
      <c r="V240" s="7">
        <v>2017</v>
      </c>
      <c r="W240" s="7">
        <v>920.5</v>
      </c>
      <c r="X240" s="18">
        <v>40676</v>
      </c>
      <c r="Y240" s="18">
        <v>63036</v>
      </c>
      <c r="Z240" s="18">
        <f t="shared" ref="Z240:Z245" si="10">(X240+Y240)</f>
        <v>103712</v>
      </c>
      <c r="AA240" s="18">
        <v>39488</v>
      </c>
      <c r="AB240" s="18">
        <v>1955</v>
      </c>
      <c r="AC240" s="18">
        <v>5431</v>
      </c>
      <c r="AD240" s="7"/>
      <c r="AE240" s="7"/>
      <c r="AF240" s="7"/>
      <c r="AG240" s="7"/>
      <c r="AH240" s="7"/>
      <c r="AI240" s="7"/>
      <c r="AJ240" s="7"/>
      <c r="AK240" s="7"/>
      <c r="AL240" s="7"/>
      <c r="AM240" s="7"/>
      <c r="AN240" s="7"/>
      <c r="AO240" s="7"/>
      <c r="AP240" s="7"/>
      <c r="AQ240" s="7"/>
      <c r="AR240" s="7"/>
      <c r="AS240" s="7"/>
      <c r="AT240" s="7"/>
      <c r="AU240" s="7"/>
      <c r="AV240" s="7"/>
      <c r="AW240" s="7"/>
      <c r="AX240" s="7"/>
      <c r="AY240" s="7"/>
      <c r="AZ240" s="7"/>
    </row>
    <row r="241" spans="1:52" ht="63" customHeight="1">
      <c r="A241" s="20" t="s">
        <v>1237</v>
      </c>
      <c r="B241" s="7">
        <v>1</v>
      </c>
      <c r="C241" s="7" t="s">
        <v>122</v>
      </c>
      <c r="D241" s="7" t="s">
        <v>95</v>
      </c>
      <c r="E241" s="7" t="s">
        <v>37</v>
      </c>
      <c r="F241" s="13" t="s">
        <v>1238</v>
      </c>
      <c r="G241" s="7">
        <v>1969</v>
      </c>
      <c r="H241" s="7"/>
      <c r="I241" s="14" t="s">
        <v>1239</v>
      </c>
      <c r="J241" s="14" t="str">
        <f>HYPERLINK("https://www.visitbritain.com/gb/en","https://www.visitbritain.com/gb/en")</f>
        <v>https://www.visitbritain.com/gb/en</v>
      </c>
      <c r="K241" s="13" t="s">
        <v>1240</v>
      </c>
      <c r="L241" s="7" t="s">
        <v>1241</v>
      </c>
      <c r="M241" s="13" t="s">
        <v>42</v>
      </c>
      <c r="N241" s="15" t="s">
        <v>43</v>
      </c>
      <c r="O241" s="16">
        <v>40000</v>
      </c>
      <c r="P241" s="15" t="s">
        <v>52</v>
      </c>
      <c r="Q241" s="13" t="s">
        <v>193</v>
      </c>
      <c r="R241" s="7" t="s">
        <v>63</v>
      </c>
      <c r="S241" s="7" t="s">
        <v>56</v>
      </c>
      <c r="T241" s="7" t="s">
        <v>56</v>
      </c>
      <c r="U241" s="7" t="s">
        <v>54</v>
      </c>
      <c r="V241" s="7">
        <v>2015</v>
      </c>
      <c r="W241" s="7">
        <v>257</v>
      </c>
      <c r="X241" s="18">
        <v>0</v>
      </c>
      <c r="Y241" s="18">
        <v>0</v>
      </c>
      <c r="Z241" s="18">
        <f t="shared" si="10"/>
        <v>0</v>
      </c>
      <c r="AA241" s="18">
        <v>90641</v>
      </c>
      <c r="AB241" s="18">
        <v>693</v>
      </c>
      <c r="AC241" s="18">
        <v>2761</v>
      </c>
      <c r="AD241" s="7"/>
      <c r="AE241" s="7"/>
      <c r="AF241" s="7"/>
      <c r="AG241" s="7"/>
      <c r="AH241" s="7"/>
      <c r="AI241" s="7"/>
      <c r="AJ241" s="7"/>
      <c r="AK241" s="7"/>
      <c r="AL241" s="7"/>
      <c r="AM241" s="7"/>
      <c r="AN241" s="7"/>
      <c r="AO241" s="7"/>
      <c r="AP241" s="7"/>
      <c r="AQ241" s="7"/>
      <c r="AR241" s="7"/>
      <c r="AS241" s="7"/>
      <c r="AT241" s="7"/>
      <c r="AU241" s="7"/>
      <c r="AV241" s="7"/>
      <c r="AW241" s="7"/>
      <c r="AX241" s="7"/>
      <c r="AY241" s="7"/>
      <c r="AZ241" s="7"/>
    </row>
    <row r="242" spans="1:52" ht="63" customHeight="1">
      <c r="A242" s="20" t="s">
        <v>1242</v>
      </c>
      <c r="B242" s="7">
        <v>1</v>
      </c>
      <c r="C242" s="7" t="s">
        <v>122</v>
      </c>
      <c r="D242" s="7" t="s">
        <v>36</v>
      </c>
      <c r="E242" s="7" t="s">
        <v>37</v>
      </c>
      <c r="F242" s="7" t="s">
        <v>1243</v>
      </c>
      <c r="G242" s="7">
        <v>1969</v>
      </c>
      <c r="H242" s="7"/>
      <c r="I242" s="14" t="str">
        <f>HYPERLINK("https://www.visitengland.com/contact-us","Please contact via website")</f>
        <v>Please contact via website</v>
      </c>
      <c r="J242" s="14" t="str">
        <f>HYPERLINK("https://www.visitengland.com/","https://www.visitengland.com/")</f>
        <v>https://www.visitengland.com/</v>
      </c>
      <c r="K242" s="13" t="s">
        <v>1240</v>
      </c>
      <c r="L242" s="7" t="s">
        <v>1244</v>
      </c>
      <c r="M242" s="13" t="s">
        <v>42</v>
      </c>
      <c r="N242" s="15" t="s">
        <v>43</v>
      </c>
      <c r="O242" s="16">
        <v>345</v>
      </c>
      <c r="P242" s="15" t="s">
        <v>44</v>
      </c>
      <c r="Q242" s="13" t="s">
        <v>1245</v>
      </c>
      <c r="R242" s="7" t="s">
        <v>63</v>
      </c>
      <c r="S242" s="7" t="s">
        <v>56</v>
      </c>
      <c r="T242" s="7" t="s">
        <v>56</v>
      </c>
      <c r="U242" s="7" t="s">
        <v>54</v>
      </c>
      <c r="V242" s="7">
        <v>2015</v>
      </c>
      <c r="W242" s="7">
        <v>271</v>
      </c>
      <c r="X242" s="18">
        <v>0</v>
      </c>
      <c r="Y242" s="18">
        <v>0</v>
      </c>
      <c r="Z242" s="18">
        <f t="shared" si="10"/>
        <v>0</v>
      </c>
      <c r="AA242" s="18">
        <v>0</v>
      </c>
      <c r="AB242" s="18">
        <v>0</v>
      </c>
      <c r="AC242" s="18">
        <v>0</v>
      </c>
      <c r="AD242" s="7"/>
      <c r="AE242" s="7"/>
      <c r="AF242" s="7"/>
      <c r="AG242" s="7"/>
      <c r="AH242" s="7"/>
      <c r="AI242" s="7"/>
      <c r="AJ242" s="7"/>
      <c r="AK242" s="7"/>
      <c r="AL242" s="7"/>
      <c r="AM242" s="7"/>
      <c r="AN242" s="7"/>
      <c r="AO242" s="7"/>
      <c r="AP242" s="7"/>
      <c r="AQ242" s="7"/>
      <c r="AR242" s="7"/>
      <c r="AS242" s="7"/>
      <c r="AT242" s="7"/>
      <c r="AU242" s="7"/>
      <c r="AV242" s="7"/>
      <c r="AW242" s="7"/>
      <c r="AX242" s="7"/>
      <c r="AY242" s="7"/>
      <c r="AZ242" s="7"/>
    </row>
    <row r="243" spans="1:52" ht="63" customHeight="1">
      <c r="A243" s="20" t="s">
        <v>1246</v>
      </c>
      <c r="B243" s="7">
        <v>1</v>
      </c>
      <c r="C243" s="7" t="s">
        <v>122</v>
      </c>
      <c r="D243" s="7" t="s">
        <v>95</v>
      </c>
      <c r="E243" s="7" t="s">
        <v>37</v>
      </c>
      <c r="F243" s="13" t="s">
        <v>1247</v>
      </c>
      <c r="G243" s="7">
        <v>1900</v>
      </c>
      <c r="H243" s="55" t="s">
        <v>780</v>
      </c>
      <c r="I243" s="14" t="str">
        <f>HYPERLINK("mailto:admin@wallacecollection.org","admin@wallacecollection.org")</f>
        <v>admin@wallacecollection.org</v>
      </c>
      <c r="J243" s="14" t="s">
        <v>1248</v>
      </c>
      <c r="K243" s="7" t="s">
        <v>1234</v>
      </c>
      <c r="L243" s="7" t="s">
        <v>1249</v>
      </c>
      <c r="M243" s="56" t="s">
        <v>71</v>
      </c>
      <c r="N243" s="15" t="s">
        <v>37</v>
      </c>
      <c r="O243" s="16"/>
      <c r="P243" s="15"/>
      <c r="Q243" s="13" t="s">
        <v>1250</v>
      </c>
      <c r="R243" s="7" t="s">
        <v>63</v>
      </c>
      <c r="S243" s="7" t="s">
        <v>56</v>
      </c>
      <c r="T243" s="7" t="s">
        <v>56</v>
      </c>
      <c r="U243" s="7" t="s">
        <v>54</v>
      </c>
      <c r="V243" s="7">
        <v>2017</v>
      </c>
      <c r="W243" s="7">
        <v>109</v>
      </c>
      <c r="X243" s="18">
        <v>2731</v>
      </c>
      <c r="Y243" s="18">
        <v>4320</v>
      </c>
      <c r="Z243" s="18">
        <f t="shared" si="10"/>
        <v>7051</v>
      </c>
      <c r="AA243" s="18">
        <v>3146</v>
      </c>
      <c r="AB243" s="18">
        <v>1072</v>
      </c>
      <c r="AC243" s="18">
        <v>790</v>
      </c>
      <c r="AD243" s="7"/>
      <c r="AE243" s="7"/>
      <c r="AF243" s="7"/>
      <c r="AG243" s="7"/>
      <c r="AH243" s="7"/>
      <c r="AI243" s="7"/>
      <c r="AJ243" s="7"/>
      <c r="AK243" s="7"/>
      <c r="AL243" s="7"/>
      <c r="AM243" s="7"/>
      <c r="AN243" s="7"/>
      <c r="AO243" s="7"/>
      <c r="AP243" s="7"/>
      <c r="AQ243" s="7"/>
      <c r="AR243" s="7"/>
      <c r="AS243" s="7"/>
      <c r="AT243" s="7"/>
      <c r="AU243" s="7"/>
      <c r="AV243" s="7"/>
      <c r="AW243" s="7"/>
      <c r="AX243" s="7"/>
      <c r="AY243" s="7"/>
      <c r="AZ243" s="7"/>
    </row>
    <row r="244" spans="1:52" ht="63" customHeight="1">
      <c r="A244" s="20" t="s">
        <v>1251</v>
      </c>
      <c r="B244" s="7">
        <v>1</v>
      </c>
      <c r="C244" s="7" t="s">
        <v>170</v>
      </c>
      <c r="D244" s="7" t="s">
        <v>95</v>
      </c>
      <c r="E244" s="7" t="s">
        <v>37</v>
      </c>
      <c r="F244" s="13" t="s">
        <v>1252</v>
      </c>
      <c r="G244" s="7">
        <v>1992</v>
      </c>
      <c r="H244" s="7"/>
      <c r="I244" s="14" t="str">
        <f>HYPERLINK("Anthony.smith@wfd.org ","Anthony.smith@wfd.org ")</f>
        <v xml:space="preserve">Anthony.smith@wfd.org </v>
      </c>
      <c r="J244" s="14" t="str">
        <f>HYPERLINK("https://www.wfd.org/","www.wfd.org")</f>
        <v>www.wfd.org</v>
      </c>
      <c r="K244" s="7" t="s">
        <v>1253</v>
      </c>
      <c r="L244" s="27" t="s">
        <v>1254</v>
      </c>
      <c r="M244" s="56" t="s">
        <v>71</v>
      </c>
      <c r="N244" s="15" t="s">
        <v>37</v>
      </c>
      <c r="O244" s="16"/>
      <c r="P244" s="15"/>
      <c r="Q244" s="17" t="s">
        <v>1255</v>
      </c>
      <c r="R244" s="7" t="s">
        <v>37</v>
      </c>
      <c r="S244" s="7" t="s">
        <v>37</v>
      </c>
      <c r="T244" s="7" t="s">
        <v>43</v>
      </c>
      <c r="U244" s="7" t="s">
        <v>46</v>
      </c>
      <c r="V244" s="7">
        <v>2019</v>
      </c>
      <c r="W244" s="7">
        <v>48.5</v>
      </c>
      <c r="X244" s="18">
        <v>14000</v>
      </c>
      <c r="Y244" s="18">
        <v>17500</v>
      </c>
      <c r="Z244" s="18">
        <f t="shared" si="10"/>
        <v>31500</v>
      </c>
      <c r="AA244" s="18">
        <v>15000</v>
      </c>
      <c r="AB244" s="18">
        <v>0</v>
      </c>
      <c r="AC244" s="18">
        <v>0</v>
      </c>
      <c r="AD244" s="7"/>
      <c r="AE244" s="7"/>
      <c r="AF244" s="7"/>
      <c r="AG244" s="7"/>
      <c r="AH244" s="7"/>
      <c r="AI244" s="7"/>
      <c r="AJ244" s="7"/>
      <c r="AK244" s="7"/>
      <c r="AL244" s="7"/>
      <c r="AM244" s="7"/>
      <c r="AN244" s="7"/>
      <c r="AO244" s="7"/>
      <c r="AP244" s="7"/>
      <c r="AQ244" s="7"/>
      <c r="AR244" s="7"/>
      <c r="AS244" s="7"/>
      <c r="AT244" s="7"/>
      <c r="AU244" s="7"/>
      <c r="AV244" s="7"/>
      <c r="AW244" s="7"/>
      <c r="AX244" s="7"/>
      <c r="AY244" s="7"/>
      <c r="AZ244" s="7"/>
    </row>
    <row r="245" spans="1:52" ht="63" customHeight="1">
      <c r="A245" s="20" t="s">
        <v>1256</v>
      </c>
      <c r="B245" s="7">
        <v>1</v>
      </c>
      <c r="C245" s="7" t="s">
        <v>170</v>
      </c>
      <c r="D245" s="7" t="s">
        <v>108</v>
      </c>
      <c r="E245" s="7" t="s">
        <v>37</v>
      </c>
      <c r="F245" s="7" t="s">
        <v>1257</v>
      </c>
      <c r="G245" s="27">
        <v>1946</v>
      </c>
      <c r="H245" s="7"/>
      <c r="I245" s="14" t="str">
        <f>HYPERLINK("mailto:commsteam@wiltonpark.org.uk","commsteam@wiltonpark.org.uk")</f>
        <v>commsteam@wiltonpark.org.uk</v>
      </c>
      <c r="J245" s="14" t="str">
        <f>HYPERLINK("https://www.wiltonpark.org.uk/","www.wiltonpark.org.uk")</f>
        <v>www.wiltonpark.org.uk</v>
      </c>
      <c r="K245" s="7" t="s">
        <v>1258</v>
      </c>
      <c r="L245" s="7" t="s">
        <v>1259</v>
      </c>
      <c r="M245" s="7" t="s">
        <v>42</v>
      </c>
      <c r="N245" s="15" t="s">
        <v>43</v>
      </c>
      <c r="O245" s="16">
        <v>25000</v>
      </c>
      <c r="P245" s="15" t="s">
        <v>52</v>
      </c>
      <c r="Q245" s="17" t="s">
        <v>1260</v>
      </c>
      <c r="R245" s="7" t="s">
        <v>37</v>
      </c>
      <c r="S245" s="7" t="s">
        <v>37</v>
      </c>
      <c r="T245" s="7" t="s">
        <v>43</v>
      </c>
      <c r="U245" s="7" t="s">
        <v>46</v>
      </c>
      <c r="V245" s="7">
        <v>2018</v>
      </c>
      <c r="W245" s="7">
        <v>78.2</v>
      </c>
      <c r="X245" s="18">
        <v>2936</v>
      </c>
      <c r="Y245" s="18">
        <v>3678</v>
      </c>
      <c r="Z245" s="18">
        <f t="shared" si="10"/>
        <v>6614</v>
      </c>
      <c r="AA245" s="18">
        <v>6969</v>
      </c>
      <c r="AB245" s="18">
        <v>0</v>
      </c>
      <c r="AC245" s="18">
        <v>0</v>
      </c>
      <c r="AD245" s="7"/>
      <c r="AE245" s="7"/>
      <c r="AF245" s="7"/>
      <c r="AG245" s="7"/>
      <c r="AH245" s="7"/>
      <c r="AI245" s="7"/>
      <c r="AJ245" s="7"/>
      <c r="AK245" s="7"/>
      <c r="AL245" s="7"/>
      <c r="AM245" s="7"/>
      <c r="AN245" s="7"/>
      <c r="AO245" s="7"/>
      <c r="AP245" s="7"/>
      <c r="AQ245" s="7"/>
      <c r="AR245" s="7"/>
      <c r="AS245" s="7"/>
      <c r="AT245" s="7"/>
      <c r="AU245" s="7"/>
      <c r="AV245" s="7"/>
      <c r="AW245" s="7"/>
      <c r="AX245" s="7"/>
      <c r="AY245" s="7"/>
      <c r="AZ245" s="7"/>
    </row>
    <row r="246" spans="1:52" ht="63" customHeight="1">
      <c r="A246" s="20" t="s">
        <v>1261</v>
      </c>
      <c r="B246" s="7">
        <v>1</v>
      </c>
      <c r="C246" s="7" t="s">
        <v>89</v>
      </c>
      <c r="D246" s="7" t="s">
        <v>95</v>
      </c>
      <c r="E246" s="7" t="s">
        <v>37</v>
      </c>
      <c r="F246" s="7" t="s">
        <v>1262</v>
      </c>
      <c r="G246" s="7">
        <v>1998</v>
      </c>
      <c r="H246" s="7"/>
      <c r="I246" s="14" t="str">
        <f>HYPERLINK("mailto:enquiries@yjb.gov.uk","enquiries@yjb.gov.uk")</f>
        <v>enquiries@yjb.gov.uk</v>
      </c>
      <c r="J246" s="14" t="str">
        <f>HYPERLINK("https://www.gov.uk/government/organisations/youth-justice-board-for-england-and-wales","www.yjb.gov.uk")</f>
        <v>www.yjb.gov.uk</v>
      </c>
      <c r="K246" s="7" t="s">
        <v>359</v>
      </c>
      <c r="L246" s="13" t="s">
        <v>1263</v>
      </c>
      <c r="M246" s="13" t="s">
        <v>42</v>
      </c>
      <c r="N246" s="15" t="s">
        <v>43</v>
      </c>
      <c r="O246" s="16">
        <v>60000</v>
      </c>
      <c r="P246" s="15" t="s">
        <v>52</v>
      </c>
      <c r="Q246" s="17" t="s">
        <v>100</v>
      </c>
      <c r="R246" s="7" t="s">
        <v>37</v>
      </c>
      <c r="S246" s="7" t="s">
        <v>37</v>
      </c>
      <c r="T246" s="7" t="s">
        <v>43</v>
      </c>
      <c r="U246" s="7" t="s">
        <v>54</v>
      </c>
      <c r="V246" s="7"/>
      <c r="W246" s="7">
        <v>87.55</v>
      </c>
      <c r="X246" s="18">
        <v>82967</v>
      </c>
      <c r="Y246" s="18">
        <v>200</v>
      </c>
      <c r="Z246" s="18">
        <v>83167</v>
      </c>
      <c r="AA246" s="18">
        <v>86100</v>
      </c>
      <c r="AB246" s="18">
        <v>400</v>
      </c>
      <c r="AC246" s="18">
        <v>0</v>
      </c>
      <c r="AD246" s="7" t="s">
        <v>1264</v>
      </c>
      <c r="AE246" s="7"/>
      <c r="AF246" s="7"/>
      <c r="AG246" s="7"/>
      <c r="AH246" s="7"/>
      <c r="AI246" s="7"/>
      <c r="AJ246" s="7"/>
      <c r="AK246" s="7"/>
      <c r="AL246" s="7"/>
      <c r="AM246" s="7"/>
      <c r="AN246" s="7"/>
      <c r="AO246" s="7"/>
      <c r="AP246" s="7"/>
      <c r="AQ246" s="7"/>
      <c r="AR246" s="7"/>
      <c r="AS246" s="7"/>
      <c r="AT246" s="7"/>
      <c r="AU246" s="7"/>
      <c r="AV246" s="7"/>
      <c r="AW246" s="7"/>
      <c r="AX246" s="7"/>
      <c r="AY246" s="7"/>
      <c r="AZ246" s="7"/>
    </row>
    <row r="247" spans="1:52" ht="63" customHeight="1">
      <c r="A247" s="20"/>
      <c r="B247" s="7"/>
      <c r="C247" s="7"/>
      <c r="D247" s="7"/>
      <c r="E247" s="7"/>
      <c r="F247" s="7"/>
      <c r="G247" s="25"/>
      <c r="H247" s="7"/>
      <c r="I247" s="7"/>
      <c r="J247" s="7"/>
      <c r="K247" s="7"/>
      <c r="L247" s="7"/>
      <c r="M247" s="46"/>
      <c r="N247" s="7"/>
      <c r="O247" s="16"/>
      <c r="P247" s="7"/>
      <c r="Q247" s="7"/>
      <c r="R247" s="7"/>
      <c r="S247" s="7"/>
      <c r="T247" s="7"/>
      <c r="U247" s="7"/>
      <c r="V247" s="57"/>
      <c r="W247" s="58"/>
      <c r="X247" s="59"/>
      <c r="Y247" s="59"/>
      <c r="Z247" s="59"/>
      <c r="AA247" s="60"/>
      <c r="AB247" s="60"/>
      <c r="AC247" s="60"/>
      <c r="AD247" s="46"/>
      <c r="AE247" s="7"/>
      <c r="AF247" s="7"/>
      <c r="AG247" s="7"/>
      <c r="AH247" s="7"/>
      <c r="AI247" s="7"/>
      <c r="AJ247" s="7"/>
      <c r="AK247" s="7"/>
      <c r="AL247" s="7"/>
      <c r="AM247" s="7"/>
      <c r="AN247" s="7"/>
      <c r="AO247" s="7"/>
      <c r="AP247" s="7"/>
      <c r="AQ247" s="7"/>
      <c r="AR247" s="7"/>
      <c r="AS247" s="7"/>
      <c r="AT247" s="7"/>
      <c r="AU247" s="7"/>
      <c r="AV247" s="7"/>
      <c r="AW247" s="7"/>
      <c r="AX247" s="7"/>
      <c r="AY247" s="7"/>
      <c r="AZ247" s="7"/>
    </row>
    <row r="248" spans="1:52" ht="63" customHeight="1">
      <c r="A248" s="20"/>
      <c r="B248" s="13"/>
      <c r="C248" s="13"/>
      <c r="D248" s="13"/>
      <c r="E248" s="7"/>
      <c r="F248" s="7"/>
      <c r="G248" s="25"/>
      <c r="H248" s="7"/>
      <c r="I248" s="7"/>
      <c r="J248" s="7"/>
      <c r="K248" s="7"/>
      <c r="L248" s="7"/>
      <c r="M248" s="46"/>
      <c r="N248" s="7"/>
      <c r="O248" s="16"/>
      <c r="P248" s="7"/>
      <c r="Q248" s="7"/>
      <c r="R248" s="7"/>
      <c r="S248" s="7"/>
      <c r="T248" s="7"/>
      <c r="U248" s="7"/>
      <c r="V248" s="6"/>
      <c r="W248" s="6"/>
      <c r="X248" s="61"/>
      <c r="Y248" s="61"/>
      <c r="Z248" s="62"/>
      <c r="AA248" s="61"/>
      <c r="AB248" s="62"/>
      <c r="AC248" s="62"/>
      <c r="AD248" s="7"/>
      <c r="AE248" s="7"/>
      <c r="AF248" s="7"/>
      <c r="AG248" s="7"/>
      <c r="AH248" s="7"/>
      <c r="AI248" s="7"/>
      <c r="AJ248" s="7"/>
      <c r="AK248" s="7"/>
      <c r="AL248" s="7"/>
      <c r="AM248" s="7"/>
      <c r="AN248" s="7"/>
      <c r="AO248" s="7"/>
      <c r="AP248" s="7"/>
      <c r="AQ248" s="7"/>
      <c r="AR248" s="7"/>
      <c r="AS248" s="7"/>
      <c r="AT248" s="7"/>
      <c r="AU248" s="7"/>
      <c r="AV248" s="7"/>
      <c r="AW248" s="7"/>
      <c r="AX248" s="7"/>
      <c r="AY248" s="7"/>
      <c r="AZ248" s="7"/>
    </row>
    <row r="249" spans="1:52" ht="63" customHeight="1">
      <c r="A249" s="20"/>
      <c r="B249" s="7"/>
      <c r="C249" s="13"/>
      <c r="D249" s="13"/>
      <c r="E249" s="7"/>
      <c r="F249" s="7"/>
      <c r="G249" s="25"/>
      <c r="H249" s="7"/>
      <c r="I249" s="7"/>
      <c r="J249" s="7"/>
      <c r="K249" s="7"/>
      <c r="L249" s="7"/>
      <c r="M249" s="46"/>
      <c r="N249" s="7"/>
      <c r="O249" s="16"/>
      <c r="P249" s="7"/>
      <c r="Q249" s="7"/>
      <c r="R249" s="7"/>
      <c r="S249" s="7"/>
      <c r="T249" s="7"/>
      <c r="U249" s="7"/>
      <c r="V249" s="6"/>
      <c r="W249" s="6"/>
      <c r="X249" s="27"/>
      <c r="Y249" s="62"/>
      <c r="Z249" s="61"/>
      <c r="AA249" s="62"/>
      <c r="AB249" s="62"/>
      <c r="AC249" s="62"/>
      <c r="AD249" s="46"/>
      <c r="AE249" s="7"/>
      <c r="AF249" s="7"/>
      <c r="AG249" s="7"/>
      <c r="AH249" s="7"/>
      <c r="AI249" s="7"/>
      <c r="AJ249" s="7"/>
      <c r="AK249" s="7"/>
      <c r="AL249" s="7"/>
      <c r="AM249" s="7"/>
      <c r="AN249" s="7"/>
      <c r="AO249" s="7"/>
      <c r="AP249" s="7"/>
      <c r="AQ249" s="7"/>
      <c r="AR249" s="7"/>
      <c r="AS249" s="7"/>
      <c r="AT249" s="7"/>
      <c r="AU249" s="7"/>
      <c r="AV249" s="7"/>
      <c r="AW249" s="7"/>
      <c r="AX249" s="7"/>
      <c r="AY249" s="7"/>
      <c r="AZ249" s="7"/>
    </row>
    <row r="250" spans="1:52" ht="63" customHeight="1">
      <c r="A250" s="20"/>
      <c r="B250" s="7"/>
      <c r="C250" s="13"/>
      <c r="D250" s="13"/>
      <c r="E250" s="7"/>
      <c r="F250" s="7"/>
      <c r="G250" s="25"/>
      <c r="H250" s="7"/>
      <c r="I250" s="7"/>
      <c r="J250" s="7"/>
      <c r="K250" s="7"/>
      <c r="L250" s="7"/>
      <c r="M250" s="7"/>
      <c r="N250" s="7"/>
      <c r="O250" s="16"/>
      <c r="P250" s="7"/>
      <c r="Q250" s="7"/>
      <c r="R250" s="7"/>
      <c r="S250" s="7"/>
      <c r="T250" s="7"/>
      <c r="U250" s="7"/>
      <c r="V250" s="7"/>
      <c r="W250" s="7"/>
      <c r="X250" s="7"/>
      <c r="Y250" s="7"/>
      <c r="Z250" s="36" t="str">
        <f t="shared" ref="Z250:Z258" si="11">IF(SUM(Y250)&lt;&gt;0,SUM(Y250),"")</f>
        <v/>
      </c>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row>
    <row r="251" spans="1:52" ht="63" customHeight="1">
      <c r="A251" s="20"/>
      <c r="B251" s="7"/>
      <c r="C251" s="13"/>
      <c r="D251" s="13"/>
      <c r="E251" s="7"/>
      <c r="F251" s="7"/>
      <c r="G251" s="25"/>
      <c r="H251" s="7"/>
      <c r="I251" s="7"/>
      <c r="J251" s="7"/>
      <c r="K251" s="7"/>
      <c r="L251" s="7"/>
      <c r="M251" s="7"/>
      <c r="N251" s="7"/>
      <c r="O251" s="16"/>
      <c r="P251" s="7"/>
      <c r="Q251" s="7"/>
      <c r="R251" s="7"/>
      <c r="S251" s="7"/>
      <c r="T251" s="7"/>
      <c r="U251" s="7"/>
      <c r="V251" s="7"/>
      <c r="W251" s="7"/>
      <c r="X251" s="7"/>
      <c r="Y251" s="7"/>
      <c r="Z251" s="36" t="str">
        <f t="shared" si="11"/>
        <v/>
      </c>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row>
    <row r="252" spans="1:52" ht="63" customHeight="1">
      <c r="A252" s="20"/>
      <c r="B252" s="7"/>
      <c r="C252" s="7"/>
      <c r="D252" s="7"/>
      <c r="E252" s="7"/>
      <c r="F252" s="7"/>
      <c r="G252" s="25"/>
      <c r="H252" s="7"/>
      <c r="I252" s="7"/>
      <c r="J252" s="7"/>
      <c r="K252" s="7"/>
      <c r="L252" s="7"/>
      <c r="M252" s="7"/>
      <c r="N252" s="7"/>
      <c r="O252" s="16"/>
      <c r="P252" s="7"/>
      <c r="Q252" s="7"/>
      <c r="R252" s="7"/>
      <c r="S252" s="7"/>
      <c r="T252" s="7"/>
      <c r="U252" s="7"/>
      <c r="V252" s="7"/>
      <c r="W252" s="7"/>
      <c r="X252" s="7"/>
      <c r="Y252" s="7"/>
      <c r="Z252" s="36" t="str">
        <f t="shared" si="11"/>
        <v/>
      </c>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row>
    <row r="253" spans="1:52" ht="63" customHeight="1">
      <c r="A253" s="20"/>
      <c r="B253" s="7"/>
      <c r="C253" s="7"/>
      <c r="D253" s="7"/>
      <c r="E253" s="7"/>
      <c r="F253" s="7"/>
      <c r="G253" s="25"/>
      <c r="H253" s="7"/>
      <c r="I253" s="7"/>
      <c r="J253" s="7"/>
      <c r="K253" s="7"/>
      <c r="L253" s="7"/>
      <c r="M253" s="7"/>
      <c r="N253" s="7"/>
      <c r="O253" s="16"/>
      <c r="P253" s="7"/>
      <c r="Q253" s="7"/>
      <c r="R253" s="7"/>
      <c r="S253" s="7"/>
      <c r="T253" s="7"/>
      <c r="U253" s="7"/>
      <c r="V253" s="7"/>
      <c r="W253" s="7"/>
      <c r="X253" s="7"/>
      <c r="Y253" s="7"/>
      <c r="Z253" s="36" t="str">
        <f t="shared" si="11"/>
        <v/>
      </c>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row>
    <row r="254" spans="1:52" ht="63" customHeight="1">
      <c r="A254" s="20"/>
      <c r="B254" s="7"/>
      <c r="C254" s="7"/>
      <c r="D254" s="7"/>
      <c r="E254" s="7"/>
      <c r="F254" s="7"/>
      <c r="G254" s="25"/>
      <c r="H254" s="7"/>
      <c r="I254" s="7"/>
      <c r="J254" s="7"/>
      <c r="K254" s="7"/>
      <c r="L254" s="7"/>
      <c r="M254" s="7"/>
      <c r="N254" s="7"/>
      <c r="O254" s="16"/>
      <c r="P254" s="7"/>
      <c r="Q254" s="7"/>
      <c r="R254" s="7"/>
      <c r="S254" s="7"/>
      <c r="T254" s="7"/>
      <c r="U254" s="7"/>
      <c r="V254" s="7"/>
      <c r="W254" s="7"/>
      <c r="X254" s="7"/>
      <c r="Y254" s="7"/>
      <c r="Z254" s="36" t="str">
        <f t="shared" si="11"/>
        <v/>
      </c>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row>
    <row r="255" spans="1:52" ht="63" customHeight="1">
      <c r="A255" s="20"/>
      <c r="B255" s="7"/>
      <c r="C255" s="7"/>
      <c r="D255" s="7"/>
      <c r="E255" s="7"/>
      <c r="F255" s="7"/>
      <c r="G255" s="25"/>
      <c r="H255" s="7"/>
      <c r="I255" s="7"/>
      <c r="J255" s="7"/>
      <c r="K255" s="7"/>
      <c r="L255" s="7"/>
      <c r="M255" s="7"/>
      <c r="N255" s="7"/>
      <c r="O255" s="16"/>
      <c r="P255" s="7"/>
      <c r="Q255" s="7"/>
      <c r="R255" s="7"/>
      <c r="S255" s="7"/>
      <c r="T255" s="7"/>
      <c r="U255" s="7"/>
      <c r="V255" s="7"/>
      <c r="W255" s="7"/>
      <c r="X255" s="7"/>
      <c r="Y255" s="7"/>
      <c r="Z255" s="36" t="str">
        <f t="shared" si="11"/>
        <v/>
      </c>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row>
    <row r="256" spans="1:52" ht="63" customHeight="1">
      <c r="A256" s="20"/>
      <c r="B256" s="7"/>
      <c r="C256" s="7"/>
      <c r="D256" s="7"/>
      <c r="E256" s="7"/>
      <c r="F256" s="7"/>
      <c r="G256" s="25"/>
      <c r="H256" s="7"/>
      <c r="I256" s="7"/>
      <c r="J256" s="7"/>
      <c r="K256" s="7"/>
      <c r="L256" s="7"/>
      <c r="M256" s="7"/>
      <c r="N256" s="7"/>
      <c r="O256" s="16"/>
      <c r="P256" s="7"/>
      <c r="Q256" s="7"/>
      <c r="R256" s="7"/>
      <c r="S256" s="7"/>
      <c r="T256" s="7"/>
      <c r="U256" s="7"/>
      <c r="V256" s="7"/>
      <c r="W256" s="7"/>
      <c r="X256" s="7"/>
      <c r="Y256" s="7"/>
      <c r="Z256" s="36" t="str">
        <f t="shared" si="11"/>
        <v/>
      </c>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row>
    <row r="257" spans="1:52" ht="63" customHeight="1">
      <c r="A257" s="20"/>
      <c r="B257" s="7"/>
      <c r="C257" s="7"/>
      <c r="D257" s="7"/>
      <c r="E257" s="7"/>
      <c r="F257" s="7"/>
      <c r="G257" s="25"/>
      <c r="H257" s="7"/>
      <c r="I257" s="7"/>
      <c r="J257" s="7"/>
      <c r="K257" s="7"/>
      <c r="L257" s="7"/>
      <c r="M257" s="7"/>
      <c r="N257" s="7"/>
      <c r="O257" s="16"/>
      <c r="P257" s="7"/>
      <c r="Q257" s="7"/>
      <c r="R257" s="7"/>
      <c r="S257" s="7"/>
      <c r="T257" s="7"/>
      <c r="U257" s="7"/>
      <c r="V257" s="7"/>
      <c r="W257" s="7"/>
      <c r="X257" s="7"/>
      <c r="Y257" s="7"/>
      <c r="Z257" s="36" t="str">
        <f t="shared" si="11"/>
        <v/>
      </c>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row>
    <row r="258" spans="1:52" ht="63" customHeight="1">
      <c r="A258" s="20"/>
      <c r="B258" s="7"/>
      <c r="C258" s="7"/>
      <c r="D258" s="7"/>
      <c r="E258" s="7"/>
      <c r="F258" s="7"/>
      <c r="G258" s="25"/>
      <c r="H258" s="7"/>
      <c r="I258" s="7"/>
      <c r="J258" s="7"/>
      <c r="K258" s="7"/>
      <c r="L258" s="7"/>
      <c r="M258" s="7"/>
      <c r="N258" s="7"/>
      <c r="O258" s="16"/>
      <c r="P258" s="7"/>
      <c r="Q258" s="7"/>
      <c r="R258" s="7"/>
      <c r="S258" s="7"/>
      <c r="T258" s="7"/>
      <c r="U258" s="7"/>
      <c r="V258" s="7"/>
      <c r="W258" s="7"/>
      <c r="X258" s="7"/>
      <c r="Y258" s="7"/>
      <c r="Z258" s="36" t="str">
        <f t="shared" si="11"/>
        <v/>
      </c>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row>
    <row r="259" spans="1:52" ht="63" customHeight="1">
      <c r="A259" s="20"/>
      <c r="B259" s="7"/>
      <c r="C259" s="7"/>
      <c r="D259" s="7"/>
      <c r="E259" s="7"/>
      <c r="F259" s="7"/>
      <c r="G259" s="25"/>
      <c r="H259" s="7"/>
      <c r="I259" s="7"/>
      <c r="J259" s="7"/>
      <c r="K259" s="7"/>
      <c r="L259" s="7"/>
      <c r="M259" s="7"/>
      <c r="N259" s="7"/>
      <c r="O259" s="16"/>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row>
    <row r="260" spans="1:52" ht="63" customHeight="1">
      <c r="A260" s="20"/>
      <c r="B260" s="7"/>
      <c r="C260" s="7"/>
      <c r="D260" s="7"/>
      <c r="E260" s="7"/>
      <c r="F260" s="7"/>
      <c r="G260" s="25"/>
      <c r="H260" s="7"/>
      <c r="I260" s="7"/>
      <c r="J260" s="7"/>
      <c r="K260" s="7"/>
      <c r="L260" s="7"/>
      <c r="M260" s="7"/>
      <c r="N260" s="7"/>
      <c r="O260" s="16"/>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row>
    <row r="261" spans="1:52" ht="63" customHeight="1">
      <c r="A261" s="20"/>
      <c r="B261" s="7"/>
      <c r="C261" s="7"/>
      <c r="D261" s="7"/>
      <c r="E261" s="7"/>
      <c r="F261" s="7"/>
      <c r="G261" s="25"/>
      <c r="H261" s="7"/>
      <c r="I261" s="7"/>
      <c r="J261" s="7"/>
      <c r="K261" s="7"/>
      <c r="L261" s="7"/>
      <c r="M261" s="7"/>
      <c r="N261" s="7"/>
      <c r="O261" s="16"/>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row>
    <row r="262" spans="1:52" ht="63" customHeight="1">
      <c r="A262" s="20"/>
      <c r="B262" s="7"/>
      <c r="C262" s="7"/>
      <c r="D262" s="7"/>
      <c r="E262" s="7"/>
      <c r="F262" s="7"/>
      <c r="G262" s="25"/>
      <c r="H262" s="7"/>
      <c r="I262" s="7"/>
      <c r="J262" s="7"/>
      <c r="K262" s="7"/>
      <c r="L262" s="7"/>
      <c r="M262" s="7"/>
      <c r="N262" s="7"/>
      <c r="O262" s="16"/>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row>
    <row r="263" spans="1:52" ht="63" customHeight="1">
      <c r="A263" s="20"/>
      <c r="B263" s="7"/>
      <c r="C263" s="7"/>
      <c r="D263" s="7"/>
      <c r="E263" s="7"/>
      <c r="F263" s="7"/>
      <c r="G263" s="25"/>
      <c r="H263" s="7"/>
      <c r="I263" s="7"/>
      <c r="J263" s="7"/>
      <c r="K263" s="7"/>
      <c r="L263" s="7"/>
      <c r="M263" s="7"/>
      <c r="N263" s="7"/>
      <c r="O263" s="16"/>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row>
    <row r="264" spans="1:52" ht="63" customHeight="1">
      <c r="A264" s="20"/>
      <c r="B264" s="7"/>
      <c r="C264" s="7"/>
      <c r="D264" s="7"/>
      <c r="E264" s="7"/>
      <c r="F264" s="7"/>
      <c r="G264" s="25"/>
      <c r="H264" s="7"/>
      <c r="I264" s="7"/>
      <c r="J264" s="7"/>
      <c r="K264" s="7"/>
      <c r="L264" s="7"/>
      <c r="M264" s="7"/>
      <c r="N264" s="7"/>
      <c r="O264" s="16"/>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row>
    <row r="265" spans="1:52" ht="63" customHeight="1">
      <c r="A265" s="20"/>
      <c r="B265" s="7"/>
      <c r="C265" s="7"/>
      <c r="D265" s="7"/>
      <c r="E265" s="7"/>
      <c r="F265" s="7"/>
      <c r="G265" s="25"/>
      <c r="H265" s="7"/>
      <c r="I265" s="7"/>
      <c r="J265" s="7"/>
      <c r="K265" s="7"/>
      <c r="L265" s="7"/>
      <c r="M265" s="7"/>
      <c r="N265" s="7"/>
      <c r="O265" s="16"/>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row>
    <row r="266" spans="1:52" ht="63" customHeight="1">
      <c r="A266" s="20"/>
      <c r="B266" s="7"/>
      <c r="C266" s="7"/>
      <c r="D266" s="7"/>
      <c r="E266" s="7"/>
      <c r="F266" s="7"/>
      <c r="G266" s="25"/>
      <c r="H266" s="7"/>
      <c r="I266" s="7"/>
      <c r="J266" s="7"/>
      <c r="K266" s="7"/>
      <c r="L266" s="7"/>
      <c r="M266" s="7"/>
      <c r="N266" s="7"/>
      <c r="O266" s="16"/>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row>
    <row r="267" spans="1:52" ht="63" customHeight="1">
      <c r="A267" s="20"/>
      <c r="B267" s="7"/>
      <c r="C267" s="7"/>
      <c r="D267" s="7"/>
      <c r="E267" s="7"/>
      <c r="F267" s="7"/>
      <c r="G267" s="25"/>
      <c r="H267" s="7"/>
      <c r="I267" s="7"/>
      <c r="J267" s="7"/>
      <c r="K267" s="7"/>
      <c r="L267" s="7"/>
      <c r="M267" s="7"/>
      <c r="N267" s="7"/>
      <c r="O267" s="16"/>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row>
    <row r="268" spans="1:52" ht="63" customHeight="1">
      <c r="A268" s="20"/>
      <c r="B268" s="7"/>
      <c r="C268" s="7"/>
      <c r="D268" s="7"/>
      <c r="E268" s="7"/>
      <c r="F268" s="7"/>
      <c r="G268" s="25"/>
      <c r="H268" s="7"/>
      <c r="I268" s="7"/>
      <c r="J268" s="7"/>
      <c r="K268" s="7"/>
      <c r="L268" s="7"/>
      <c r="M268" s="7"/>
      <c r="N268" s="7"/>
      <c r="O268" s="16"/>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row>
    <row r="269" spans="1:52" ht="63" customHeight="1">
      <c r="A269" s="20"/>
      <c r="B269" s="7"/>
      <c r="C269" s="7"/>
      <c r="D269" s="7"/>
      <c r="E269" s="7"/>
      <c r="F269" s="7"/>
      <c r="G269" s="25"/>
      <c r="H269" s="7"/>
      <c r="I269" s="7"/>
      <c r="J269" s="7"/>
      <c r="K269" s="7"/>
      <c r="L269" s="7"/>
      <c r="M269" s="7"/>
      <c r="N269" s="7"/>
      <c r="O269" s="16"/>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row>
    <row r="270" spans="1:52" ht="63" customHeight="1">
      <c r="A270" s="20"/>
      <c r="B270" s="7"/>
      <c r="C270" s="7"/>
      <c r="D270" s="7"/>
      <c r="E270" s="7"/>
      <c r="F270" s="7"/>
      <c r="G270" s="25"/>
      <c r="H270" s="7"/>
      <c r="I270" s="7"/>
      <c r="J270" s="7"/>
      <c r="K270" s="7"/>
      <c r="L270" s="7"/>
      <c r="M270" s="7"/>
      <c r="N270" s="7"/>
      <c r="O270" s="16"/>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row>
    <row r="271" spans="1:52" ht="63" customHeight="1">
      <c r="A271" s="20"/>
      <c r="B271" s="7"/>
      <c r="C271" s="7"/>
      <c r="D271" s="7"/>
      <c r="E271" s="7"/>
      <c r="F271" s="7"/>
      <c r="G271" s="25"/>
      <c r="H271" s="7"/>
      <c r="I271" s="7"/>
      <c r="J271" s="7"/>
      <c r="K271" s="7"/>
      <c r="L271" s="7"/>
      <c r="M271" s="7"/>
      <c r="N271" s="7"/>
      <c r="O271" s="16"/>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row>
    <row r="272" spans="1:52" ht="63" customHeight="1">
      <c r="A272" s="20"/>
      <c r="B272" s="7"/>
      <c r="C272" s="7"/>
      <c r="D272" s="7"/>
      <c r="E272" s="7"/>
      <c r="F272" s="7"/>
      <c r="G272" s="25"/>
      <c r="H272" s="7"/>
      <c r="I272" s="7"/>
      <c r="J272" s="7"/>
      <c r="K272" s="7"/>
      <c r="L272" s="7"/>
      <c r="M272" s="7"/>
      <c r="N272" s="7"/>
      <c r="O272" s="16"/>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row>
    <row r="273" spans="1:52" ht="63" customHeight="1">
      <c r="A273" s="20"/>
      <c r="B273" s="7"/>
      <c r="C273" s="7"/>
      <c r="D273" s="7"/>
      <c r="E273" s="7"/>
      <c r="F273" s="7"/>
      <c r="G273" s="25"/>
      <c r="H273" s="7"/>
      <c r="I273" s="7"/>
      <c r="J273" s="7"/>
      <c r="K273" s="7"/>
      <c r="L273" s="7"/>
      <c r="M273" s="7"/>
      <c r="N273" s="7"/>
      <c r="O273" s="16"/>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row>
    <row r="274" spans="1:52" ht="63" customHeight="1">
      <c r="A274" s="20"/>
      <c r="B274" s="7"/>
      <c r="C274" s="7"/>
      <c r="D274" s="7"/>
      <c r="E274" s="7"/>
      <c r="F274" s="7"/>
      <c r="G274" s="25"/>
      <c r="H274" s="7"/>
      <c r="I274" s="7"/>
      <c r="J274" s="7"/>
      <c r="K274" s="7"/>
      <c r="L274" s="7"/>
      <c r="M274" s="7"/>
      <c r="N274" s="7"/>
      <c r="O274" s="16"/>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row>
    <row r="275" spans="1:52" ht="63" customHeight="1">
      <c r="A275" s="20"/>
      <c r="B275" s="7"/>
      <c r="C275" s="7"/>
      <c r="D275" s="7"/>
      <c r="E275" s="7"/>
      <c r="F275" s="7"/>
      <c r="G275" s="25"/>
      <c r="H275" s="7"/>
      <c r="I275" s="7"/>
      <c r="J275" s="7"/>
      <c r="K275" s="7"/>
      <c r="L275" s="7"/>
      <c r="M275" s="7"/>
      <c r="N275" s="7"/>
      <c r="O275" s="16"/>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row>
    <row r="276" spans="1:52" ht="63" customHeight="1">
      <c r="A276" s="20"/>
      <c r="B276" s="7"/>
      <c r="C276" s="7"/>
      <c r="D276" s="7"/>
      <c r="E276" s="7"/>
      <c r="F276" s="7"/>
      <c r="G276" s="25"/>
      <c r="H276" s="7"/>
      <c r="I276" s="7"/>
      <c r="J276" s="7"/>
      <c r="K276" s="7"/>
      <c r="L276" s="7"/>
      <c r="M276" s="7"/>
      <c r="N276" s="7"/>
      <c r="O276" s="16"/>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row>
    <row r="277" spans="1:52" ht="63" customHeight="1">
      <c r="A277" s="20"/>
      <c r="B277" s="7"/>
      <c r="C277" s="7"/>
      <c r="D277" s="7"/>
      <c r="E277" s="7"/>
      <c r="F277" s="7"/>
      <c r="G277" s="25"/>
      <c r="H277" s="7"/>
      <c r="I277" s="7"/>
      <c r="J277" s="7"/>
      <c r="K277" s="7"/>
      <c r="L277" s="7"/>
      <c r="M277" s="7"/>
      <c r="N277" s="7"/>
      <c r="O277" s="16"/>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row>
    <row r="278" spans="1:52" ht="63" customHeight="1">
      <c r="A278" s="20"/>
      <c r="B278" s="7"/>
      <c r="C278" s="7"/>
      <c r="D278" s="7"/>
      <c r="E278" s="7"/>
      <c r="F278" s="7"/>
      <c r="G278" s="25"/>
      <c r="H278" s="7"/>
      <c r="I278" s="7"/>
      <c r="J278" s="7"/>
      <c r="K278" s="7"/>
      <c r="L278" s="7"/>
      <c r="M278" s="7"/>
      <c r="N278" s="7"/>
      <c r="O278" s="16"/>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row>
    <row r="279" spans="1:52" ht="63" customHeight="1">
      <c r="A279" s="20"/>
      <c r="B279" s="7"/>
      <c r="C279" s="7"/>
      <c r="D279" s="7"/>
      <c r="E279" s="7"/>
      <c r="F279" s="7"/>
      <c r="G279" s="25"/>
      <c r="H279" s="7"/>
      <c r="I279" s="7"/>
      <c r="J279" s="7"/>
      <c r="K279" s="7"/>
      <c r="L279" s="7"/>
      <c r="M279" s="7"/>
      <c r="N279" s="7"/>
      <c r="O279" s="16"/>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row>
    <row r="280" spans="1:52" ht="63" customHeight="1">
      <c r="A280" s="20"/>
      <c r="B280" s="7"/>
      <c r="C280" s="7"/>
      <c r="D280" s="7"/>
      <c r="E280" s="7"/>
      <c r="F280" s="7"/>
      <c r="G280" s="25"/>
      <c r="H280" s="7"/>
      <c r="I280" s="7"/>
      <c r="J280" s="7"/>
      <c r="K280" s="7"/>
      <c r="L280" s="7"/>
      <c r="M280" s="7"/>
      <c r="N280" s="7"/>
      <c r="O280" s="16"/>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row>
    <row r="281" spans="1:52" ht="63" customHeight="1">
      <c r="A281" s="20"/>
      <c r="B281" s="7"/>
      <c r="C281" s="7"/>
      <c r="D281" s="7"/>
      <c r="E281" s="7"/>
      <c r="F281" s="7"/>
      <c r="G281" s="25"/>
      <c r="H281" s="7"/>
      <c r="I281" s="7"/>
      <c r="J281" s="7"/>
      <c r="K281" s="7"/>
      <c r="L281" s="7"/>
      <c r="M281" s="7"/>
      <c r="N281" s="7"/>
      <c r="O281" s="16"/>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row>
    <row r="282" spans="1:52" ht="63" customHeight="1">
      <c r="A282" s="20"/>
      <c r="B282" s="7"/>
      <c r="C282" s="7"/>
      <c r="D282" s="7"/>
      <c r="E282" s="7"/>
      <c r="F282" s="7"/>
      <c r="G282" s="25"/>
      <c r="H282" s="7"/>
      <c r="I282" s="7"/>
      <c r="J282" s="7"/>
      <c r="K282" s="7"/>
      <c r="L282" s="7"/>
      <c r="M282" s="7"/>
      <c r="N282" s="7"/>
      <c r="O282" s="16"/>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row>
    <row r="283" spans="1:52" ht="63" customHeight="1">
      <c r="A283" s="20"/>
      <c r="B283" s="7"/>
      <c r="C283" s="7"/>
      <c r="D283" s="7"/>
      <c r="E283" s="7"/>
      <c r="F283" s="7"/>
      <c r="G283" s="25"/>
      <c r="H283" s="7"/>
      <c r="I283" s="7"/>
      <c r="J283" s="7"/>
      <c r="K283" s="7"/>
      <c r="L283" s="7"/>
      <c r="M283" s="7"/>
      <c r="N283" s="7"/>
      <c r="O283" s="16"/>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row>
    <row r="284" spans="1:52" ht="63" customHeight="1">
      <c r="A284" s="20"/>
      <c r="B284" s="7"/>
      <c r="C284" s="7"/>
      <c r="D284" s="7"/>
      <c r="E284" s="7"/>
      <c r="F284" s="7"/>
      <c r="G284" s="25"/>
      <c r="H284" s="7"/>
      <c r="I284" s="7"/>
      <c r="J284" s="7"/>
      <c r="K284" s="7"/>
      <c r="L284" s="7"/>
      <c r="M284" s="7"/>
      <c r="N284" s="7"/>
      <c r="O284" s="16"/>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row>
    <row r="285" spans="1:52" ht="63" customHeight="1">
      <c r="A285" s="20"/>
      <c r="B285" s="7"/>
      <c r="C285" s="7"/>
      <c r="D285" s="7"/>
      <c r="E285" s="7"/>
      <c r="F285" s="7"/>
      <c r="G285" s="25"/>
      <c r="H285" s="7"/>
      <c r="I285" s="7"/>
      <c r="J285" s="7"/>
      <c r="K285" s="7"/>
      <c r="L285" s="7"/>
      <c r="M285" s="7"/>
      <c r="N285" s="7"/>
      <c r="O285" s="16"/>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row>
    <row r="286" spans="1:52" ht="63" customHeight="1">
      <c r="A286" s="20"/>
      <c r="B286" s="7"/>
      <c r="C286" s="7"/>
      <c r="D286" s="7"/>
      <c r="E286" s="7"/>
      <c r="F286" s="7"/>
      <c r="G286" s="25"/>
      <c r="H286" s="7"/>
      <c r="I286" s="7"/>
      <c r="J286" s="7"/>
      <c r="K286" s="7"/>
      <c r="L286" s="7"/>
      <c r="M286" s="7"/>
      <c r="N286" s="7"/>
      <c r="O286" s="16"/>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row>
    <row r="287" spans="1:52" ht="63" customHeight="1">
      <c r="A287" s="20"/>
      <c r="B287" s="7"/>
      <c r="C287" s="7"/>
      <c r="D287" s="7"/>
      <c r="E287" s="7"/>
      <c r="F287" s="7"/>
      <c r="G287" s="25"/>
      <c r="H287" s="7"/>
      <c r="I287" s="7"/>
      <c r="J287" s="7"/>
      <c r="K287" s="7"/>
      <c r="L287" s="7"/>
      <c r="M287" s="7"/>
      <c r="N287" s="7"/>
      <c r="O287" s="16"/>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row>
    <row r="288" spans="1:52" ht="63" customHeight="1">
      <c r="A288" s="20"/>
      <c r="B288" s="7"/>
      <c r="C288" s="7"/>
      <c r="D288" s="7"/>
      <c r="E288" s="7"/>
      <c r="F288" s="7"/>
      <c r="G288" s="25"/>
      <c r="H288" s="7"/>
      <c r="I288" s="7"/>
      <c r="J288" s="7"/>
      <c r="K288" s="7"/>
      <c r="L288" s="7"/>
      <c r="M288" s="7"/>
      <c r="N288" s="7"/>
      <c r="O288" s="16"/>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row>
    <row r="289" spans="1:52" ht="63" customHeight="1">
      <c r="A289" s="20"/>
      <c r="B289" s="7"/>
      <c r="C289" s="7"/>
      <c r="D289" s="7"/>
      <c r="E289" s="7"/>
      <c r="F289" s="7"/>
      <c r="G289" s="25"/>
      <c r="H289" s="7"/>
      <c r="I289" s="7"/>
      <c r="J289" s="7"/>
      <c r="K289" s="7"/>
      <c r="L289" s="7"/>
      <c r="M289" s="7"/>
      <c r="N289" s="7"/>
      <c r="O289" s="16"/>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row>
    <row r="290" spans="1:52" ht="63" customHeight="1">
      <c r="A290" s="20"/>
      <c r="B290" s="7"/>
      <c r="C290" s="7"/>
      <c r="D290" s="7"/>
      <c r="E290" s="7"/>
      <c r="F290" s="7"/>
      <c r="G290" s="25"/>
      <c r="H290" s="7"/>
      <c r="I290" s="7"/>
      <c r="J290" s="7"/>
      <c r="K290" s="7"/>
      <c r="L290" s="7"/>
      <c r="M290" s="7"/>
      <c r="N290" s="7"/>
      <c r="O290" s="16"/>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row>
    <row r="291" spans="1:52" ht="63" customHeight="1">
      <c r="A291" s="20"/>
      <c r="B291" s="7"/>
      <c r="C291" s="7"/>
      <c r="D291" s="7"/>
      <c r="E291" s="7"/>
      <c r="F291" s="7"/>
      <c r="G291" s="25"/>
      <c r="H291" s="7"/>
      <c r="I291" s="7"/>
      <c r="J291" s="7"/>
      <c r="K291" s="7"/>
      <c r="L291" s="7"/>
      <c r="M291" s="7"/>
      <c r="N291" s="7"/>
      <c r="O291" s="16"/>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row>
    <row r="292" spans="1:52" ht="63" customHeight="1">
      <c r="A292" s="20"/>
      <c r="B292" s="7"/>
      <c r="C292" s="7"/>
      <c r="D292" s="7"/>
      <c r="E292" s="7"/>
      <c r="F292" s="7"/>
      <c r="G292" s="25"/>
      <c r="H292" s="7"/>
      <c r="I292" s="7"/>
      <c r="J292" s="7"/>
      <c r="K292" s="7"/>
      <c r="L292" s="7"/>
      <c r="M292" s="7"/>
      <c r="N292" s="7"/>
      <c r="O292" s="16"/>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row>
    <row r="293" spans="1:52" ht="63" customHeight="1">
      <c r="A293" s="20"/>
      <c r="B293" s="7"/>
      <c r="C293" s="7"/>
      <c r="D293" s="7"/>
      <c r="E293" s="7"/>
      <c r="F293" s="7"/>
      <c r="G293" s="25"/>
      <c r="H293" s="7"/>
      <c r="I293" s="7"/>
      <c r="J293" s="7"/>
      <c r="K293" s="7"/>
      <c r="L293" s="7"/>
      <c r="M293" s="7"/>
      <c r="N293" s="7"/>
      <c r="O293" s="16"/>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row>
    <row r="294" spans="1:52" ht="63" customHeight="1">
      <c r="A294" s="20"/>
      <c r="B294" s="7"/>
      <c r="C294" s="7"/>
      <c r="D294" s="7"/>
      <c r="E294" s="7"/>
      <c r="F294" s="7"/>
      <c r="G294" s="25"/>
      <c r="H294" s="7"/>
      <c r="I294" s="7"/>
      <c r="J294" s="7"/>
      <c r="K294" s="7"/>
      <c r="L294" s="7"/>
      <c r="M294" s="7"/>
      <c r="N294" s="7"/>
      <c r="O294" s="16"/>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row>
    <row r="295" spans="1:52" ht="63" customHeight="1">
      <c r="A295" s="20"/>
      <c r="B295" s="7"/>
      <c r="C295" s="7"/>
      <c r="D295" s="7"/>
      <c r="E295" s="7"/>
      <c r="F295" s="7"/>
      <c r="G295" s="25"/>
      <c r="H295" s="7"/>
      <c r="I295" s="7"/>
      <c r="J295" s="7"/>
      <c r="K295" s="7"/>
      <c r="L295" s="7"/>
      <c r="M295" s="7"/>
      <c r="N295" s="7"/>
      <c r="O295" s="16"/>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row>
    <row r="296" spans="1:52" ht="63" customHeight="1">
      <c r="A296" s="20"/>
      <c r="B296" s="7"/>
      <c r="C296" s="7"/>
      <c r="D296" s="7"/>
      <c r="E296" s="7"/>
      <c r="F296" s="7"/>
      <c r="G296" s="25"/>
      <c r="H296" s="7"/>
      <c r="I296" s="7"/>
      <c r="J296" s="7"/>
      <c r="K296" s="7"/>
      <c r="L296" s="7"/>
      <c r="M296" s="7"/>
      <c r="N296" s="7"/>
      <c r="O296" s="16"/>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row>
    <row r="297" spans="1:52" ht="63" customHeight="1">
      <c r="A297" s="20"/>
      <c r="B297" s="7"/>
      <c r="C297" s="7"/>
      <c r="D297" s="7"/>
      <c r="E297" s="7"/>
      <c r="F297" s="7"/>
      <c r="G297" s="25"/>
      <c r="H297" s="7"/>
      <c r="I297" s="7"/>
      <c r="J297" s="7"/>
      <c r="K297" s="7"/>
      <c r="L297" s="7"/>
      <c r="M297" s="7"/>
      <c r="N297" s="7"/>
      <c r="O297" s="16"/>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row>
    <row r="298" spans="1:52" ht="63" customHeight="1">
      <c r="A298" s="20"/>
      <c r="B298" s="7"/>
      <c r="C298" s="7"/>
      <c r="D298" s="7"/>
      <c r="E298" s="7"/>
      <c r="F298" s="7"/>
      <c r="G298" s="25"/>
      <c r="H298" s="7"/>
      <c r="I298" s="7"/>
      <c r="J298" s="7"/>
      <c r="K298" s="7"/>
      <c r="L298" s="7"/>
      <c r="M298" s="7"/>
      <c r="N298" s="7"/>
      <c r="O298" s="16"/>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row>
    <row r="299" spans="1:52" ht="63" customHeight="1">
      <c r="A299" s="20"/>
      <c r="B299" s="7"/>
      <c r="C299" s="7"/>
      <c r="D299" s="7"/>
      <c r="E299" s="7"/>
      <c r="F299" s="7"/>
      <c r="G299" s="25"/>
      <c r="H299" s="7"/>
      <c r="I299" s="7"/>
      <c r="J299" s="7"/>
      <c r="K299" s="7"/>
      <c r="L299" s="7"/>
      <c r="M299" s="7"/>
      <c r="N299" s="7"/>
      <c r="O299" s="16"/>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row>
    <row r="300" spans="1:52" ht="63" customHeight="1">
      <c r="A300" s="20"/>
      <c r="B300" s="7"/>
      <c r="C300" s="7"/>
      <c r="D300" s="7"/>
      <c r="E300" s="7"/>
      <c r="F300" s="7"/>
      <c r="G300" s="25"/>
      <c r="H300" s="7"/>
      <c r="I300" s="7"/>
      <c r="J300" s="7"/>
      <c r="K300" s="7"/>
      <c r="L300" s="7"/>
      <c r="M300" s="7"/>
      <c r="N300" s="7"/>
      <c r="O300" s="16"/>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row>
    <row r="301" spans="1:52" ht="63" customHeight="1">
      <c r="A301" s="20"/>
      <c r="B301" s="7"/>
      <c r="C301" s="7"/>
      <c r="D301" s="7"/>
      <c r="E301" s="7"/>
      <c r="F301" s="7"/>
      <c r="G301" s="25"/>
      <c r="H301" s="7"/>
      <c r="I301" s="7"/>
      <c r="J301" s="7"/>
      <c r="K301" s="7"/>
      <c r="L301" s="7"/>
      <c r="M301" s="7"/>
      <c r="N301" s="7"/>
      <c r="O301" s="16"/>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row>
    <row r="302" spans="1:52" ht="63" customHeight="1">
      <c r="A302" s="20"/>
      <c r="B302" s="7"/>
      <c r="C302" s="7"/>
      <c r="D302" s="7"/>
      <c r="E302" s="7"/>
      <c r="F302" s="7"/>
      <c r="G302" s="25"/>
      <c r="H302" s="7"/>
      <c r="I302" s="7"/>
      <c r="J302" s="7"/>
      <c r="K302" s="7"/>
      <c r="L302" s="7"/>
      <c r="M302" s="7"/>
      <c r="N302" s="7"/>
      <c r="O302" s="16"/>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row>
    <row r="303" spans="1:52" ht="63" customHeight="1">
      <c r="A303" s="20"/>
      <c r="B303" s="7"/>
      <c r="C303" s="7"/>
      <c r="D303" s="7"/>
      <c r="E303" s="7"/>
      <c r="F303" s="7"/>
      <c r="G303" s="25"/>
      <c r="H303" s="7"/>
      <c r="I303" s="7"/>
      <c r="J303" s="7"/>
      <c r="K303" s="7"/>
      <c r="L303" s="7"/>
      <c r="M303" s="7"/>
      <c r="N303" s="7"/>
      <c r="O303" s="16"/>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row>
    <row r="304" spans="1:52" ht="63" customHeight="1">
      <c r="A304" s="20"/>
      <c r="B304" s="7"/>
      <c r="C304" s="7"/>
      <c r="D304" s="7"/>
      <c r="E304" s="7"/>
      <c r="F304" s="7"/>
      <c r="G304" s="25"/>
      <c r="H304" s="7"/>
      <c r="I304" s="7"/>
      <c r="J304" s="7"/>
      <c r="K304" s="7"/>
      <c r="L304" s="7"/>
      <c r="M304" s="7"/>
      <c r="N304" s="7"/>
      <c r="O304" s="16"/>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row>
    <row r="305" spans="1:52" ht="63" customHeight="1">
      <c r="A305" s="20"/>
      <c r="B305" s="7"/>
      <c r="C305" s="7"/>
      <c r="D305" s="7"/>
      <c r="E305" s="7"/>
      <c r="F305" s="7"/>
      <c r="G305" s="25"/>
      <c r="H305" s="7"/>
      <c r="I305" s="7"/>
      <c r="J305" s="7"/>
      <c r="K305" s="7"/>
      <c r="L305" s="7"/>
      <c r="M305" s="7"/>
      <c r="N305" s="7"/>
      <c r="O305" s="16"/>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row>
    <row r="306" spans="1:52" ht="63" customHeight="1">
      <c r="A306" s="20"/>
      <c r="B306" s="7"/>
      <c r="C306" s="7"/>
      <c r="D306" s="7"/>
      <c r="E306" s="7"/>
      <c r="F306" s="7"/>
      <c r="G306" s="25"/>
      <c r="H306" s="7"/>
      <c r="I306" s="7"/>
      <c r="J306" s="7"/>
      <c r="K306" s="7"/>
      <c r="L306" s="7"/>
      <c r="M306" s="7"/>
      <c r="N306" s="7"/>
      <c r="O306" s="16"/>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row>
    <row r="307" spans="1:52" ht="63" customHeight="1">
      <c r="A307" s="20"/>
      <c r="B307" s="7"/>
      <c r="C307" s="7"/>
      <c r="D307" s="7"/>
      <c r="E307" s="7"/>
      <c r="F307" s="7"/>
      <c r="G307" s="25"/>
      <c r="H307" s="7"/>
      <c r="I307" s="7"/>
      <c r="J307" s="7"/>
      <c r="K307" s="7"/>
      <c r="L307" s="7"/>
      <c r="M307" s="7"/>
      <c r="N307" s="7"/>
      <c r="O307" s="16"/>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row>
    <row r="308" spans="1:52" ht="63" customHeight="1">
      <c r="A308" s="20"/>
      <c r="B308" s="7"/>
      <c r="C308" s="7"/>
      <c r="D308" s="7"/>
      <c r="E308" s="7"/>
      <c r="F308" s="7"/>
      <c r="G308" s="25"/>
      <c r="H308" s="7"/>
      <c r="I308" s="7"/>
      <c r="J308" s="7"/>
      <c r="K308" s="7"/>
      <c r="L308" s="7"/>
      <c r="M308" s="7"/>
      <c r="N308" s="7"/>
      <c r="O308" s="16"/>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row>
    <row r="309" spans="1:52" ht="63" customHeight="1">
      <c r="A309" s="20"/>
      <c r="B309" s="7"/>
      <c r="C309" s="7"/>
      <c r="D309" s="7"/>
      <c r="E309" s="7"/>
      <c r="F309" s="7"/>
      <c r="G309" s="25"/>
      <c r="H309" s="7"/>
      <c r="I309" s="7"/>
      <c r="J309" s="7"/>
      <c r="K309" s="7"/>
      <c r="L309" s="7"/>
      <c r="M309" s="7"/>
      <c r="N309" s="7"/>
      <c r="O309" s="16"/>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row>
    <row r="310" spans="1:52" ht="63" customHeight="1">
      <c r="A310" s="20"/>
      <c r="B310" s="7"/>
      <c r="C310" s="7"/>
      <c r="D310" s="7"/>
      <c r="E310" s="7"/>
      <c r="F310" s="7"/>
      <c r="G310" s="25"/>
      <c r="H310" s="7"/>
      <c r="I310" s="7"/>
      <c r="J310" s="7"/>
      <c r="K310" s="7"/>
      <c r="L310" s="7"/>
      <c r="M310" s="7"/>
      <c r="N310" s="7"/>
      <c r="O310" s="16"/>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row>
    <row r="311" spans="1:52" ht="63" customHeight="1">
      <c r="A311" s="20"/>
      <c r="B311" s="7"/>
      <c r="C311" s="7"/>
      <c r="D311" s="7"/>
      <c r="E311" s="7"/>
      <c r="F311" s="7"/>
      <c r="G311" s="25"/>
      <c r="H311" s="7"/>
      <c r="I311" s="7"/>
      <c r="J311" s="7"/>
      <c r="K311" s="7"/>
      <c r="L311" s="7"/>
      <c r="M311" s="7"/>
      <c r="N311" s="7"/>
      <c r="O311" s="16"/>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row>
    <row r="312" spans="1:52" ht="63" customHeight="1">
      <c r="A312" s="20"/>
      <c r="B312" s="7"/>
      <c r="C312" s="7"/>
      <c r="D312" s="7"/>
      <c r="E312" s="7"/>
      <c r="F312" s="7"/>
      <c r="G312" s="25"/>
      <c r="H312" s="7"/>
      <c r="I312" s="7"/>
      <c r="J312" s="7"/>
      <c r="K312" s="7"/>
      <c r="L312" s="7"/>
      <c r="M312" s="7"/>
      <c r="N312" s="7"/>
      <c r="O312" s="16"/>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row>
    <row r="313" spans="1:52" ht="63" customHeight="1">
      <c r="A313" s="20"/>
      <c r="B313" s="7"/>
      <c r="C313" s="7"/>
      <c r="D313" s="7"/>
      <c r="E313" s="7"/>
      <c r="F313" s="7"/>
      <c r="G313" s="25"/>
      <c r="H313" s="7"/>
      <c r="I313" s="7"/>
      <c r="J313" s="7"/>
      <c r="K313" s="7"/>
      <c r="L313" s="7"/>
      <c r="M313" s="7"/>
      <c r="N313" s="7"/>
      <c r="O313" s="16"/>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row>
    <row r="314" spans="1:52" ht="63" customHeight="1">
      <c r="A314" s="20"/>
      <c r="B314" s="7"/>
      <c r="C314" s="7"/>
      <c r="D314" s="7"/>
      <c r="E314" s="7"/>
      <c r="F314" s="7"/>
      <c r="G314" s="25"/>
      <c r="H314" s="7"/>
      <c r="I314" s="7"/>
      <c r="J314" s="7"/>
      <c r="K314" s="7"/>
      <c r="L314" s="7"/>
      <c r="M314" s="7"/>
      <c r="N314" s="7"/>
      <c r="O314" s="16"/>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row>
    <row r="315" spans="1:52" ht="63" customHeight="1">
      <c r="A315" s="20"/>
      <c r="B315" s="7"/>
      <c r="C315" s="7"/>
      <c r="D315" s="7"/>
      <c r="E315" s="7"/>
      <c r="F315" s="7"/>
      <c r="G315" s="25"/>
      <c r="H315" s="7"/>
      <c r="I315" s="7"/>
      <c r="J315" s="7"/>
      <c r="K315" s="7"/>
      <c r="L315" s="7"/>
      <c r="M315" s="7"/>
      <c r="N315" s="7"/>
      <c r="O315" s="16"/>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row>
    <row r="316" spans="1:52" ht="63" customHeight="1">
      <c r="A316" s="20"/>
      <c r="B316" s="7"/>
      <c r="C316" s="7"/>
      <c r="D316" s="7"/>
      <c r="E316" s="7"/>
      <c r="F316" s="7"/>
      <c r="G316" s="25"/>
      <c r="H316" s="7"/>
      <c r="I316" s="7"/>
      <c r="J316" s="7"/>
      <c r="K316" s="7"/>
      <c r="L316" s="7"/>
      <c r="M316" s="7"/>
      <c r="N316" s="7"/>
      <c r="O316" s="16"/>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row>
    <row r="317" spans="1:52" ht="63" customHeight="1">
      <c r="A317" s="20"/>
      <c r="B317" s="7"/>
      <c r="C317" s="7"/>
      <c r="D317" s="7"/>
      <c r="E317" s="7"/>
      <c r="F317" s="7"/>
      <c r="G317" s="25"/>
      <c r="H317" s="7"/>
      <c r="I317" s="7"/>
      <c r="J317" s="7"/>
      <c r="K317" s="7"/>
      <c r="L317" s="7"/>
      <c r="M317" s="7"/>
      <c r="N317" s="7"/>
      <c r="O317" s="16"/>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row>
    <row r="318" spans="1:52" ht="63" customHeight="1">
      <c r="A318" s="20"/>
      <c r="B318" s="7"/>
      <c r="C318" s="7"/>
      <c r="D318" s="7"/>
      <c r="E318" s="7"/>
      <c r="F318" s="7"/>
      <c r="G318" s="25"/>
      <c r="H318" s="7"/>
      <c r="I318" s="7"/>
      <c r="J318" s="7"/>
      <c r="K318" s="7"/>
      <c r="L318" s="7"/>
      <c r="M318" s="7"/>
      <c r="N318" s="7"/>
      <c r="O318" s="16"/>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row>
    <row r="319" spans="1:52" ht="63" customHeight="1">
      <c r="A319" s="20"/>
      <c r="B319" s="7"/>
      <c r="C319" s="7"/>
      <c r="D319" s="7"/>
      <c r="E319" s="7"/>
      <c r="F319" s="7"/>
      <c r="G319" s="25"/>
      <c r="H319" s="7"/>
      <c r="I319" s="7"/>
      <c r="J319" s="7"/>
      <c r="K319" s="7"/>
      <c r="L319" s="7"/>
      <c r="M319" s="7"/>
      <c r="N319" s="7"/>
      <c r="O319" s="16"/>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row>
    <row r="320" spans="1:52" ht="63" customHeight="1">
      <c r="A320" s="20"/>
      <c r="B320" s="7"/>
      <c r="C320" s="7"/>
      <c r="D320" s="7"/>
      <c r="E320" s="7"/>
      <c r="F320" s="7"/>
      <c r="G320" s="25"/>
      <c r="H320" s="7"/>
      <c r="I320" s="7"/>
      <c r="J320" s="7"/>
      <c r="K320" s="7"/>
      <c r="L320" s="7"/>
      <c r="M320" s="7"/>
      <c r="N320" s="7"/>
      <c r="O320" s="16"/>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row>
    <row r="321" spans="1:52" ht="63" customHeight="1">
      <c r="A321" s="20"/>
      <c r="B321" s="7"/>
      <c r="C321" s="7"/>
      <c r="D321" s="7"/>
      <c r="E321" s="7"/>
      <c r="F321" s="7"/>
      <c r="G321" s="25"/>
      <c r="H321" s="7"/>
      <c r="I321" s="7"/>
      <c r="J321" s="7"/>
      <c r="K321" s="7"/>
      <c r="L321" s="7"/>
      <c r="M321" s="7"/>
      <c r="N321" s="7"/>
      <c r="O321" s="16"/>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row>
    <row r="322" spans="1:52" ht="63" customHeight="1">
      <c r="A322" s="20"/>
      <c r="B322" s="7"/>
      <c r="C322" s="7"/>
      <c r="D322" s="7"/>
      <c r="E322" s="7"/>
      <c r="F322" s="7"/>
      <c r="G322" s="25"/>
      <c r="H322" s="7"/>
      <c r="I322" s="7"/>
      <c r="J322" s="7"/>
      <c r="K322" s="7"/>
      <c r="L322" s="7"/>
      <c r="M322" s="7"/>
      <c r="N322" s="7"/>
      <c r="O322" s="16"/>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row>
    <row r="323" spans="1:52" ht="63" customHeight="1">
      <c r="A323" s="20"/>
      <c r="B323" s="7"/>
      <c r="C323" s="7"/>
      <c r="D323" s="7"/>
      <c r="E323" s="7"/>
      <c r="F323" s="7"/>
      <c r="G323" s="25"/>
      <c r="H323" s="7"/>
      <c r="I323" s="7"/>
      <c r="J323" s="7"/>
      <c r="K323" s="7"/>
      <c r="L323" s="7"/>
      <c r="M323" s="7"/>
      <c r="N323" s="7"/>
      <c r="O323" s="16"/>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row>
    <row r="324" spans="1:52" ht="63" customHeight="1">
      <c r="A324" s="20"/>
      <c r="B324" s="7"/>
      <c r="C324" s="7"/>
      <c r="D324" s="7"/>
      <c r="E324" s="7"/>
      <c r="F324" s="7"/>
      <c r="G324" s="25"/>
      <c r="H324" s="7"/>
      <c r="I324" s="7"/>
      <c r="J324" s="7"/>
      <c r="K324" s="7"/>
      <c r="L324" s="7"/>
      <c r="M324" s="7"/>
      <c r="N324" s="7"/>
      <c r="O324" s="16"/>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row>
    <row r="325" spans="1:52" ht="63" customHeight="1">
      <c r="A325" s="20"/>
      <c r="B325" s="7"/>
      <c r="C325" s="7"/>
      <c r="D325" s="7"/>
      <c r="E325" s="7"/>
      <c r="F325" s="7"/>
      <c r="G325" s="25"/>
      <c r="H325" s="7"/>
      <c r="I325" s="7"/>
      <c r="J325" s="7"/>
      <c r="K325" s="7"/>
      <c r="L325" s="7"/>
      <c r="M325" s="7"/>
      <c r="N325" s="7"/>
      <c r="O325" s="16"/>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row>
    <row r="326" spans="1:52" ht="63" customHeight="1">
      <c r="A326" s="20"/>
      <c r="B326" s="7"/>
      <c r="C326" s="7"/>
      <c r="D326" s="7"/>
      <c r="E326" s="7"/>
      <c r="F326" s="7"/>
      <c r="G326" s="25"/>
      <c r="H326" s="7"/>
      <c r="I326" s="7"/>
      <c r="J326" s="7"/>
      <c r="K326" s="7"/>
      <c r="L326" s="7"/>
      <c r="M326" s="7"/>
      <c r="N326" s="7"/>
      <c r="O326" s="16"/>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row>
    <row r="327" spans="1:52" ht="63" customHeight="1">
      <c r="A327" s="20"/>
      <c r="B327" s="7"/>
      <c r="C327" s="7"/>
      <c r="D327" s="7"/>
      <c r="E327" s="7"/>
      <c r="F327" s="7"/>
      <c r="G327" s="25"/>
      <c r="H327" s="7"/>
      <c r="I327" s="7"/>
      <c r="J327" s="7"/>
      <c r="K327" s="7"/>
      <c r="L327" s="7"/>
      <c r="M327" s="7"/>
      <c r="N327" s="7"/>
      <c r="O327" s="16"/>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row>
    <row r="328" spans="1:52" ht="63" customHeight="1">
      <c r="A328" s="20"/>
      <c r="B328" s="7"/>
      <c r="C328" s="7"/>
      <c r="D328" s="7"/>
      <c r="E328" s="7"/>
      <c r="F328" s="7"/>
      <c r="G328" s="25"/>
      <c r="H328" s="7"/>
      <c r="I328" s="7"/>
      <c r="J328" s="7"/>
      <c r="K328" s="7"/>
      <c r="L328" s="7"/>
      <c r="M328" s="7"/>
      <c r="N328" s="7"/>
      <c r="O328" s="16"/>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row>
    <row r="329" spans="1:52" ht="63" customHeight="1">
      <c r="A329" s="20"/>
      <c r="B329" s="7"/>
      <c r="C329" s="7"/>
      <c r="D329" s="7"/>
      <c r="E329" s="7"/>
      <c r="F329" s="7"/>
      <c r="G329" s="25"/>
      <c r="H329" s="7"/>
      <c r="I329" s="7"/>
      <c r="J329" s="7"/>
      <c r="K329" s="7"/>
      <c r="L329" s="7"/>
      <c r="M329" s="7"/>
      <c r="N329" s="7"/>
      <c r="O329" s="16"/>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row>
    <row r="330" spans="1:52" ht="63" customHeight="1">
      <c r="A330" s="20"/>
      <c r="B330" s="7"/>
      <c r="C330" s="7"/>
      <c r="D330" s="7"/>
      <c r="E330" s="7"/>
      <c r="F330" s="7"/>
      <c r="G330" s="25"/>
      <c r="H330" s="7"/>
      <c r="I330" s="7"/>
      <c r="J330" s="7"/>
      <c r="K330" s="7"/>
      <c r="L330" s="7"/>
      <c r="M330" s="7"/>
      <c r="N330" s="7"/>
      <c r="O330" s="16"/>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row>
    <row r="331" spans="1:52" ht="63" customHeight="1">
      <c r="A331" s="20"/>
      <c r="B331" s="7"/>
      <c r="C331" s="7"/>
      <c r="D331" s="7"/>
      <c r="E331" s="7"/>
      <c r="F331" s="7"/>
      <c r="G331" s="25"/>
      <c r="H331" s="7"/>
      <c r="I331" s="7"/>
      <c r="J331" s="7"/>
      <c r="K331" s="7"/>
      <c r="L331" s="7"/>
      <c r="M331" s="7"/>
      <c r="N331" s="7"/>
      <c r="O331" s="16"/>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row>
    <row r="332" spans="1:52" ht="63" customHeight="1">
      <c r="A332" s="20"/>
      <c r="B332" s="7"/>
      <c r="C332" s="7"/>
      <c r="D332" s="7"/>
      <c r="E332" s="7"/>
      <c r="F332" s="7"/>
      <c r="G332" s="25"/>
      <c r="H332" s="7"/>
      <c r="I332" s="7"/>
      <c r="J332" s="7"/>
      <c r="K332" s="7"/>
      <c r="L332" s="7"/>
      <c r="M332" s="7"/>
      <c r="N332" s="7"/>
      <c r="O332" s="16"/>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row>
    <row r="333" spans="1:52" ht="63" customHeight="1">
      <c r="A333" s="20"/>
      <c r="B333" s="7"/>
      <c r="C333" s="7"/>
      <c r="D333" s="7"/>
      <c r="E333" s="7"/>
      <c r="F333" s="7"/>
      <c r="G333" s="25"/>
      <c r="H333" s="7"/>
      <c r="I333" s="7"/>
      <c r="J333" s="7"/>
      <c r="K333" s="7"/>
      <c r="L333" s="7"/>
      <c r="M333" s="7"/>
      <c r="N333" s="7"/>
      <c r="O333" s="16"/>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row>
    <row r="334" spans="1:52" ht="63" customHeight="1">
      <c r="A334" s="20"/>
      <c r="B334" s="7"/>
      <c r="C334" s="7"/>
      <c r="D334" s="7"/>
      <c r="E334" s="7"/>
      <c r="F334" s="7"/>
      <c r="G334" s="25"/>
      <c r="H334" s="7"/>
      <c r="I334" s="7"/>
      <c r="J334" s="7"/>
      <c r="K334" s="7"/>
      <c r="L334" s="7"/>
      <c r="M334" s="7"/>
      <c r="N334" s="7"/>
      <c r="O334" s="16"/>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row>
    <row r="335" spans="1:52" ht="63" customHeight="1">
      <c r="A335" s="20"/>
      <c r="B335" s="7"/>
      <c r="C335" s="7"/>
      <c r="D335" s="7"/>
      <c r="E335" s="7"/>
      <c r="F335" s="7"/>
      <c r="G335" s="25"/>
      <c r="H335" s="7"/>
      <c r="I335" s="7"/>
      <c r="J335" s="7"/>
      <c r="K335" s="7"/>
      <c r="L335" s="7"/>
      <c r="M335" s="7"/>
      <c r="N335" s="7"/>
      <c r="O335" s="16"/>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row>
    <row r="336" spans="1:52" ht="63" customHeight="1">
      <c r="A336" s="20"/>
      <c r="B336" s="7"/>
      <c r="C336" s="7"/>
      <c r="D336" s="7"/>
      <c r="E336" s="7"/>
      <c r="F336" s="7"/>
      <c r="G336" s="25"/>
      <c r="H336" s="7"/>
      <c r="I336" s="7"/>
      <c r="J336" s="7"/>
      <c r="K336" s="7"/>
      <c r="L336" s="7"/>
      <c r="M336" s="7"/>
      <c r="N336" s="7"/>
      <c r="O336" s="16"/>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row>
    <row r="337" spans="1:52" ht="63" customHeight="1">
      <c r="A337" s="20"/>
      <c r="B337" s="7"/>
      <c r="C337" s="7"/>
      <c r="D337" s="7"/>
      <c r="E337" s="7"/>
      <c r="F337" s="7"/>
      <c r="G337" s="25"/>
      <c r="H337" s="7"/>
      <c r="I337" s="7"/>
      <c r="J337" s="7"/>
      <c r="K337" s="7"/>
      <c r="L337" s="7"/>
      <c r="M337" s="7"/>
      <c r="N337" s="7"/>
      <c r="O337" s="16"/>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row>
    <row r="338" spans="1:52" ht="63" customHeight="1">
      <c r="A338" s="20"/>
      <c r="B338" s="7"/>
      <c r="C338" s="7"/>
      <c r="D338" s="7"/>
      <c r="E338" s="7"/>
      <c r="F338" s="7"/>
      <c r="G338" s="25"/>
      <c r="H338" s="7"/>
      <c r="I338" s="7"/>
      <c r="J338" s="7"/>
      <c r="K338" s="7"/>
      <c r="L338" s="7"/>
      <c r="M338" s="7"/>
      <c r="N338" s="7"/>
      <c r="O338" s="16"/>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row>
    <row r="339" spans="1:52" ht="63" customHeight="1">
      <c r="A339" s="20"/>
      <c r="B339" s="7"/>
      <c r="C339" s="7"/>
      <c r="D339" s="7"/>
      <c r="E339" s="7"/>
      <c r="F339" s="7"/>
      <c r="G339" s="25"/>
      <c r="H339" s="7"/>
      <c r="I339" s="7"/>
      <c r="J339" s="7"/>
      <c r="K339" s="7"/>
      <c r="L339" s="7"/>
      <c r="M339" s="7"/>
      <c r="N339" s="7"/>
      <c r="O339" s="16"/>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row>
    <row r="340" spans="1:52" ht="63" customHeight="1">
      <c r="A340" s="20"/>
      <c r="B340" s="7"/>
      <c r="C340" s="7"/>
      <c r="D340" s="7"/>
      <c r="E340" s="7"/>
      <c r="F340" s="7"/>
      <c r="G340" s="25"/>
      <c r="H340" s="7"/>
      <c r="I340" s="7"/>
      <c r="J340" s="7"/>
      <c r="K340" s="7"/>
      <c r="L340" s="7"/>
      <c r="M340" s="7"/>
      <c r="N340" s="7"/>
      <c r="O340" s="16"/>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row>
    <row r="341" spans="1:52" ht="63" customHeight="1">
      <c r="A341" s="20"/>
      <c r="B341" s="7"/>
      <c r="C341" s="7"/>
      <c r="D341" s="7"/>
      <c r="E341" s="7"/>
      <c r="F341" s="7"/>
      <c r="G341" s="25"/>
      <c r="H341" s="7"/>
      <c r="I341" s="7"/>
      <c r="J341" s="7"/>
      <c r="K341" s="7"/>
      <c r="L341" s="7"/>
      <c r="M341" s="7"/>
      <c r="N341" s="7"/>
      <c r="O341" s="16"/>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row>
    <row r="342" spans="1:52" ht="63" customHeight="1">
      <c r="A342" s="20"/>
      <c r="B342" s="7"/>
      <c r="C342" s="7"/>
      <c r="D342" s="7"/>
      <c r="E342" s="7"/>
      <c r="F342" s="7"/>
      <c r="G342" s="25"/>
      <c r="H342" s="7"/>
      <c r="I342" s="7"/>
      <c r="J342" s="7"/>
      <c r="K342" s="7"/>
      <c r="L342" s="7"/>
      <c r="M342" s="7"/>
      <c r="N342" s="7"/>
      <c r="O342" s="16"/>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row>
    <row r="343" spans="1:52" ht="63" customHeight="1">
      <c r="A343" s="20"/>
      <c r="B343" s="7"/>
      <c r="C343" s="7"/>
      <c r="D343" s="7"/>
      <c r="E343" s="7"/>
      <c r="F343" s="7"/>
      <c r="G343" s="25"/>
      <c r="H343" s="7"/>
      <c r="I343" s="7"/>
      <c r="J343" s="7"/>
      <c r="K343" s="7"/>
      <c r="L343" s="7"/>
      <c r="M343" s="7"/>
      <c r="N343" s="7"/>
      <c r="O343" s="16"/>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row>
    <row r="344" spans="1:52" ht="63" customHeight="1">
      <c r="A344" s="20"/>
      <c r="B344" s="7"/>
      <c r="C344" s="7"/>
      <c r="D344" s="7"/>
      <c r="E344" s="7"/>
      <c r="F344" s="7"/>
      <c r="G344" s="25"/>
      <c r="H344" s="7"/>
      <c r="I344" s="7"/>
      <c r="J344" s="7"/>
      <c r="K344" s="7"/>
      <c r="L344" s="7"/>
      <c r="M344" s="7"/>
      <c r="N344" s="7"/>
      <c r="O344" s="16"/>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row>
    <row r="345" spans="1:52" ht="63" customHeight="1">
      <c r="A345" s="20"/>
      <c r="B345" s="7"/>
      <c r="C345" s="7"/>
      <c r="D345" s="7"/>
      <c r="E345" s="7"/>
      <c r="F345" s="7"/>
      <c r="G345" s="25"/>
      <c r="H345" s="7"/>
      <c r="I345" s="7"/>
      <c r="J345" s="7"/>
      <c r="K345" s="7"/>
      <c r="L345" s="7"/>
      <c r="M345" s="7"/>
      <c r="N345" s="7"/>
      <c r="O345" s="16"/>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row>
    <row r="346" spans="1:52" ht="63" customHeight="1">
      <c r="A346" s="20"/>
      <c r="B346" s="7"/>
      <c r="C346" s="7"/>
      <c r="D346" s="7"/>
      <c r="E346" s="7"/>
      <c r="F346" s="7"/>
      <c r="G346" s="25"/>
      <c r="H346" s="7"/>
      <c r="I346" s="7"/>
      <c r="J346" s="7"/>
      <c r="K346" s="7"/>
      <c r="L346" s="7"/>
      <c r="M346" s="7"/>
      <c r="N346" s="7"/>
      <c r="O346" s="16"/>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row>
    <row r="347" spans="1:52" ht="63" customHeight="1">
      <c r="A347" s="20"/>
      <c r="B347" s="7"/>
      <c r="C347" s="7"/>
      <c r="D347" s="7"/>
      <c r="E347" s="7"/>
      <c r="F347" s="7"/>
      <c r="G347" s="25"/>
      <c r="H347" s="7"/>
      <c r="I347" s="7"/>
      <c r="J347" s="7"/>
      <c r="K347" s="7"/>
      <c r="L347" s="7"/>
      <c r="M347" s="7"/>
      <c r="N347" s="7"/>
      <c r="O347" s="16"/>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row>
    <row r="348" spans="1:52" ht="63" customHeight="1">
      <c r="A348" s="20"/>
      <c r="B348" s="7"/>
      <c r="C348" s="7"/>
      <c r="D348" s="7"/>
      <c r="E348" s="7"/>
      <c r="F348" s="7"/>
      <c r="G348" s="25"/>
      <c r="H348" s="7"/>
      <c r="I348" s="7"/>
      <c r="J348" s="7"/>
      <c r="K348" s="7"/>
      <c r="L348" s="7"/>
      <c r="M348" s="7"/>
      <c r="N348" s="7"/>
      <c r="O348" s="16"/>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row>
    <row r="349" spans="1:52" ht="63" customHeight="1">
      <c r="A349" s="20"/>
      <c r="B349" s="7"/>
      <c r="C349" s="7"/>
      <c r="D349" s="7"/>
      <c r="E349" s="7"/>
      <c r="F349" s="7"/>
      <c r="G349" s="25"/>
      <c r="H349" s="7"/>
      <c r="I349" s="7"/>
      <c r="J349" s="7"/>
      <c r="K349" s="7"/>
      <c r="L349" s="7"/>
      <c r="M349" s="7"/>
      <c r="N349" s="7"/>
      <c r="O349" s="16"/>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row>
    <row r="350" spans="1:52" ht="63" customHeight="1">
      <c r="A350" s="20"/>
      <c r="B350" s="7"/>
      <c r="C350" s="7"/>
      <c r="D350" s="7"/>
      <c r="E350" s="7"/>
      <c r="F350" s="7"/>
      <c r="G350" s="25"/>
      <c r="H350" s="7"/>
      <c r="I350" s="7"/>
      <c r="J350" s="7"/>
      <c r="K350" s="7"/>
      <c r="L350" s="7"/>
      <c r="M350" s="7"/>
      <c r="N350" s="7"/>
      <c r="O350" s="16"/>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row>
    <row r="351" spans="1:52" ht="63" customHeight="1">
      <c r="A351" s="20"/>
      <c r="B351" s="7"/>
      <c r="C351" s="7"/>
      <c r="D351" s="7"/>
      <c r="E351" s="7"/>
      <c r="F351" s="7"/>
      <c r="G351" s="25"/>
      <c r="H351" s="7"/>
      <c r="I351" s="7"/>
      <c r="J351" s="7"/>
      <c r="K351" s="7"/>
      <c r="L351" s="7"/>
      <c r="M351" s="7"/>
      <c r="N351" s="7"/>
      <c r="O351" s="16"/>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row>
    <row r="352" spans="1:52" ht="63" customHeight="1">
      <c r="A352" s="20"/>
      <c r="B352" s="7"/>
      <c r="C352" s="7"/>
      <c r="D352" s="7"/>
      <c r="E352" s="7"/>
      <c r="F352" s="7"/>
      <c r="G352" s="25"/>
      <c r="H352" s="7"/>
      <c r="I352" s="7"/>
      <c r="J352" s="7"/>
      <c r="K352" s="7"/>
      <c r="L352" s="7"/>
      <c r="M352" s="7"/>
      <c r="N352" s="7"/>
      <c r="O352" s="16"/>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row>
    <row r="353" spans="1:52" ht="63" customHeight="1">
      <c r="A353" s="20"/>
      <c r="B353" s="7"/>
      <c r="C353" s="7"/>
      <c r="D353" s="7"/>
      <c r="E353" s="7"/>
      <c r="F353" s="7"/>
      <c r="G353" s="25"/>
      <c r="H353" s="7"/>
      <c r="I353" s="7"/>
      <c r="J353" s="7"/>
      <c r="K353" s="7"/>
      <c r="L353" s="7"/>
      <c r="M353" s="7"/>
      <c r="N353" s="7"/>
      <c r="O353" s="16"/>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row>
    <row r="354" spans="1:52" ht="63" customHeight="1">
      <c r="A354" s="20"/>
      <c r="B354" s="7"/>
      <c r="C354" s="7"/>
      <c r="D354" s="7"/>
      <c r="E354" s="7"/>
      <c r="F354" s="7"/>
      <c r="G354" s="25"/>
      <c r="H354" s="7"/>
      <c r="I354" s="7"/>
      <c r="J354" s="7"/>
      <c r="K354" s="7"/>
      <c r="L354" s="7"/>
      <c r="M354" s="7"/>
      <c r="N354" s="7"/>
      <c r="O354" s="16"/>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row>
    <row r="355" spans="1:52" ht="63" customHeight="1">
      <c r="A355" s="20"/>
      <c r="B355" s="7"/>
      <c r="C355" s="7"/>
      <c r="D355" s="7"/>
      <c r="E355" s="7"/>
      <c r="F355" s="7"/>
      <c r="G355" s="25"/>
      <c r="H355" s="7"/>
      <c r="I355" s="7"/>
      <c r="J355" s="7"/>
      <c r="K355" s="7"/>
      <c r="L355" s="7"/>
      <c r="M355" s="7"/>
      <c r="N355" s="7"/>
      <c r="O355" s="16"/>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row>
    <row r="356" spans="1:52" ht="63" customHeight="1">
      <c r="A356" s="20"/>
      <c r="B356" s="7"/>
      <c r="C356" s="7"/>
      <c r="D356" s="7"/>
      <c r="E356" s="7"/>
      <c r="F356" s="7"/>
      <c r="G356" s="25"/>
      <c r="H356" s="7"/>
      <c r="I356" s="7"/>
      <c r="J356" s="7"/>
      <c r="K356" s="7"/>
      <c r="L356" s="7"/>
      <c r="M356" s="7"/>
      <c r="N356" s="7"/>
      <c r="O356" s="16"/>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row>
    <row r="357" spans="1:52" ht="63" customHeight="1">
      <c r="A357" s="20"/>
      <c r="B357" s="7"/>
      <c r="C357" s="7"/>
      <c r="D357" s="7"/>
      <c r="E357" s="7"/>
      <c r="F357" s="7"/>
      <c r="G357" s="25"/>
      <c r="H357" s="7"/>
      <c r="I357" s="7"/>
      <c r="J357" s="7"/>
      <c r="K357" s="7"/>
      <c r="L357" s="7"/>
      <c r="M357" s="7"/>
      <c r="N357" s="7"/>
      <c r="O357" s="16"/>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row>
    <row r="358" spans="1:52" ht="63" customHeight="1">
      <c r="A358" s="20"/>
      <c r="B358" s="7"/>
      <c r="C358" s="7"/>
      <c r="D358" s="7"/>
      <c r="E358" s="7"/>
      <c r="F358" s="7"/>
      <c r="G358" s="25"/>
      <c r="H358" s="7"/>
      <c r="I358" s="7"/>
      <c r="J358" s="7"/>
      <c r="K358" s="7"/>
      <c r="L358" s="7"/>
      <c r="M358" s="7"/>
      <c r="N358" s="7"/>
      <c r="O358" s="16"/>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row>
    <row r="359" spans="1:52" ht="63" customHeight="1">
      <c r="A359" s="20"/>
      <c r="B359" s="7"/>
      <c r="C359" s="7"/>
      <c r="D359" s="7"/>
      <c r="E359" s="7"/>
      <c r="F359" s="7"/>
      <c r="G359" s="25"/>
      <c r="H359" s="7"/>
      <c r="I359" s="7"/>
      <c r="J359" s="7"/>
      <c r="K359" s="7"/>
      <c r="L359" s="7"/>
      <c r="M359" s="7"/>
      <c r="N359" s="7"/>
      <c r="O359" s="16"/>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row>
    <row r="360" spans="1:52" ht="63" customHeight="1">
      <c r="A360" s="20"/>
      <c r="B360" s="7"/>
      <c r="C360" s="7"/>
      <c r="D360" s="7"/>
      <c r="E360" s="7"/>
      <c r="F360" s="7"/>
      <c r="G360" s="25"/>
      <c r="H360" s="7"/>
      <c r="I360" s="7"/>
      <c r="J360" s="7"/>
      <c r="K360" s="7"/>
      <c r="L360" s="7"/>
      <c r="M360" s="7"/>
      <c r="N360" s="7"/>
      <c r="O360" s="16"/>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row>
    <row r="361" spans="1:52" ht="63" customHeight="1">
      <c r="A361" s="20"/>
      <c r="B361" s="7"/>
      <c r="C361" s="7"/>
      <c r="D361" s="7"/>
      <c r="E361" s="7"/>
      <c r="F361" s="7"/>
      <c r="G361" s="25"/>
      <c r="H361" s="7"/>
      <c r="I361" s="7"/>
      <c r="J361" s="7"/>
      <c r="K361" s="7"/>
      <c r="L361" s="7"/>
      <c r="M361" s="7"/>
      <c r="N361" s="7"/>
      <c r="O361" s="16"/>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row>
    <row r="362" spans="1:52" ht="63" customHeight="1">
      <c r="A362" s="20"/>
      <c r="B362" s="7"/>
      <c r="C362" s="7"/>
      <c r="D362" s="7"/>
      <c r="E362" s="7"/>
      <c r="F362" s="7"/>
      <c r="G362" s="25"/>
      <c r="H362" s="7"/>
      <c r="I362" s="7"/>
      <c r="J362" s="7"/>
      <c r="K362" s="7"/>
      <c r="L362" s="7"/>
      <c r="M362" s="7"/>
      <c r="N362" s="7"/>
      <c r="O362" s="16"/>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row>
    <row r="363" spans="1:52" ht="63" customHeight="1">
      <c r="A363" s="20"/>
      <c r="B363" s="7"/>
      <c r="C363" s="7"/>
      <c r="D363" s="7"/>
      <c r="E363" s="7"/>
      <c r="F363" s="7"/>
      <c r="G363" s="25"/>
      <c r="H363" s="7"/>
      <c r="I363" s="7"/>
      <c r="J363" s="7"/>
      <c r="K363" s="7"/>
      <c r="L363" s="7"/>
      <c r="M363" s="7"/>
      <c r="N363" s="7"/>
      <c r="O363" s="16"/>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row>
    <row r="364" spans="1:52" ht="63" customHeight="1">
      <c r="A364" s="20"/>
      <c r="B364" s="7"/>
      <c r="C364" s="7"/>
      <c r="D364" s="7"/>
      <c r="E364" s="7"/>
      <c r="F364" s="7"/>
      <c r="G364" s="25"/>
      <c r="H364" s="7"/>
      <c r="I364" s="7"/>
      <c r="J364" s="7"/>
      <c r="K364" s="7"/>
      <c r="L364" s="7"/>
      <c r="M364" s="7"/>
      <c r="N364" s="7"/>
      <c r="O364" s="16"/>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row>
    <row r="365" spans="1:52" ht="63" customHeight="1">
      <c r="A365" s="20"/>
      <c r="B365" s="7"/>
      <c r="C365" s="7"/>
      <c r="D365" s="7"/>
      <c r="E365" s="7"/>
      <c r="F365" s="7"/>
      <c r="G365" s="25"/>
      <c r="H365" s="7"/>
      <c r="I365" s="7"/>
      <c r="J365" s="7"/>
      <c r="K365" s="7"/>
      <c r="L365" s="7"/>
      <c r="M365" s="7"/>
      <c r="N365" s="7"/>
      <c r="O365" s="16"/>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row>
    <row r="366" spans="1:52" ht="63" customHeight="1">
      <c r="A366" s="20"/>
      <c r="B366" s="7"/>
      <c r="C366" s="7"/>
      <c r="D366" s="7"/>
      <c r="E366" s="7"/>
      <c r="F366" s="7"/>
      <c r="G366" s="25"/>
      <c r="H366" s="7"/>
      <c r="I366" s="7"/>
      <c r="J366" s="7"/>
      <c r="K366" s="7"/>
      <c r="L366" s="7"/>
      <c r="M366" s="7"/>
      <c r="N366" s="7"/>
      <c r="O366" s="16"/>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row>
    <row r="367" spans="1:52" ht="63" customHeight="1">
      <c r="A367" s="20"/>
      <c r="B367" s="7"/>
      <c r="C367" s="7"/>
      <c r="D367" s="7"/>
      <c r="E367" s="7"/>
      <c r="F367" s="7"/>
      <c r="G367" s="25"/>
      <c r="H367" s="7"/>
      <c r="I367" s="7"/>
      <c r="J367" s="7"/>
      <c r="K367" s="7"/>
      <c r="L367" s="7"/>
      <c r="M367" s="7"/>
      <c r="N367" s="7"/>
      <c r="O367" s="16"/>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row>
    <row r="368" spans="1:52" ht="63" customHeight="1">
      <c r="A368" s="20"/>
      <c r="B368" s="7"/>
      <c r="C368" s="7"/>
      <c r="D368" s="7"/>
      <c r="E368" s="7"/>
      <c r="F368" s="7"/>
      <c r="G368" s="25"/>
      <c r="H368" s="7"/>
      <c r="I368" s="7"/>
      <c r="J368" s="7"/>
      <c r="K368" s="7"/>
      <c r="L368" s="7"/>
      <c r="M368" s="7"/>
      <c r="N368" s="7"/>
      <c r="O368" s="16"/>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row>
    <row r="369" spans="1:52" ht="63" customHeight="1">
      <c r="A369" s="20"/>
      <c r="B369" s="7"/>
      <c r="C369" s="7"/>
      <c r="D369" s="7"/>
      <c r="E369" s="7"/>
      <c r="F369" s="7"/>
      <c r="G369" s="25"/>
      <c r="H369" s="7"/>
      <c r="I369" s="7"/>
      <c r="J369" s="7"/>
      <c r="K369" s="7"/>
      <c r="L369" s="7"/>
      <c r="M369" s="7"/>
      <c r="N369" s="7"/>
      <c r="O369" s="16"/>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row>
    <row r="370" spans="1:52" ht="63" customHeight="1">
      <c r="A370" s="20"/>
      <c r="B370" s="7"/>
      <c r="C370" s="7"/>
      <c r="D370" s="7"/>
      <c r="E370" s="7"/>
      <c r="F370" s="7"/>
      <c r="G370" s="25"/>
      <c r="H370" s="7"/>
      <c r="I370" s="7"/>
      <c r="J370" s="7"/>
      <c r="K370" s="7"/>
      <c r="L370" s="7"/>
      <c r="M370" s="7"/>
      <c r="N370" s="7"/>
      <c r="O370" s="16"/>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row>
    <row r="371" spans="1:52" ht="63" customHeight="1">
      <c r="A371" s="20"/>
      <c r="B371" s="7"/>
      <c r="C371" s="7"/>
      <c r="D371" s="7"/>
      <c r="E371" s="7"/>
      <c r="F371" s="7"/>
      <c r="G371" s="25"/>
      <c r="H371" s="7"/>
      <c r="I371" s="7"/>
      <c r="J371" s="7"/>
      <c r="K371" s="7"/>
      <c r="L371" s="7"/>
      <c r="M371" s="7"/>
      <c r="N371" s="7"/>
      <c r="O371" s="16"/>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row>
    <row r="372" spans="1:52" ht="63" customHeight="1">
      <c r="A372" s="20"/>
      <c r="B372" s="7"/>
      <c r="C372" s="7"/>
      <c r="D372" s="7"/>
      <c r="E372" s="7"/>
      <c r="F372" s="7"/>
      <c r="G372" s="25"/>
      <c r="H372" s="7"/>
      <c r="I372" s="7"/>
      <c r="J372" s="7"/>
      <c r="K372" s="7"/>
      <c r="L372" s="7"/>
      <c r="M372" s="7"/>
      <c r="N372" s="7"/>
      <c r="O372" s="16"/>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row>
    <row r="373" spans="1:52" ht="63" customHeight="1">
      <c r="A373" s="20"/>
      <c r="B373" s="7"/>
      <c r="C373" s="7"/>
      <c r="D373" s="7"/>
      <c r="E373" s="7"/>
      <c r="F373" s="7"/>
      <c r="G373" s="25"/>
      <c r="H373" s="7"/>
      <c r="I373" s="7"/>
      <c r="J373" s="7"/>
      <c r="K373" s="7"/>
      <c r="L373" s="7"/>
      <c r="M373" s="7"/>
      <c r="N373" s="7"/>
      <c r="O373" s="16"/>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row>
    <row r="374" spans="1:52" ht="63" customHeight="1">
      <c r="A374" s="20"/>
      <c r="B374" s="7"/>
      <c r="C374" s="7"/>
      <c r="D374" s="7"/>
      <c r="E374" s="7"/>
      <c r="F374" s="7"/>
      <c r="G374" s="25"/>
      <c r="H374" s="7"/>
      <c r="I374" s="7"/>
      <c r="J374" s="7"/>
      <c r="K374" s="7"/>
      <c r="L374" s="7"/>
      <c r="M374" s="7"/>
      <c r="N374" s="7"/>
      <c r="O374" s="16"/>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row>
    <row r="375" spans="1:52" ht="63" customHeight="1">
      <c r="A375" s="20"/>
      <c r="B375" s="7"/>
      <c r="C375" s="7"/>
      <c r="D375" s="7"/>
      <c r="E375" s="7"/>
      <c r="F375" s="7"/>
      <c r="G375" s="25"/>
      <c r="H375" s="7"/>
      <c r="I375" s="7"/>
      <c r="J375" s="7"/>
      <c r="K375" s="7"/>
      <c r="L375" s="7"/>
      <c r="M375" s="7"/>
      <c r="N375" s="7"/>
      <c r="O375" s="16"/>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row>
    <row r="376" spans="1:52" ht="63" customHeight="1">
      <c r="A376" s="20"/>
      <c r="B376" s="7"/>
      <c r="C376" s="7"/>
      <c r="D376" s="7"/>
      <c r="E376" s="7"/>
      <c r="F376" s="7"/>
      <c r="G376" s="25"/>
      <c r="H376" s="7"/>
      <c r="I376" s="7"/>
      <c r="J376" s="7"/>
      <c r="K376" s="7"/>
      <c r="L376" s="7"/>
      <c r="M376" s="7"/>
      <c r="N376" s="7"/>
      <c r="O376" s="16"/>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row>
    <row r="377" spans="1:52" ht="63" customHeight="1">
      <c r="A377" s="20"/>
      <c r="B377" s="7"/>
      <c r="C377" s="7"/>
      <c r="D377" s="7"/>
      <c r="E377" s="7"/>
      <c r="F377" s="7"/>
      <c r="G377" s="25"/>
      <c r="H377" s="7"/>
      <c r="I377" s="7"/>
      <c r="J377" s="7"/>
      <c r="K377" s="7"/>
      <c r="L377" s="7"/>
      <c r="M377" s="7"/>
      <c r="N377" s="7"/>
      <c r="O377" s="16"/>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row>
    <row r="378" spans="1:52" ht="63" customHeight="1">
      <c r="A378" s="20"/>
      <c r="B378" s="7"/>
      <c r="C378" s="7"/>
      <c r="D378" s="7"/>
      <c r="E378" s="7"/>
      <c r="F378" s="7"/>
      <c r="G378" s="25"/>
      <c r="H378" s="7"/>
      <c r="I378" s="7"/>
      <c r="J378" s="7"/>
      <c r="K378" s="7"/>
      <c r="L378" s="7"/>
      <c r="M378" s="7"/>
      <c r="N378" s="7"/>
      <c r="O378" s="16"/>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row>
    <row r="379" spans="1:52" ht="63" customHeight="1">
      <c r="A379" s="20"/>
      <c r="B379" s="7"/>
      <c r="C379" s="7"/>
      <c r="D379" s="7"/>
      <c r="E379" s="7"/>
      <c r="F379" s="7"/>
      <c r="G379" s="25"/>
      <c r="H379" s="7"/>
      <c r="I379" s="7"/>
      <c r="J379" s="7"/>
      <c r="K379" s="7"/>
      <c r="L379" s="7"/>
      <c r="M379" s="7"/>
      <c r="N379" s="7"/>
      <c r="O379" s="16"/>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row>
    <row r="380" spans="1:52" ht="63" customHeight="1">
      <c r="A380" s="20"/>
      <c r="B380" s="7"/>
      <c r="C380" s="7"/>
      <c r="D380" s="7"/>
      <c r="E380" s="7"/>
      <c r="F380" s="7"/>
      <c r="G380" s="25"/>
      <c r="H380" s="7"/>
      <c r="I380" s="7"/>
      <c r="J380" s="7"/>
      <c r="K380" s="7"/>
      <c r="L380" s="7"/>
      <c r="M380" s="7"/>
      <c r="N380" s="7"/>
      <c r="O380" s="16"/>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row>
    <row r="381" spans="1:52" ht="63" customHeight="1">
      <c r="A381" s="20"/>
      <c r="B381" s="7"/>
      <c r="C381" s="7"/>
      <c r="D381" s="7"/>
      <c r="E381" s="7"/>
      <c r="F381" s="7"/>
      <c r="G381" s="25"/>
      <c r="H381" s="7"/>
      <c r="I381" s="7"/>
      <c r="J381" s="7"/>
      <c r="K381" s="7"/>
      <c r="L381" s="7"/>
      <c r="M381" s="7"/>
      <c r="N381" s="7"/>
      <c r="O381" s="16"/>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row>
    <row r="382" spans="1:52" ht="63" customHeight="1">
      <c r="A382" s="20"/>
      <c r="B382" s="7"/>
      <c r="C382" s="7"/>
      <c r="D382" s="7"/>
      <c r="E382" s="7"/>
      <c r="F382" s="7"/>
      <c r="G382" s="25"/>
      <c r="H382" s="7"/>
      <c r="I382" s="7"/>
      <c r="J382" s="7"/>
      <c r="K382" s="7"/>
      <c r="L382" s="7"/>
      <c r="M382" s="7"/>
      <c r="N382" s="7"/>
      <c r="O382" s="16"/>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row>
    <row r="383" spans="1:52" ht="63" customHeight="1">
      <c r="A383" s="20"/>
      <c r="B383" s="7"/>
      <c r="C383" s="7"/>
      <c r="D383" s="7"/>
      <c r="E383" s="7"/>
      <c r="F383" s="7"/>
      <c r="G383" s="25"/>
      <c r="H383" s="7"/>
      <c r="I383" s="7"/>
      <c r="J383" s="7"/>
      <c r="K383" s="7"/>
      <c r="L383" s="7"/>
      <c r="M383" s="7"/>
      <c r="N383" s="7"/>
      <c r="O383" s="16"/>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row>
    <row r="384" spans="1:52" ht="63" customHeight="1">
      <c r="A384" s="20"/>
      <c r="B384" s="7"/>
      <c r="C384" s="7"/>
      <c r="D384" s="7"/>
      <c r="E384" s="7"/>
      <c r="F384" s="7"/>
      <c r="G384" s="25"/>
      <c r="H384" s="7"/>
      <c r="I384" s="7"/>
      <c r="J384" s="7"/>
      <c r="K384" s="7"/>
      <c r="L384" s="7"/>
      <c r="M384" s="7"/>
      <c r="N384" s="7"/>
      <c r="O384" s="16"/>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row>
    <row r="385" spans="1:52" ht="63" customHeight="1">
      <c r="A385" s="20"/>
      <c r="B385" s="7"/>
      <c r="C385" s="7"/>
      <c r="D385" s="7"/>
      <c r="E385" s="7"/>
      <c r="F385" s="7"/>
      <c r="G385" s="25"/>
      <c r="H385" s="7"/>
      <c r="I385" s="7"/>
      <c r="J385" s="7"/>
      <c r="K385" s="7"/>
      <c r="L385" s="7"/>
      <c r="M385" s="7"/>
      <c r="N385" s="7"/>
      <c r="O385" s="16"/>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row>
    <row r="386" spans="1:52" ht="63" customHeight="1">
      <c r="A386" s="20"/>
      <c r="B386" s="7"/>
      <c r="C386" s="7"/>
      <c r="D386" s="7"/>
      <c r="E386" s="7"/>
      <c r="F386" s="7"/>
      <c r="G386" s="25"/>
      <c r="H386" s="7"/>
      <c r="I386" s="7"/>
      <c r="J386" s="7"/>
      <c r="K386" s="7"/>
      <c r="L386" s="7"/>
      <c r="M386" s="7"/>
      <c r="N386" s="7"/>
      <c r="O386" s="16"/>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row>
    <row r="387" spans="1:52" ht="63" customHeight="1">
      <c r="A387" s="20"/>
      <c r="B387" s="7"/>
      <c r="C387" s="7"/>
      <c r="D387" s="7"/>
      <c r="E387" s="7"/>
      <c r="F387" s="7"/>
      <c r="G387" s="25"/>
      <c r="H387" s="7"/>
      <c r="I387" s="7"/>
      <c r="J387" s="7"/>
      <c r="K387" s="7"/>
      <c r="L387" s="7"/>
      <c r="M387" s="7"/>
      <c r="N387" s="7"/>
      <c r="O387" s="16"/>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row>
    <row r="388" spans="1:52" ht="63" customHeight="1">
      <c r="A388" s="20"/>
      <c r="B388" s="7"/>
      <c r="C388" s="7"/>
      <c r="D388" s="7"/>
      <c r="E388" s="7"/>
      <c r="F388" s="7"/>
      <c r="G388" s="25"/>
      <c r="H388" s="7"/>
      <c r="I388" s="7"/>
      <c r="J388" s="7"/>
      <c r="K388" s="7"/>
      <c r="L388" s="7"/>
      <c r="M388" s="7"/>
      <c r="N388" s="7"/>
      <c r="O388" s="16"/>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row>
    <row r="389" spans="1:52" ht="63" customHeight="1">
      <c r="A389" s="20"/>
      <c r="B389" s="7"/>
      <c r="C389" s="7"/>
      <c r="D389" s="7"/>
      <c r="E389" s="7"/>
      <c r="F389" s="7"/>
      <c r="G389" s="25"/>
      <c r="H389" s="7"/>
      <c r="I389" s="7"/>
      <c r="J389" s="7"/>
      <c r="K389" s="7"/>
      <c r="L389" s="7"/>
      <c r="M389" s="7"/>
      <c r="N389" s="7"/>
      <c r="O389" s="16"/>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row>
    <row r="390" spans="1:52" ht="63" customHeight="1">
      <c r="A390" s="20"/>
      <c r="B390" s="7"/>
      <c r="C390" s="7"/>
      <c r="D390" s="7"/>
      <c r="E390" s="7"/>
      <c r="F390" s="7"/>
      <c r="G390" s="25"/>
      <c r="H390" s="7"/>
      <c r="I390" s="7"/>
      <c r="J390" s="7"/>
      <c r="K390" s="7"/>
      <c r="L390" s="7"/>
      <c r="M390" s="7"/>
      <c r="N390" s="7"/>
      <c r="O390" s="16"/>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row>
    <row r="391" spans="1:52" ht="63" customHeight="1">
      <c r="A391" s="20"/>
      <c r="B391" s="7"/>
      <c r="C391" s="7"/>
      <c r="D391" s="7"/>
      <c r="E391" s="7"/>
      <c r="F391" s="7"/>
      <c r="G391" s="25"/>
      <c r="H391" s="7"/>
      <c r="I391" s="7"/>
      <c r="J391" s="7"/>
      <c r="K391" s="7"/>
      <c r="L391" s="7"/>
      <c r="M391" s="7"/>
      <c r="N391" s="7"/>
      <c r="O391" s="16"/>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row>
    <row r="392" spans="1:52" ht="63" customHeight="1">
      <c r="A392" s="20"/>
      <c r="B392" s="7"/>
      <c r="C392" s="7"/>
      <c r="D392" s="7"/>
      <c r="E392" s="7"/>
      <c r="F392" s="7"/>
      <c r="G392" s="25"/>
      <c r="H392" s="7"/>
      <c r="I392" s="7"/>
      <c r="J392" s="7"/>
      <c r="K392" s="7"/>
      <c r="L392" s="7"/>
      <c r="M392" s="7"/>
      <c r="N392" s="7"/>
      <c r="O392" s="16"/>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row>
    <row r="393" spans="1:52" ht="63" customHeight="1">
      <c r="A393" s="20"/>
      <c r="B393" s="7"/>
      <c r="C393" s="7"/>
      <c r="D393" s="7"/>
      <c r="E393" s="7"/>
      <c r="F393" s="7"/>
      <c r="G393" s="25"/>
      <c r="H393" s="7"/>
      <c r="I393" s="7"/>
      <c r="J393" s="7"/>
      <c r="K393" s="7"/>
      <c r="L393" s="7"/>
      <c r="M393" s="7"/>
      <c r="N393" s="7"/>
      <c r="O393" s="16"/>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row>
    <row r="394" spans="1:52" ht="63" customHeight="1">
      <c r="A394" s="20"/>
      <c r="B394" s="7"/>
      <c r="C394" s="7"/>
      <c r="D394" s="7"/>
      <c r="E394" s="7"/>
      <c r="F394" s="7"/>
      <c r="G394" s="25"/>
      <c r="H394" s="7"/>
      <c r="I394" s="7"/>
      <c r="J394" s="7"/>
      <c r="K394" s="7"/>
      <c r="L394" s="7"/>
      <c r="M394" s="7"/>
      <c r="N394" s="7"/>
      <c r="O394" s="16"/>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row>
    <row r="395" spans="1:52" ht="63" customHeight="1">
      <c r="A395" s="20"/>
      <c r="B395" s="7"/>
      <c r="C395" s="7"/>
      <c r="D395" s="7"/>
      <c r="E395" s="7"/>
      <c r="F395" s="7"/>
      <c r="G395" s="25"/>
      <c r="H395" s="7"/>
      <c r="I395" s="7"/>
      <c r="J395" s="7"/>
      <c r="K395" s="7"/>
      <c r="L395" s="7"/>
      <c r="M395" s="7"/>
      <c r="N395" s="7"/>
      <c r="O395" s="16"/>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row>
    <row r="396" spans="1:52" ht="63" customHeight="1">
      <c r="A396" s="20"/>
      <c r="B396" s="7"/>
      <c r="C396" s="7"/>
      <c r="D396" s="7"/>
      <c r="E396" s="7"/>
      <c r="F396" s="7"/>
      <c r="G396" s="25"/>
      <c r="H396" s="7"/>
      <c r="I396" s="7"/>
      <c r="J396" s="7"/>
      <c r="K396" s="7"/>
      <c r="L396" s="7"/>
      <c r="M396" s="7"/>
      <c r="N396" s="7"/>
      <c r="O396" s="16"/>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row>
    <row r="397" spans="1:52" ht="63" customHeight="1">
      <c r="A397" s="20"/>
      <c r="B397" s="7"/>
      <c r="C397" s="7"/>
      <c r="D397" s="7"/>
      <c r="E397" s="7"/>
      <c r="F397" s="7"/>
      <c r="G397" s="25"/>
      <c r="H397" s="7"/>
      <c r="I397" s="7"/>
      <c r="J397" s="7"/>
      <c r="K397" s="7"/>
      <c r="L397" s="7"/>
      <c r="M397" s="7"/>
      <c r="N397" s="7"/>
      <c r="O397" s="16"/>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row>
    <row r="398" spans="1:52" ht="63" customHeight="1">
      <c r="A398" s="20"/>
      <c r="B398" s="7"/>
      <c r="C398" s="7"/>
      <c r="D398" s="7"/>
      <c r="E398" s="7"/>
      <c r="F398" s="7"/>
      <c r="G398" s="25"/>
      <c r="H398" s="7"/>
      <c r="I398" s="7"/>
      <c r="J398" s="7"/>
      <c r="K398" s="7"/>
      <c r="L398" s="7"/>
      <c r="M398" s="7"/>
      <c r="N398" s="7"/>
      <c r="O398" s="16"/>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row>
    <row r="399" spans="1:52" ht="63" customHeight="1">
      <c r="A399" s="20"/>
      <c r="B399" s="7"/>
      <c r="C399" s="7"/>
      <c r="D399" s="7"/>
      <c r="E399" s="7"/>
      <c r="F399" s="7"/>
      <c r="G399" s="25"/>
      <c r="H399" s="7"/>
      <c r="I399" s="7"/>
      <c r="J399" s="7"/>
      <c r="K399" s="7"/>
      <c r="L399" s="7"/>
      <c r="M399" s="7"/>
      <c r="N399" s="7"/>
      <c r="O399" s="16"/>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row>
    <row r="400" spans="1:52" ht="63" customHeight="1">
      <c r="A400" s="20"/>
      <c r="B400" s="7"/>
      <c r="C400" s="7"/>
      <c r="D400" s="7"/>
      <c r="E400" s="7"/>
      <c r="F400" s="7"/>
      <c r="G400" s="25"/>
      <c r="H400" s="7"/>
      <c r="I400" s="7"/>
      <c r="J400" s="7"/>
      <c r="K400" s="7"/>
      <c r="L400" s="7"/>
      <c r="M400" s="7"/>
      <c r="N400" s="7"/>
      <c r="O400" s="16"/>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row>
    <row r="401" spans="1:52" ht="63" customHeight="1">
      <c r="A401" s="20"/>
      <c r="B401" s="7"/>
      <c r="C401" s="7"/>
      <c r="D401" s="7"/>
      <c r="E401" s="7"/>
      <c r="F401" s="7"/>
      <c r="G401" s="25"/>
      <c r="H401" s="7"/>
      <c r="I401" s="7"/>
      <c r="J401" s="7"/>
      <c r="K401" s="7"/>
      <c r="L401" s="7"/>
      <c r="M401" s="7"/>
      <c r="N401" s="7"/>
      <c r="O401" s="16"/>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row>
    <row r="402" spans="1:52" ht="63" customHeight="1">
      <c r="A402" s="20"/>
      <c r="B402" s="7"/>
      <c r="C402" s="7"/>
      <c r="D402" s="7"/>
      <c r="E402" s="7"/>
      <c r="F402" s="7"/>
      <c r="G402" s="25"/>
      <c r="H402" s="7"/>
      <c r="I402" s="7"/>
      <c r="J402" s="7"/>
      <c r="K402" s="7"/>
      <c r="L402" s="7"/>
      <c r="M402" s="7"/>
      <c r="N402" s="7"/>
      <c r="O402" s="16"/>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row>
    <row r="403" spans="1:52" ht="63" customHeight="1">
      <c r="A403" s="20"/>
      <c r="B403" s="7"/>
      <c r="C403" s="7"/>
      <c r="D403" s="7"/>
      <c r="E403" s="7"/>
      <c r="F403" s="7"/>
      <c r="G403" s="25"/>
      <c r="H403" s="7"/>
      <c r="I403" s="7"/>
      <c r="J403" s="7"/>
      <c r="K403" s="7"/>
      <c r="L403" s="7"/>
      <c r="M403" s="7"/>
      <c r="N403" s="7"/>
      <c r="O403" s="16"/>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row>
    <row r="404" spans="1:52" ht="63" customHeight="1">
      <c r="A404" s="20"/>
      <c r="B404" s="7"/>
      <c r="C404" s="7"/>
      <c r="D404" s="7"/>
      <c r="E404" s="7"/>
      <c r="F404" s="7"/>
      <c r="G404" s="25"/>
      <c r="H404" s="7"/>
      <c r="I404" s="7"/>
      <c r="J404" s="7"/>
      <c r="K404" s="7"/>
      <c r="L404" s="7"/>
      <c r="M404" s="7"/>
      <c r="N404" s="7"/>
      <c r="O404" s="16"/>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row>
    <row r="405" spans="1:52" ht="63" customHeight="1">
      <c r="A405" s="20"/>
      <c r="B405" s="7"/>
      <c r="C405" s="7"/>
      <c r="D405" s="7"/>
      <c r="E405" s="7"/>
      <c r="F405" s="7"/>
      <c r="G405" s="25"/>
      <c r="H405" s="7"/>
      <c r="I405" s="7"/>
      <c r="J405" s="7"/>
      <c r="K405" s="7"/>
      <c r="L405" s="7"/>
      <c r="M405" s="7"/>
      <c r="N405" s="7"/>
      <c r="O405" s="16"/>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row>
    <row r="406" spans="1:52" ht="63" customHeight="1">
      <c r="A406" s="20"/>
      <c r="B406" s="7"/>
      <c r="C406" s="7"/>
      <c r="D406" s="7"/>
      <c r="E406" s="7"/>
      <c r="F406" s="7"/>
      <c r="G406" s="25"/>
      <c r="H406" s="7"/>
      <c r="I406" s="7"/>
      <c r="J406" s="7"/>
      <c r="K406" s="7"/>
      <c r="L406" s="7"/>
      <c r="M406" s="7"/>
      <c r="N406" s="7"/>
      <c r="O406" s="16"/>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row>
    <row r="407" spans="1:52" ht="63" customHeight="1">
      <c r="A407" s="20"/>
      <c r="B407" s="7"/>
      <c r="C407" s="7"/>
      <c r="D407" s="7"/>
      <c r="E407" s="7"/>
      <c r="F407" s="7"/>
      <c r="G407" s="25"/>
      <c r="H407" s="7"/>
      <c r="I407" s="7"/>
      <c r="J407" s="7"/>
      <c r="K407" s="7"/>
      <c r="L407" s="7"/>
      <c r="M407" s="7"/>
      <c r="N407" s="7"/>
      <c r="O407" s="16"/>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row>
    <row r="408" spans="1:52" ht="63" customHeight="1">
      <c r="A408" s="20"/>
      <c r="B408" s="7"/>
      <c r="C408" s="7"/>
      <c r="D408" s="7"/>
      <c r="E408" s="7"/>
      <c r="F408" s="7"/>
      <c r="G408" s="25"/>
      <c r="H408" s="7"/>
      <c r="I408" s="7"/>
      <c r="J408" s="7"/>
      <c r="K408" s="7"/>
      <c r="L408" s="7"/>
      <c r="M408" s="7"/>
      <c r="N408" s="7"/>
      <c r="O408" s="16"/>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row>
    <row r="409" spans="1:52" ht="63" customHeight="1">
      <c r="A409" s="20"/>
      <c r="B409" s="7"/>
      <c r="C409" s="7"/>
      <c r="D409" s="7"/>
      <c r="E409" s="7"/>
      <c r="F409" s="7"/>
      <c r="G409" s="25"/>
      <c r="H409" s="7"/>
      <c r="I409" s="7"/>
      <c r="J409" s="7"/>
      <c r="K409" s="7"/>
      <c r="L409" s="7"/>
      <c r="M409" s="7"/>
      <c r="N409" s="7"/>
      <c r="O409" s="16"/>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row>
    <row r="410" spans="1:52" ht="63" customHeight="1">
      <c r="A410" s="20"/>
      <c r="B410" s="7"/>
      <c r="C410" s="7"/>
      <c r="D410" s="7"/>
      <c r="E410" s="7"/>
      <c r="F410" s="7"/>
      <c r="G410" s="25"/>
      <c r="H410" s="7"/>
      <c r="I410" s="7"/>
      <c r="J410" s="7"/>
      <c r="K410" s="7"/>
      <c r="L410" s="7"/>
      <c r="M410" s="7"/>
      <c r="N410" s="7"/>
      <c r="O410" s="16"/>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row>
    <row r="411" spans="1:52" ht="63" customHeight="1">
      <c r="A411" s="20"/>
      <c r="B411" s="7"/>
      <c r="C411" s="7"/>
      <c r="D411" s="7"/>
      <c r="E411" s="7"/>
      <c r="F411" s="7"/>
      <c r="G411" s="25"/>
      <c r="H411" s="7"/>
      <c r="I411" s="7"/>
      <c r="J411" s="7"/>
      <c r="K411" s="7"/>
      <c r="L411" s="7"/>
      <c r="M411" s="7"/>
      <c r="N411" s="7"/>
      <c r="O411" s="16"/>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row>
    <row r="412" spans="1:52" ht="63" customHeight="1">
      <c r="A412" s="20"/>
      <c r="B412" s="7"/>
      <c r="C412" s="7"/>
      <c r="D412" s="7"/>
      <c r="E412" s="7"/>
      <c r="F412" s="7"/>
      <c r="G412" s="25"/>
      <c r="H412" s="7"/>
      <c r="I412" s="7"/>
      <c r="J412" s="7"/>
      <c r="K412" s="7"/>
      <c r="L412" s="7"/>
      <c r="M412" s="7"/>
      <c r="N412" s="7"/>
      <c r="O412" s="16"/>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row>
    <row r="413" spans="1:52" ht="63" customHeight="1">
      <c r="A413" s="20"/>
      <c r="B413" s="7"/>
      <c r="C413" s="7"/>
      <c r="D413" s="7"/>
      <c r="E413" s="7"/>
      <c r="F413" s="7"/>
      <c r="G413" s="25"/>
      <c r="H413" s="7"/>
      <c r="I413" s="7"/>
      <c r="J413" s="7"/>
      <c r="K413" s="7"/>
      <c r="L413" s="7"/>
      <c r="M413" s="7"/>
      <c r="N413" s="7"/>
      <c r="O413" s="16"/>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row>
    <row r="414" spans="1:52" ht="63" customHeight="1">
      <c r="A414" s="20"/>
      <c r="B414" s="7"/>
      <c r="C414" s="7"/>
      <c r="D414" s="7"/>
      <c r="E414" s="7"/>
      <c r="F414" s="7"/>
      <c r="G414" s="25"/>
      <c r="H414" s="7"/>
      <c r="I414" s="7"/>
      <c r="J414" s="7"/>
      <c r="K414" s="7"/>
      <c r="L414" s="7"/>
      <c r="M414" s="7"/>
      <c r="N414" s="7"/>
      <c r="O414" s="16"/>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row>
    <row r="415" spans="1:52" ht="63" customHeight="1">
      <c r="A415" s="20"/>
      <c r="B415" s="7"/>
      <c r="C415" s="7"/>
      <c r="D415" s="7"/>
      <c r="E415" s="7"/>
      <c r="F415" s="7"/>
      <c r="G415" s="25"/>
      <c r="H415" s="7"/>
      <c r="I415" s="7"/>
      <c r="J415" s="7"/>
      <c r="K415" s="7"/>
      <c r="L415" s="7"/>
      <c r="M415" s="7"/>
      <c r="N415" s="7"/>
      <c r="O415" s="16"/>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row>
    <row r="416" spans="1:52" ht="63" customHeight="1">
      <c r="A416" s="20"/>
      <c r="B416" s="7"/>
      <c r="C416" s="7"/>
      <c r="D416" s="7"/>
      <c r="E416" s="7"/>
      <c r="F416" s="7"/>
      <c r="G416" s="25"/>
      <c r="H416" s="7"/>
      <c r="I416" s="7"/>
      <c r="J416" s="7"/>
      <c r="K416" s="7"/>
      <c r="L416" s="7"/>
      <c r="M416" s="7"/>
      <c r="N416" s="7"/>
      <c r="O416" s="16"/>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row>
    <row r="417" spans="1:52" ht="63" customHeight="1">
      <c r="A417" s="20"/>
      <c r="B417" s="7"/>
      <c r="C417" s="7"/>
      <c r="D417" s="7"/>
      <c r="E417" s="7"/>
      <c r="F417" s="7"/>
      <c r="G417" s="25"/>
      <c r="H417" s="7"/>
      <c r="I417" s="7"/>
      <c r="J417" s="7"/>
      <c r="K417" s="7"/>
      <c r="L417" s="7"/>
      <c r="M417" s="7"/>
      <c r="N417" s="7"/>
      <c r="O417" s="16"/>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row>
    <row r="418" spans="1:52" ht="63" customHeight="1">
      <c r="A418" s="20"/>
      <c r="B418" s="7"/>
      <c r="C418" s="7"/>
      <c r="D418" s="7"/>
      <c r="E418" s="7"/>
      <c r="F418" s="7"/>
      <c r="G418" s="25"/>
      <c r="H418" s="7"/>
      <c r="I418" s="7"/>
      <c r="J418" s="7"/>
      <c r="K418" s="7"/>
      <c r="L418" s="7"/>
      <c r="M418" s="7"/>
      <c r="N418" s="7"/>
      <c r="O418" s="16"/>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row>
    <row r="419" spans="1:52" ht="63" customHeight="1">
      <c r="A419" s="20"/>
      <c r="B419" s="7"/>
      <c r="C419" s="7"/>
      <c r="D419" s="7"/>
      <c r="E419" s="7"/>
      <c r="F419" s="7"/>
      <c r="G419" s="25"/>
      <c r="H419" s="7"/>
      <c r="I419" s="7"/>
      <c r="J419" s="7"/>
      <c r="K419" s="7"/>
      <c r="L419" s="7"/>
      <c r="M419" s="7"/>
      <c r="N419" s="7"/>
      <c r="O419" s="16"/>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row>
    <row r="420" spans="1:52" ht="63" customHeight="1">
      <c r="A420" s="20"/>
      <c r="B420" s="7"/>
      <c r="C420" s="7"/>
      <c r="D420" s="7"/>
      <c r="E420" s="7"/>
      <c r="F420" s="7"/>
      <c r="G420" s="25"/>
      <c r="H420" s="7"/>
      <c r="I420" s="7"/>
      <c r="J420" s="7"/>
      <c r="K420" s="7"/>
      <c r="L420" s="7"/>
      <c r="M420" s="7"/>
      <c r="N420" s="7"/>
      <c r="O420" s="16"/>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row>
    <row r="421" spans="1:52" ht="63" customHeight="1">
      <c r="A421" s="20"/>
      <c r="B421" s="7"/>
      <c r="C421" s="7"/>
      <c r="D421" s="7"/>
      <c r="E421" s="7"/>
      <c r="F421" s="7"/>
      <c r="G421" s="25"/>
      <c r="H421" s="7"/>
      <c r="I421" s="7"/>
      <c r="J421" s="7"/>
      <c r="K421" s="7"/>
      <c r="L421" s="7"/>
      <c r="M421" s="7"/>
      <c r="N421" s="7"/>
      <c r="O421" s="16"/>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row>
    <row r="422" spans="1:52" ht="63" customHeight="1">
      <c r="A422" s="20"/>
      <c r="B422" s="7"/>
      <c r="C422" s="7"/>
      <c r="D422" s="7"/>
      <c r="E422" s="7"/>
      <c r="F422" s="7"/>
      <c r="G422" s="25"/>
      <c r="H422" s="7"/>
      <c r="I422" s="7"/>
      <c r="J422" s="7"/>
      <c r="K422" s="7"/>
      <c r="L422" s="7"/>
      <c r="M422" s="7"/>
      <c r="N422" s="7"/>
      <c r="O422" s="16"/>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row>
    <row r="423" spans="1:52" ht="63" customHeight="1">
      <c r="A423" s="20"/>
      <c r="B423" s="7"/>
      <c r="C423" s="7"/>
      <c r="D423" s="7"/>
      <c r="E423" s="7"/>
      <c r="F423" s="7"/>
      <c r="G423" s="25"/>
      <c r="H423" s="7"/>
      <c r="I423" s="7"/>
      <c r="J423" s="7"/>
      <c r="K423" s="7"/>
      <c r="L423" s="7"/>
      <c r="M423" s="7"/>
      <c r="N423" s="7"/>
      <c r="O423" s="16"/>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row>
    <row r="424" spans="1:52" ht="63" customHeight="1">
      <c r="A424" s="20"/>
      <c r="B424" s="7"/>
      <c r="C424" s="7"/>
      <c r="D424" s="7"/>
      <c r="E424" s="7"/>
      <c r="F424" s="7"/>
      <c r="G424" s="25"/>
      <c r="H424" s="7"/>
      <c r="I424" s="7"/>
      <c r="J424" s="7"/>
      <c r="K424" s="7"/>
      <c r="L424" s="7"/>
      <c r="M424" s="7"/>
      <c r="N424" s="7"/>
      <c r="O424" s="16"/>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row>
    <row r="425" spans="1:52" ht="63" customHeight="1">
      <c r="A425" s="20"/>
      <c r="B425" s="7"/>
      <c r="C425" s="7"/>
      <c r="D425" s="7"/>
      <c r="E425" s="7"/>
      <c r="F425" s="7"/>
      <c r="G425" s="25"/>
      <c r="H425" s="7"/>
      <c r="I425" s="7"/>
      <c r="J425" s="7"/>
      <c r="K425" s="7"/>
      <c r="L425" s="7"/>
      <c r="M425" s="7"/>
      <c r="N425" s="7"/>
      <c r="O425" s="16"/>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row>
    <row r="426" spans="1:52" ht="63" customHeight="1">
      <c r="A426" s="20"/>
      <c r="B426" s="7"/>
      <c r="C426" s="7"/>
      <c r="D426" s="7"/>
      <c r="E426" s="7"/>
      <c r="F426" s="7"/>
      <c r="G426" s="25"/>
      <c r="H426" s="7"/>
      <c r="I426" s="7"/>
      <c r="J426" s="7"/>
      <c r="K426" s="7"/>
      <c r="L426" s="7"/>
      <c r="M426" s="7"/>
      <c r="N426" s="7"/>
      <c r="O426" s="16"/>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row>
    <row r="427" spans="1:52" ht="63" customHeight="1">
      <c r="A427" s="20"/>
      <c r="B427" s="7"/>
      <c r="C427" s="7"/>
      <c r="D427" s="7"/>
      <c r="E427" s="7"/>
      <c r="F427" s="7"/>
      <c r="G427" s="25"/>
      <c r="H427" s="7"/>
      <c r="I427" s="7"/>
      <c r="J427" s="7"/>
      <c r="K427" s="7"/>
      <c r="L427" s="7"/>
      <c r="M427" s="7"/>
      <c r="N427" s="7"/>
      <c r="O427" s="16"/>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row>
    <row r="428" spans="1:52" ht="63" customHeight="1">
      <c r="A428" s="20"/>
      <c r="B428" s="7"/>
      <c r="C428" s="7"/>
      <c r="D428" s="7"/>
      <c r="E428" s="7"/>
      <c r="F428" s="7"/>
      <c r="G428" s="25"/>
      <c r="H428" s="7"/>
      <c r="I428" s="7"/>
      <c r="J428" s="7"/>
      <c r="K428" s="7"/>
      <c r="L428" s="7"/>
      <c r="M428" s="7"/>
      <c r="N428" s="7"/>
      <c r="O428" s="16"/>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row>
    <row r="429" spans="1:52" ht="63" customHeight="1">
      <c r="A429" s="20"/>
      <c r="B429" s="7"/>
      <c r="C429" s="7"/>
      <c r="D429" s="7"/>
      <c r="E429" s="7"/>
      <c r="F429" s="7"/>
      <c r="G429" s="25"/>
      <c r="H429" s="7"/>
      <c r="I429" s="7"/>
      <c r="J429" s="7"/>
      <c r="K429" s="7"/>
      <c r="L429" s="7"/>
      <c r="M429" s="7"/>
      <c r="N429" s="7"/>
      <c r="O429" s="16"/>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row>
    <row r="430" spans="1:52" ht="63" customHeight="1">
      <c r="A430" s="20"/>
      <c r="B430" s="7"/>
      <c r="C430" s="7"/>
      <c r="D430" s="7"/>
      <c r="E430" s="7"/>
      <c r="F430" s="7"/>
      <c r="G430" s="25"/>
      <c r="H430" s="7"/>
      <c r="I430" s="7"/>
      <c r="J430" s="7"/>
      <c r="K430" s="7"/>
      <c r="L430" s="7"/>
      <c r="M430" s="7"/>
      <c r="N430" s="7"/>
      <c r="O430" s="16"/>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row>
    <row r="431" spans="1:52" ht="63" customHeight="1">
      <c r="A431" s="20"/>
      <c r="B431" s="7"/>
      <c r="C431" s="7"/>
      <c r="D431" s="7"/>
      <c r="E431" s="7"/>
      <c r="F431" s="7"/>
      <c r="G431" s="25"/>
      <c r="H431" s="7"/>
      <c r="I431" s="7"/>
      <c r="J431" s="7"/>
      <c r="K431" s="7"/>
      <c r="L431" s="7"/>
      <c r="M431" s="7"/>
      <c r="N431" s="7"/>
      <c r="O431" s="16"/>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row>
    <row r="432" spans="1:52" ht="63" customHeight="1">
      <c r="A432" s="20"/>
      <c r="B432" s="7"/>
      <c r="C432" s="7"/>
      <c r="D432" s="7"/>
      <c r="E432" s="7"/>
      <c r="F432" s="7"/>
      <c r="G432" s="25"/>
      <c r="H432" s="7"/>
      <c r="I432" s="7"/>
      <c r="J432" s="7"/>
      <c r="K432" s="7"/>
      <c r="L432" s="7"/>
      <c r="M432" s="7"/>
      <c r="N432" s="7"/>
      <c r="O432" s="16"/>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row>
    <row r="433" spans="1:52" ht="63" customHeight="1">
      <c r="A433" s="20"/>
      <c r="B433" s="7"/>
      <c r="C433" s="7"/>
      <c r="D433" s="7"/>
      <c r="E433" s="7"/>
      <c r="F433" s="7"/>
      <c r="G433" s="25"/>
      <c r="H433" s="7"/>
      <c r="I433" s="7"/>
      <c r="J433" s="7"/>
      <c r="K433" s="7"/>
      <c r="L433" s="7"/>
      <c r="M433" s="7"/>
      <c r="N433" s="7"/>
      <c r="O433" s="16"/>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row>
    <row r="434" spans="1:52" ht="63" customHeight="1">
      <c r="A434" s="20"/>
      <c r="B434" s="7"/>
      <c r="C434" s="7"/>
      <c r="D434" s="7"/>
      <c r="E434" s="7"/>
      <c r="F434" s="7"/>
      <c r="G434" s="25"/>
      <c r="H434" s="7"/>
      <c r="I434" s="7"/>
      <c r="J434" s="7"/>
      <c r="K434" s="7"/>
      <c r="L434" s="7"/>
      <c r="M434" s="7"/>
      <c r="N434" s="7"/>
      <c r="O434" s="16"/>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row>
    <row r="435" spans="1:52" ht="63" customHeight="1">
      <c r="A435" s="20"/>
      <c r="B435" s="7"/>
      <c r="C435" s="7"/>
      <c r="D435" s="7"/>
      <c r="E435" s="7"/>
      <c r="F435" s="7"/>
      <c r="G435" s="25"/>
      <c r="H435" s="7"/>
      <c r="I435" s="7"/>
      <c r="J435" s="7"/>
      <c r="K435" s="7"/>
      <c r="L435" s="7"/>
      <c r="M435" s="7"/>
      <c r="N435" s="7"/>
      <c r="O435" s="16"/>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row>
    <row r="436" spans="1:52" ht="63" customHeight="1">
      <c r="A436" s="20"/>
      <c r="B436" s="7"/>
      <c r="C436" s="7"/>
      <c r="D436" s="7"/>
      <c r="E436" s="7"/>
      <c r="F436" s="7"/>
      <c r="G436" s="25"/>
      <c r="H436" s="7"/>
      <c r="I436" s="7"/>
      <c r="J436" s="7"/>
      <c r="K436" s="7"/>
      <c r="L436" s="7"/>
      <c r="M436" s="7"/>
      <c r="N436" s="7"/>
      <c r="O436" s="16"/>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row>
    <row r="437" spans="1:52" ht="63" customHeight="1">
      <c r="A437" s="20"/>
      <c r="B437" s="7"/>
      <c r="C437" s="7"/>
      <c r="D437" s="7"/>
      <c r="E437" s="7"/>
      <c r="F437" s="7"/>
      <c r="G437" s="25"/>
      <c r="H437" s="7"/>
      <c r="I437" s="7"/>
      <c r="J437" s="7"/>
      <c r="K437" s="7"/>
      <c r="L437" s="7"/>
      <c r="M437" s="7"/>
      <c r="N437" s="7"/>
      <c r="O437" s="16"/>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row>
    <row r="438" spans="1:52" ht="63" customHeight="1">
      <c r="A438" s="20"/>
      <c r="B438" s="7"/>
      <c r="C438" s="7"/>
      <c r="D438" s="7"/>
      <c r="E438" s="7"/>
      <c r="F438" s="7"/>
      <c r="G438" s="25"/>
      <c r="H438" s="7"/>
      <c r="I438" s="7"/>
      <c r="J438" s="7"/>
      <c r="K438" s="7"/>
      <c r="L438" s="7"/>
      <c r="M438" s="7"/>
      <c r="N438" s="7"/>
      <c r="O438" s="16"/>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row>
    <row r="439" spans="1:52" ht="63" customHeight="1">
      <c r="A439" s="20"/>
      <c r="B439" s="7"/>
      <c r="C439" s="7"/>
      <c r="D439" s="7"/>
      <c r="E439" s="7"/>
      <c r="F439" s="7"/>
      <c r="G439" s="25"/>
      <c r="H439" s="7"/>
      <c r="I439" s="7"/>
      <c r="J439" s="7"/>
      <c r="K439" s="7"/>
      <c r="L439" s="7"/>
      <c r="M439" s="7"/>
      <c r="N439" s="7"/>
      <c r="O439" s="16"/>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row>
    <row r="440" spans="1:52" ht="63" customHeight="1">
      <c r="A440" s="20"/>
      <c r="B440" s="7"/>
      <c r="C440" s="7"/>
      <c r="D440" s="7"/>
      <c r="E440" s="7"/>
      <c r="F440" s="7"/>
      <c r="G440" s="25"/>
      <c r="H440" s="7"/>
      <c r="I440" s="7"/>
      <c r="J440" s="7"/>
      <c r="K440" s="7"/>
      <c r="L440" s="7"/>
      <c r="M440" s="7"/>
      <c r="N440" s="7"/>
      <c r="O440" s="16"/>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row>
    <row r="441" spans="1:52" ht="63" customHeight="1">
      <c r="A441" s="20"/>
      <c r="B441" s="7"/>
      <c r="C441" s="7"/>
      <c r="D441" s="7"/>
      <c r="E441" s="7"/>
      <c r="F441" s="7"/>
      <c r="G441" s="25"/>
      <c r="H441" s="7"/>
      <c r="I441" s="7"/>
      <c r="J441" s="7"/>
      <c r="K441" s="7"/>
      <c r="L441" s="7"/>
      <c r="M441" s="7"/>
      <c r="N441" s="7"/>
      <c r="O441" s="16"/>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row>
    <row r="442" spans="1:52" ht="63" customHeight="1">
      <c r="A442" s="20"/>
      <c r="B442" s="7"/>
      <c r="C442" s="7"/>
      <c r="D442" s="7"/>
      <c r="E442" s="7"/>
      <c r="F442" s="7"/>
      <c r="G442" s="25"/>
      <c r="H442" s="7"/>
      <c r="I442" s="7"/>
      <c r="J442" s="7"/>
      <c r="K442" s="7"/>
      <c r="L442" s="7"/>
      <c r="M442" s="7"/>
      <c r="N442" s="7"/>
      <c r="O442" s="16"/>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row>
    <row r="443" spans="1:52" ht="63" customHeight="1">
      <c r="A443" s="20"/>
      <c r="B443" s="7"/>
      <c r="C443" s="7"/>
      <c r="D443" s="7"/>
      <c r="E443" s="7"/>
      <c r="F443" s="7"/>
      <c r="G443" s="25"/>
      <c r="H443" s="7"/>
      <c r="I443" s="7"/>
      <c r="J443" s="7"/>
      <c r="K443" s="7"/>
      <c r="L443" s="7"/>
      <c r="M443" s="7"/>
      <c r="N443" s="7"/>
      <c r="O443" s="16"/>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row>
    <row r="444" spans="1:52" ht="63" customHeight="1">
      <c r="A444" s="20"/>
      <c r="B444" s="7"/>
      <c r="C444" s="7"/>
      <c r="D444" s="7"/>
      <c r="E444" s="7"/>
      <c r="F444" s="7"/>
      <c r="G444" s="25"/>
      <c r="H444" s="7"/>
      <c r="I444" s="7"/>
      <c r="J444" s="7"/>
      <c r="K444" s="7"/>
      <c r="L444" s="7"/>
      <c r="M444" s="7"/>
      <c r="N444" s="7"/>
      <c r="O444" s="16"/>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row>
    <row r="445" spans="1:52" ht="63" customHeight="1">
      <c r="A445" s="20"/>
      <c r="B445" s="7"/>
      <c r="C445" s="7"/>
      <c r="D445" s="7"/>
      <c r="E445" s="7"/>
      <c r="F445" s="7"/>
      <c r="G445" s="25"/>
      <c r="H445" s="7"/>
      <c r="I445" s="7"/>
      <c r="J445" s="7"/>
      <c r="K445" s="7"/>
      <c r="L445" s="7"/>
      <c r="M445" s="7"/>
      <c r="N445" s="7"/>
      <c r="O445" s="16"/>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row>
    <row r="446" spans="1:52" ht="63" customHeight="1">
      <c r="A446" s="20"/>
      <c r="B446" s="7"/>
      <c r="C446" s="7"/>
      <c r="D446" s="7"/>
      <c r="E446" s="7"/>
      <c r="F446" s="7"/>
      <c r="G446" s="25"/>
      <c r="H446" s="7"/>
      <c r="I446" s="7"/>
      <c r="J446" s="7"/>
      <c r="K446" s="7"/>
      <c r="L446" s="7"/>
      <c r="M446" s="7"/>
      <c r="N446" s="7"/>
      <c r="O446" s="16"/>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row>
    <row r="447" spans="1:52" ht="63" customHeight="1">
      <c r="A447" s="20"/>
      <c r="B447" s="7"/>
      <c r="C447" s="7"/>
      <c r="D447" s="7"/>
      <c r="E447" s="7"/>
      <c r="F447" s="7"/>
      <c r="G447" s="25"/>
      <c r="H447" s="7"/>
      <c r="I447" s="7"/>
      <c r="J447" s="7"/>
      <c r="K447" s="7"/>
      <c r="L447" s="7"/>
      <c r="M447" s="7"/>
      <c r="N447" s="7"/>
      <c r="O447" s="16"/>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row>
    <row r="448" spans="1:52" ht="63" customHeight="1">
      <c r="A448" s="20"/>
      <c r="B448" s="7"/>
      <c r="C448" s="7"/>
      <c r="D448" s="7"/>
      <c r="E448" s="7"/>
      <c r="F448" s="7"/>
      <c r="G448" s="25"/>
      <c r="H448" s="7"/>
      <c r="I448" s="7"/>
      <c r="J448" s="7"/>
      <c r="K448" s="7"/>
      <c r="L448" s="7"/>
      <c r="M448" s="7"/>
      <c r="N448" s="7"/>
      <c r="O448" s="16"/>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row>
    <row r="449" spans="1:52" ht="63" customHeight="1">
      <c r="A449" s="20"/>
      <c r="B449" s="7"/>
      <c r="C449" s="7"/>
      <c r="D449" s="7"/>
      <c r="E449" s="7"/>
      <c r="F449" s="7"/>
      <c r="G449" s="25"/>
      <c r="H449" s="7"/>
      <c r="I449" s="7"/>
      <c r="J449" s="7"/>
      <c r="K449" s="7"/>
      <c r="L449" s="7"/>
      <c r="M449" s="7"/>
      <c r="N449" s="7"/>
      <c r="O449" s="16"/>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row>
    <row r="450" spans="1:52" ht="63" customHeight="1">
      <c r="A450" s="20"/>
      <c r="B450" s="7"/>
      <c r="C450" s="7"/>
      <c r="D450" s="7"/>
      <c r="E450" s="7"/>
      <c r="F450" s="7"/>
      <c r="G450" s="25"/>
      <c r="H450" s="7"/>
      <c r="I450" s="7"/>
      <c r="J450" s="7"/>
      <c r="K450" s="7"/>
      <c r="L450" s="7"/>
      <c r="M450" s="7"/>
      <c r="N450" s="7"/>
      <c r="O450" s="16"/>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row>
    <row r="451" spans="1:52" ht="63" customHeight="1">
      <c r="A451" s="20"/>
      <c r="B451" s="7"/>
      <c r="C451" s="7"/>
      <c r="D451" s="7"/>
      <c r="E451" s="7"/>
      <c r="F451" s="7"/>
      <c r="G451" s="25"/>
      <c r="H451" s="7"/>
      <c r="I451" s="7"/>
      <c r="J451" s="7"/>
      <c r="K451" s="7"/>
      <c r="L451" s="7"/>
      <c r="M451" s="7"/>
      <c r="N451" s="7"/>
      <c r="O451" s="16"/>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row>
    <row r="452" spans="1:52" ht="63" customHeight="1">
      <c r="A452" s="20"/>
      <c r="B452" s="7"/>
      <c r="C452" s="7"/>
      <c r="D452" s="7"/>
      <c r="E452" s="7"/>
      <c r="F452" s="7"/>
      <c r="G452" s="25"/>
      <c r="H452" s="7"/>
      <c r="I452" s="7"/>
      <c r="J452" s="7"/>
      <c r="K452" s="7"/>
      <c r="L452" s="7"/>
      <c r="M452" s="7"/>
      <c r="N452" s="7"/>
      <c r="O452" s="16"/>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row>
    <row r="453" spans="1:52" ht="63" customHeight="1">
      <c r="A453" s="20"/>
      <c r="B453" s="7"/>
      <c r="C453" s="7"/>
      <c r="D453" s="7"/>
      <c r="E453" s="7"/>
      <c r="F453" s="7"/>
      <c r="G453" s="25"/>
      <c r="H453" s="7"/>
      <c r="I453" s="7"/>
      <c r="J453" s="7"/>
      <c r="K453" s="7"/>
      <c r="L453" s="7"/>
      <c r="M453" s="7"/>
      <c r="N453" s="7"/>
      <c r="O453" s="16"/>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row>
    <row r="454" spans="1:52" ht="63" customHeight="1">
      <c r="A454" s="20"/>
      <c r="B454" s="7"/>
      <c r="C454" s="7"/>
      <c r="D454" s="7"/>
      <c r="E454" s="7"/>
      <c r="F454" s="7"/>
      <c r="G454" s="25"/>
      <c r="H454" s="7"/>
      <c r="I454" s="7"/>
      <c r="J454" s="7"/>
      <c r="K454" s="7"/>
      <c r="L454" s="7"/>
      <c r="M454" s="7"/>
      <c r="N454" s="7"/>
      <c r="O454" s="16"/>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row>
    <row r="455" spans="1:52" ht="63" customHeight="1">
      <c r="A455" s="20"/>
      <c r="B455" s="7"/>
      <c r="C455" s="7"/>
      <c r="D455" s="7"/>
      <c r="E455" s="7"/>
      <c r="F455" s="7"/>
      <c r="G455" s="25"/>
      <c r="H455" s="7"/>
      <c r="I455" s="7"/>
      <c r="J455" s="7"/>
      <c r="K455" s="7"/>
      <c r="L455" s="7"/>
      <c r="M455" s="7"/>
      <c r="N455" s="7"/>
      <c r="O455" s="16"/>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row>
    <row r="456" spans="1:52" ht="63" customHeight="1">
      <c r="A456" s="20"/>
      <c r="B456" s="7"/>
      <c r="C456" s="7"/>
      <c r="D456" s="7"/>
      <c r="E456" s="7"/>
      <c r="F456" s="7"/>
      <c r="G456" s="25"/>
      <c r="H456" s="7"/>
      <c r="I456" s="7"/>
      <c r="J456" s="7"/>
      <c r="K456" s="7"/>
      <c r="L456" s="7"/>
      <c r="M456" s="7"/>
      <c r="N456" s="7"/>
      <c r="O456" s="16"/>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row>
    <row r="457" spans="1:52" ht="63" customHeight="1">
      <c r="A457" s="20"/>
      <c r="B457" s="7"/>
      <c r="C457" s="7"/>
      <c r="D457" s="7"/>
      <c r="E457" s="7"/>
      <c r="F457" s="7"/>
      <c r="G457" s="25"/>
      <c r="H457" s="7"/>
      <c r="I457" s="7"/>
      <c r="J457" s="7"/>
      <c r="K457" s="7"/>
      <c r="L457" s="7"/>
      <c r="M457" s="7"/>
      <c r="N457" s="7"/>
      <c r="O457" s="16"/>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row>
    <row r="458" spans="1:52" ht="63" customHeight="1">
      <c r="A458" s="20"/>
      <c r="B458" s="7"/>
      <c r="C458" s="7"/>
      <c r="D458" s="7"/>
      <c r="E458" s="7"/>
      <c r="F458" s="7"/>
      <c r="G458" s="25"/>
      <c r="H458" s="7"/>
      <c r="I458" s="7"/>
      <c r="J458" s="7"/>
      <c r="K458" s="7"/>
      <c r="L458" s="7"/>
      <c r="M458" s="7"/>
      <c r="N458" s="7"/>
      <c r="O458" s="16"/>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row>
    <row r="459" spans="1:52" ht="15.75" customHeight="1"/>
    <row r="460" spans="1:52" ht="15.75" customHeight="1"/>
    <row r="461" spans="1:52" ht="15.75" customHeight="1"/>
    <row r="462" spans="1:52" ht="15.75" customHeight="1"/>
    <row r="463" spans="1:52" ht="15.75" customHeight="1"/>
    <row r="464" spans="1:52"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2:AZ458" xr:uid="{00000000-0009-0000-0000-000000000000}"/>
  <mergeCells count="2">
    <mergeCell ref="X1:Z1"/>
    <mergeCell ref="AA1:AC1"/>
  </mergeCells>
  <conditionalFormatting sqref="O1 O6 O19:O24 O30 O36 O38 O42 O83 O120 O137 O145:O146 O217 O225 O231 O243:O244 O250:O1002">
    <cfRule type="notContainsBlanks" dxfId="0" priority="1">
      <formula>LEN(TRIM(O1))&gt;0</formula>
    </cfRule>
  </conditionalFormatting>
  <hyperlinks>
    <hyperlink ref="J3" r:id="rId1" xr:uid="{00000000-0004-0000-0000-000000000000}"/>
    <hyperlink ref="I6" r:id="rId2" xr:uid="{00000000-0004-0000-0000-000001000000}"/>
    <hyperlink ref="J6" r:id="rId3" xr:uid="{00000000-0004-0000-0000-000002000000}"/>
    <hyperlink ref="J9" r:id="rId4" xr:uid="{00000000-0004-0000-0000-000003000000}"/>
    <hyperlink ref="J14" r:id="rId5" xr:uid="{00000000-0004-0000-0000-000004000000}"/>
    <hyperlink ref="J18" r:id="rId6" xr:uid="{00000000-0004-0000-0000-000005000000}"/>
    <hyperlink ref="I20" r:id="rId7" xr:uid="{00000000-0004-0000-0000-000006000000}"/>
    <hyperlink ref="J20" r:id="rId8" xr:uid="{00000000-0004-0000-0000-000007000000}"/>
    <hyperlink ref="J24" r:id="rId9" xr:uid="{00000000-0004-0000-0000-000008000000}"/>
    <hyperlink ref="I26" r:id="rId10" xr:uid="{00000000-0004-0000-0000-000009000000}"/>
    <hyperlink ref="J26" r:id="rId11" xr:uid="{00000000-0004-0000-0000-00000A000000}"/>
    <hyperlink ref="J27" r:id="rId12" xr:uid="{00000000-0004-0000-0000-00000B000000}"/>
    <hyperlink ref="I58" r:id="rId13" xr:uid="{00000000-0004-0000-0000-00000C000000}"/>
    <hyperlink ref="J58" r:id="rId14" xr:uid="{00000000-0004-0000-0000-00000D000000}"/>
    <hyperlink ref="J63" r:id="rId15" xr:uid="{00000000-0004-0000-0000-00000E000000}"/>
    <hyperlink ref="I65" r:id="rId16" xr:uid="{00000000-0004-0000-0000-00000F000000}"/>
    <hyperlink ref="J65" r:id="rId17" xr:uid="{00000000-0004-0000-0000-000010000000}"/>
    <hyperlink ref="J74" r:id="rId18" xr:uid="{00000000-0004-0000-0000-000011000000}"/>
    <hyperlink ref="J83" r:id="rId19" xr:uid="{00000000-0004-0000-0000-000012000000}"/>
    <hyperlink ref="J85" r:id="rId20" xr:uid="{00000000-0004-0000-0000-000013000000}"/>
    <hyperlink ref="J87" r:id="rId21" xr:uid="{00000000-0004-0000-0000-000014000000}"/>
    <hyperlink ref="J94" r:id="rId22" xr:uid="{00000000-0004-0000-0000-000015000000}"/>
    <hyperlink ref="I97" r:id="rId23" xr:uid="{00000000-0004-0000-0000-000016000000}"/>
    <hyperlink ref="J97" r:id="rId24" xr:uid="{00000000-0004-0000-0000-000017000000}"/>
    <hyperlink ref="J99" r:id="rId25" xr:uid="{00000000-0004-0000-0000-000018000000}"/>
    <hyperlink ref="J100" r:id="rId26" xr:uid="{00000000-0004-0000-0000-000019000000}"/>
    <hyperlink ref="J101" r:id="rId27" xr:uid="{00000000-0004-0000-0000-00001A000000}"/>
    <hyperlink ref="J102" r:id="rId28" xr:uid="{00000000-0004-0000-0000-00001B000000}"/>
    <hyperlink ref="J106" r:id="rId29" xr:uid="{00000000-0004-0000-0000-00001C000000}"/>
    <hyperlink ref="I112" r:id="rId30" xr:uid="{00000000-0004-0000-0000-00001D000000}"/>
    <hyperlink ref="I114" r:id="rId31" xr:uid="{00000000-0004-0000-0000-00001E000000}"/>
    <hyperlink ref="J115" r:id="rId32" xr:uid="{00000000-0004-0000-0000-00001F000000}"/>
    <hyperlink ref="I122" r:id="rId33" xr:uid="{00000000-0004-0000-0000-000020000000}"/>
    <hyperlink ref="I139" r:id="rId34" xr:uid="{00000000-0004-0000-0000-000021000000}"/>
    <hyperlink ref="J141" r:id="rId35" xr:uid="{00000000-0004-0000-0000-000022000000}"/>
    <hyperlink ref="J142" r:id="rId36" xr:uid="{00000000-0004-0000-0000-000023000000}"/>
    <hyperlink ref="J146" r:id="rId37" xr:uid="{00000000-0004-0000-0000-000024000000}"/>
    <hyperlink ref="J147" r:id="rId38" xr:uid="{00000000-0004-0000-0000-000025000000}"/>
    <hyperlink ref="J150" r:id="rId39" xr:uid="{00000000-0004-0000-0000-000026000000}"/>
    <hyperlink ref="I155" r:id="rId40" xr:uid="{00000000-0004-0000-0000-000027000000}"/>
    <hyperlink ref="J155" r:id="rId41" xr:uid="{00000000-0004-0000-0000-000028000000}"/>
    <hyperlink ref="J158" r:id="rId42" xr:uid="{00000000-0004-0000-0000-000029000000}"/>
    <hyperlink ref="J159" r:id="rId43" xr:uid="{00000000-0004-0000-0000-00002A000000}"/>
    <hyperlink ref="I161" r:id="rId44" xr:uid="{00000000-0004-0000-0000-00002B000000}"/>
    <hyperlink ref="I169" r:id="rId45" xr:uid="{00000000-0004-0000-0000-00002C000000}"/>
    <hyperlink ref="J169" r:id="rId46" xr:uid="{00000000-0004-0000-0000-00002D000000}"/>
    <hyperlink ref="I171" r:id="rId47" xr:uid="{00000000-0004-0000-0000-00002E000000}"/>
    <hyperlink ref="J171" r:id="rId48" xr:uid="{00000000-0004-0000-0000-00002F000000}"/>
    <hyperlink ref="J184" r:id="rId49" xr:uid="{00000000-0004-0000-0000-000030000000}"/>
    <hyperlink ref="I188" r:id="rId50" xr:uid="{00000000-0004-0000-0000-000031000000}"/>
    <hyperlink ref="I191" r:id="rId51" xr:uid="{00000000-0004-0000-0000-000032000000}"/>
    <hyperlink ref="J194" r:id="rId52" xr:uid="{00000000-0004-0000-0000-000033000000}"/>
    <hyperlink ref="I196" r:id="rId53" xr:uid="{00000000-0004-0000-0000-000034000000}"/>
    <hyperlink ref="I201" r:id="rId54" xr:uid="{00000000-0004-0000-0000-000035000000}"/>
    <hyperlink ref="J201" r:id="rId55" xr:uid="{00000000-0004-0000-0000-000036000000}"/>
    <hyperlink ref="I206" r:id="rId56" xr:uid="{00000000-0004-0000-0000-000037000000}"/>
    <hyperlink ref="J208" r:id="rId57" xr:uid="{00000000-0004-0000-0000-000038000000}"/>
    <hyperlink ref="J213" r:id="rId58" xr:uid="{00000000-0004-0000-0000-000039000000}"/>
    <hyperlink ref="J216" r:id="rId59" xr:uid="{00000000-0004-0000-0000-00003A000000}"/>
    <hyperlink ref="J221" r:id="rId60" xr:uid="{00000000-0004-0000-0000-00003B000000}"/>
    <hyperlink ref="I225" r:id="rId61" xr:uid="{00000000-0004-0000-0000-00003C000000}"/>
    <hyperlink ref="J225" r:id="rId62" xr:uid="{00000000-0004-0000-0000-00003D000000}"/>
    <hyperlink ref="J229" r:id="rId63" xr:uid="{00000000-0004-0000-0000-00003E000000}"/>
    <hyperlink ref="J232" r:id="rId64" xr:uid="{00000000-0004-0000-0000-00003F000000}"/>
    <hyperlink ref="J240" r:id="rId65" xr:uid="{00000000-0004-0000-0000-000040000000}"/>
    <hyperlink ref="I241" r:id="rId66" xr:uid="{00000000-0004-0000-0000-000041000000}"/>
    <hyperlink ref="J243" r:id="rId67" xr:uid="{00000000-0004-0000-0000-000042000000}"/>
  </hyperlinks>
  <printOptions horizontalCentered="1" gridLines="1"/>
  <pageMargins left="0.25" right="0.25" top="0.75" bottom="0.7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 publication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2020-07-21T16:12:13Z</dcterms:created>
  <dcterms:modified xsi:type="dcterms:W3CDTF">2020-07-22T12:45:01Z</dcterms:modified>
</cp:coreProperties>
</file>