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66925"/>
  <xr:revisionPtr revIDLastSave="0" documentId="10_ncr:100000_{8C26C713-D44B-459F-88C8-CA9B1D54B643}" xr6:coauthVersionLast="31" xr6:coauthVersionMax="31" xr10:uidLastSave="{00000000-0000-0000-0000-000000000000}"/>
  <workbookProtection workbookAlgorithmName="SHA-512" workbookHashValue="DjhloqC4+c8yFn2PP+vKB56l6iM4nYzK85oEYit0ClzW4VBOP0vONhX23qYXwUWTSZmXEx0TMWZ7bJtAsJXwzQ==" workbookSaltValue="qXWAjffWT98cJZLbuHo5Ng==" workbookSpinCount="100000" lockStructure="1"/>
  <bookViews>
    <workbookView xWindow="0" yWindow="0" windowWidth="20160" windowHeight="7850" firstSheet="9" activeTab="9" xr2:uid="{A89AA9FC-6161-4C06-9CE6-DC5D898B0357}"/>
  </bookViews>
  <sheets>
    <sheet name="(2010-11)" sheetId="4" state="hidden" r:id="rId1"/>
    <sheet name="(2011-12)" sheetId="6" state="hidden" r:id="rId2"/>
    <sheet name="(2012-13)" sheetId="7" state="hidden" r:id="rId3"/>
    <sheet name="(2013-14)" sheetId="8" state="hidden" r:id="rId4"/>
    <sheet name="(2014-15)" sheetId="9" state="hidden" r:id="rId5"/>
    <sheet name="(2015-16)" sheetId="10" state="hidden" r:id="rId6"/>
    <sheet name="(2016-17)" sheetId="11" state="hidden" r:id="rId7"/>
    <sheet name="(2017-18)" sheetId="12" state="hidden" r:id="rId8"/>
    <sheet name="FIRE1402_working" sheetId="3" state="hidden" r:id="rId9"/>
    <sheet name="FIRE1402" sheetId="2" r:id="rId10"/>
    <sheet name="FRS geographical categories" sheetId="5" r:id="rId11"/>
  </sheets>
  <definedNames>
    <definedName name="_xlnm._FilterDatabase" localSheetId="10" hidden="1">'FRS geographical categories'!$A$1:$C$46</definedName>
    <definedName name="FRS_geog_cats">'FRS geographical categories'!$A$1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E56" i="3"/>
  <c r="F51" i="3"/>
  <c r="C53" i="3"/>
  <c r="F52" i="3"/>
  <c r="B50" i="3"/>
  <c r="C51" i="3"/>
  <c r="E20" i="3"/>
  <c r="H20" i="3"/>
  <c r="B55" i="3"/>
  <c r="E55" i="3"/>
  <c r="B51" i="3"/>
  <c r="F49" i="3"/>
  <c r="E54" i="3"/>
  <c r="C20" i="3"/>
  <c r="F57" i="3"/>
  <c r="B56" i="3"/>
  <c r="B57" i="3"/>
  <c r="F55" i="3"/>
  <c r="E57" i="3"/>
  <c r="C49" i="3"/>
  <c r="C54" i="3"/>
  <c r="C58" i="3"/>
  <c r="F54" i="3"/>
  <c r="E50" i="3"/>
  <c r="H58" i="3"/>
  <c r="B53" i="3"/>
  <c r="F20" i="3"/>
  <c r="F58" i="3"/>
  <c r="C56" i="3"/>
  <c r="H57" i="3"/>
  <c r="E52" i="3"/>
  <c r="B49" i="3"/>
  <c r="B54" i="3"/>
  <c r="C50" i="3"/>
  <c r="H56" i="3"/>
  <c r="H51" i="3"/>
  <c r="E49" i="3"/>
  <c r="E53" i="3"/>
  <c r="H49" i="3"/>
  <c r="H53" i="3"/>
  <c r="B20" i="3"/>
  <c r="H55" i="3"/>
  <c r="H52" i="3"/>
  <c r="F50" i="3"/>
  <c r="E51" i="3"/>
  <c r="F56" i="3"/>
  <c r="C57" i="3"/>
  <c r="E58" i="3"/>
  <c r="F53" i="3"/>
  <c r="C55" i="3"/>
  <c r="B58" i="3"/>
  <c r="C52" i="3"/>
  <c r="H50" i="3"/>
  <c r="H54" i="3"/>
  <c r="B52" i="3"/>
  <c r="B55" i="2" l="1"/>
  <c r="B52" i="2"/>
  <c r="B56" i="2"/>
  <c r="B51" i="2"/>
  <c r="B53" i="2"/>
  <c r="B57" i="2"/>
  <c r="B50" i="2"/>
  <c r="B54" i="2"/>
  <c r="B58" i="2"/>
  <c r="C53" i="2"/>
  <c r="C57" i="2"/>
  <c r="C50" i="2"/>
  <c r="C54" i="2"/>
  <c r="C58" i="2"/>
  <c r="C51" i="2"/>
  <c r="C55" i="2"/>
  <c r="C52" i="2"/>
  <c r="C56" i="2"/>
  <c r="E53" i="2"/>
  <c r="E57" i="2"/>
  <c r="E50" i="2"/>
  <c r="E54" i="2"/>
  <c r="E58" i="2"/>
  <c r="E51" i="2"/>
  <c r="E55" i="2"/>
  <c r="E52" i="2"/>
  <c r="E56" i="2"/>
  <c r="F53" i="2"/>
  <c r="F57" i="2"/>
  <c r="F50" i="2"/>
  <c r="F54" i="2"/>
  <c r="F58" i="2"/>
  <c r="F51" i="2"/>
  <c r="F55" i="2"/>
  <c r="F52" i="2"/>
  <c r="F56" i="2"/>
  <c r="H50" i="2"/>
  <c r="H54" i="2"/>
  <c r="H58" i="2"/>
  <c r="H51" i="2"/>
  <c r="H55" i="2"/>
  <c r="H52" i="2"/>
  <c r="H56" i="2"/>
  <c r="H53" i="2"/>
  <c r="H57" i="2"/>
  <c r="B49" i="2"/>
  <c r="C49" i="2"/>
  <c r="E49" i="2"/>
  <c r="F49" i="2"/>
  <c r="H49" i="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H8" i="12"/>
  <c r="B8" i="12"/>
  <c r="J16" i="12"/>
  <c r="I16" i="12"/>
  <c r="J15" i="12"/>
  <c r="H10" i="12" s="1"/>
  <c r="I15" i="12"/>
  <c r="E8" i="12"/>
  <c r="J14" i="12"/>
  <c r="I14" i="12"/>
  <c r="C13" i="12" s="1"/>
  <c r="F9" i="12"/>
  <c r="C9" i="12"/>
  <c r="E13" i="12"/>
  <c r="F12" i="12"/>
  <c r="H11" i="12"/>
  <c r="B11" i="12"/>
  <c r="C10" i="12"/>
  <c r="E9" i="12"/>
  <c r="F8" i="12"/>
  <c r="F65" i="12" s="1"/>
  <c r="E13" i="11"/>
  <c r="E9" i="11"/>
  <c r="F8" i="11"/>
  <c r="F65" i="11" s="1"/>
  <c r="C9" i="11"/>
  <c r="J58" i="11"/>
  <c r="I58" i="11"/>
  <c r="J57" i="11"/>
  <c r="I57" i="11"/>
  <c r="J56" i="11"/>
  <c r="I56" i="11"/>
  <c r="J55" i="11"/>
  <c r="I55" i="11"/>
  <c r="J54" i="11"/>
  <c r="I54" i="11"/>
  <c r="J53" i="11"/>
  <c r="I53" i="11"/>
  <c r="J52" i="11"/>
  <c r="I52" i="11"/>
  <c r="J51" i="11"/>
  <c r="I51" i="11"/>
  <c r="J50" i="11"/>
  <c r="I50" i="11"/>
  <c r="J49" i="11"/>
  <c r="I49" i="11"/>
  <c r="J48" i="11"/>
  <c r="I48" i="11"/>
  <c r="J47" i="11"/>
  <c r="I47" i="11"/>
  <c r="J46" i="11"/>
  <c r="I46" i="11"/>
  <c r="J45" i="11"/>
  <c r="I45" i="11"/>
  <c r="J44" i="11"/>
  <c r="I44" i="11"/>
  <c r="J43" i="11"/>
  <c r="I43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J32" i="11"/>
  <c r="I32" i="11"/>
  <c r="J31" i="11"/>
  <c r="I31" i="11"/>
  <c r="J30" i="11"/>
  <c r="I30" i="11"/>
  <c r="J29" i="11"/>
  <c r="I29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15" i="11"/>
  <c r="I15" i="11"/>
  <c r="J14" i="11"/>
  <c r="I14" i="11"/>
  <c r="H11" i="11"/>
  <c r="C10" i="10"/>
  <c r="J58" i="10"/>
  <c r="I58" i="10"/>
  <c r="J57" i="10"/>
  <c r="I57" i="10"/>
  <c r="J56" i="10"/>
  <c r="I56" i="10"/>
  <c r="J55" i="10"/>
  <c r="I55" i="10"/>
  <c r="J54" i="10"/>
  <c r="I54" i="10"/>
  <c r="J53" i="10"/>
  <c r="I53" i="10"/>
  <c r="J52" i="10"/>
  <c r="I52" i="10"/>
  <c r="J51" i="10"/>
  <c r="I51" i="10"/>
  <c r="J50" i="10"/>
  <c r="I50" i="10"/>
  <c r="J49" i="10"/>
  <c r="I49" i="10"/>
  <c r="J48" i="10"/>
  <c r="I48" i="10"/>
  <c r="J47" i="10"/>
  <c r="I47" i="10"/>
  <c r="J46" i="10"/>
  <c r="I46" i="10"/>
  <c r="J45" i="10"/>
  <c r="I45" i="10"/>
  <c r="J44" i="10"/>
  <c r="I44" i="10"/>
  <c r="J43" i="10"/>
  <c r="I43" i="10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  <c r="J35" i="10"/>
  <c r="I35" i="10"/>
  <c r="J34" i="10"/>
  <c r="I34" i="10"/>
  <c r="J33" i="10"/>
  <c r="I33" i="10"/>
  <c r="J32" i="10"/>
  <c r="I32" i="10"/>
  <c r="J31" i="10"/>
  <c r="I31" i="10"/>
  <c r="J30" i="10"/>
  <c r="I30" i="10"/>
  <c r="J29" i="10"/>
  <c r="I29" i="10"/>
  <c r="J28" i="10"/>
  <c r="I28" i="10"/>
  <c r="J27" i="10"/>
  <c r="I27" i="10"/>
  <c r="J26" i="10"/>
  <c r="I26" i="10"/>
  <c r="J25" i="10"/>
  <c r="I25" i="10"/>
  <c r="J24" i="10"/>
  <c r="I24" i="10"/>
  <c r="J23" i="10"/>
  <c r="I23" i="10"/>
  <c r="J22" i="10"/>
  <c r="I22" i="10"/>
  <c r="J21" i="10"/>
  <c r="I21" i="10"/>
  <c r="J20" i="10"/>
  <c r="I20" i="10"/>
  <c r="J19" i="10"/>
  <c r="I19" i="10"/>
  <c r="J18" i="10"/>
  <c r="I18" i="10"/>
  <c r="J17" i="10"/>
  <c r="I17" i="10"/>
  <c r="J16" i="10"/>
  <c r="I16" i="10"/>
  <c r="J15" i="10"/>
  <c r="I15" i="10"/>
  <c r="J14" i="10"/>
  <c r="I14" i="10"/>
  <c r="E13" i="9"/>
  <c r="J58" i="9"/>
  <c r="I58" i="9"/>
  <c r="J57" i="9"/>
  <c r="I57" i="9"/>
  <c r="J56" i="9"/>
  <c r="I56" i="9"/>
  <c r="J55" i="9"/>
  <c r="I55" i="9"/>
  <c r="J54" i="9"/>
  <c r="I54" i="9"/>
  <c r="J53" i="9"/>
  <c r="I53" i="9"/>
  <c r="J52" i="9"/>
  <c r="I52" i="9"/>
  <c r="J51" i="9"/>
  <c r="I51" i="9"/>
  <c r="J50" i="9"/>
  <c r="I50" i="9"/>
  <c r="J49" i="9"/>
  <c r="I49" i="9"/>
  <c r="J48" i="9"/>
  <c r="I48" i="9"/>
  <c r="J47" i="9"/>
  <c r="I47" i="9"/>
  <c r="J46" i="9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I39" i="9"/>
  <c r="J38" i="9"/>
  <c r="I38" i="9"/>
  <c r="J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7" i="9"/>
  <c r="I27" i="9"/>
  <c r="J26" i="9"/>
  <c r="I26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8" i="9"/>
  <c r="I18" i="9"/>
  <c r="J17" i="9"/>
  <c r="I17" i="9"/>
  <c r="J16" i="9"/>
  <c r="I16" i="9"/>
  <c r="J15" i="9"/>
  <c r="I15" i="9"/>
  <c r="J14" i="9"/>
  <c r="I14" i="9"/>
  <c r="J58" i="8"/>
  <c r="I58" i="8"/>
  <c r="J57" i="8"/>
  <c r="I57" i="8"/>
  <c r="J56" i="8"/>
  <c r="I56" i="8"/>
  <c r="J55" i="8"/>
  <c r="I55" i="8"/>
  <c r="J54" i="8"/>
  <c r="I54" i="8"/>
  <c r="J53" i="8"/>
  <c r="I53" i="8"/>
  <c r="J52" i="8"/>
  <c r="I52" i="8"/>
  <c r="J51" i="8"/>
  <c r="I51" i="8"/>
  <c r="J50" i="8"/>
  <c r="I50" i="8"/>
  <c r="J49" i="8"/>
  <c r="I49" i="8"/>
  <c r="J48" i="8"/>
  <c r="I48" i="8"/>
  <c r="J47" i="8"/>
  <c r="I47" i="8"/>
  <c r="J46" i="8"/>
  <c r="I46" i="8"/>
  <c r="J45" i="8"/>
  <c r="I45" i="8"/>
  <c r="J44" i="8"/>
  <c r="I44" i="8"/>
  <c r="J43" i="8"/>
  <c r="I43" i="8"/>
  <c r="J42" i="8"/>
  <c r="I42" i="8"/>
  <c r="J41" i="8"/>
  <c r="I41" i="8"/>
  <c r="J40" i="8"/>
  <c r="I40" i="8"/>
  <c r="J39" i="8"/>
  <c r="I39" i="8"/>
  <c r="J38" i="8"/>
  <c r="I38" i="8"/>
  <c r="J37" i="8"/>
  <c r="I37" i="8"/>
  <c r="J36" i="8"/>
  <c r="I36" i="8"/>
  <c r="J35" i="8"/>
  <c r="I35" i="8"/>
  <c r="J34" i="8"/>
  <c r="I34" i="8"/>
  <c r="J33" i="8"/>
  <c r="I33" i="8"/>
  <c r="J32" i="8"/>
  <c r="I32" i="8"/>
  <c r="J31" i="8"/>
  <c r="I31" i="8"/>
  <c r="J30" i="8"/>
  <c r="I30" i="8"/>
  <c r="J29" i="8"/>
  <c r="I29" i="8"/>
  <c r="J28" i="8"/>
  <c r="I28" i="8"/>
  <c r="J27" i="8"/>
  <c r="I27" i="8"/>
  <c r="J26" i="8"/>
  <c r="I26" i="8"/>
  <c r="J25" i="8"/>
  <c r="I25" i="8"/>
  <c r="J24" i="8"/>
  <c r="I24" i="8"/>
  <c r="J23" i="8"/>
  <c r="I23" i="8"/>
  <c r="J22" i="8"/>
  <c r="I22" i="8"/>
  <c r="J21" i="8"/>
  <c r="I21" i="8"/>
  <c r="J20" i="8"/>
  <c r="I20" i="8"/>
  <c r="J19" i="8"/>
  <c r="I19" i="8"/>
  <c r="J18" i="8"/>
  <c r="I18" i="8"/>
  <c r="J17" i="8"/>
  <c r="I17" i="8"/>
  <c r="J16" i="8"/>
  <c r="I16" i="8"/>
  <c r="J15" i="8"/>
  <c r="I15" i="8"/>
  <c r="J14" i="8"/>
  <c r="I14" i="8"/>
  <c r="F8" i="7"/>
  <c r="F65" i="7" s="1"/>
  <c r="J58" i="7"/>
  <c r="I58" i="7"/>
  <c r="J57" i="7"/>
  <c r="I57" i="7"/>
  <c r="J56" i="7"/>
  <c r="I56" i="7"/>
  <c r="J55" i="7"/>
  <c r="I55" i="7"/>
  <c r="J54" i="7"/>
  <c r="I54" i="7"/>
  <c r="J53" i="7"/>
  <c r="I53" i="7"/>
  <c r="J52" i="7"/>
  <c r="I52" i="7"/>
  <c r="J51" i="7"/>
  <c r="I51" i="7"/>
  <c r="J50" i="7"/>
  <c r="I50" i="7"/>
  <c r="J49" i="7"/>
  <c r="I49" i="7"/>
  <c r="J48" i="7"/>
  <c r="I48" i="7"/>
  <c r="J47" i="7"/>
  <c r="I47" i="7"/>
  <c r="J46" i="7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  <c r="J31" i="7"/>
  <c r="I31" i="7"/>
  <c r="J30" i="7"/>
  <c r="I30" i="7"/>
  <c r="J29" i="7"/>
  <c r="I29" i="7"/>
  <c r="J28" i="7"/>
  <c r="I28" i="7"/>
  <c r="J27" i="7"/>
  <c r="I27" i="7"/>
  <c r="J26" i="7"/>
  <c r="I26" i="7"/>
  <c r="J25" i="7"/>
  <c r="I25" i="7"/>
  <c r="J24" i="7"/>
  <c r="I24" i="7"/>
  <c r="J23" i="7"/>
  <c r="I23" i="7"/>
  <c r="J22" i="7"/>
  <c r="I22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F8" i="6"/>
  <c r="F65" i="6" s="1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9" i="6"/>
  <c r="I49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9" i="6"/>
  <c r="I39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9" i="6"/>
  <c r="I29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B8" i="9" l="1"/>
  <c r="F12" i="7"/>
  <c r="C10" i="8"/>
  <c r="H10" i="9"/>
  <c r="H8" i="9"/>
  <c r="F9" i="9"/>
  <c r="F12" i="6"/>
  <c r="E13" i="7"/>
  <c r="C10" i="7"/>
  <c r="H10" i="8"/>
  <c r="C68" i="12"/>
  <c r="E65" i="12"/>
  <c r="B65" i="12"/>
  <c r="H65" i="12"/>
  <c r="E10" i="12"/>
  <c r="E68" i="12" s="1"/>
  <c r="C11" i="12"/>
  <c r="B12" i="12"/>
  <c r="H12" i="12"/>
  <c r="F13" i="12"/>
  <c r="C8" i="12"/>
  <c r="B9" i="12"/>
  <c r="H9" i="12"/>
  <c r="F10" i="12"/>
  <c r="E11" i="12"/>
  <c r="C12" i="12"/>
  <c r="B13" i="12"/>
  <c r="H13" i="12"/>
  <c r="B10" i="12"/>
  <c r="F11" i="12"/>
  <c r="E12" i="12"/>
  <c r="C10" i="11"/>
  <c r="C13" i="11"/>
  <c r="B11" i="11"/>
  <c r="H8" i="11"/>
  <c r="H65" i="11" s="1"/>
  <c r="F12" i="11"/>
  <c r="E8" i="11"/>
  <c r="H10" i="11"/>
  <c r="B8" i="11"/>
  <c r="B65" i="11" s="1"/>
  <c r="C68" i="11"/>
  <c r="E65" i="11"/>
  <c r="F9" i="11"/>
  <c r="E10" i="11"/>
  <c r="C11" i="11"/>
  <c r="B12" i="11"/>
  <c r="H12" i="11"/>
  <c r="F13" i="11"/>
  <c r="C8" i="11"/>
  <c r="B9" i="11"/>
  <c r="H9" i="11"/>
  <c r="H63" i="11" s="1"/>
  <c r="F10" i="11"/>
  <c r="E11" i="11"/>
  <c r="C12" i="11"/>
  <c r="B13" i="11"/>
  <c r="H13" i="11"/>
  <c r="B10" i="11"/>
  <c r="F11" i="11"/>
  <c r="E12" i="11"/>
  <c r="E13" i="10"/>
  <c r="F12" i="10"/>
  <c r="C9" i="10"/>
  <c r="C68" i="10" s="1"/>
  <c r="B8" i="10"/>
  <c r="H8" i="10"/>
  <c r="F8" i="10"/>
  <c r="F65" i="10" s="1"/>
  <c r="E9" i="10"/>
  <c r="B11" i="10"/>
  <c r="H11" i="10"/>
  <c r="H10" i="10"/>
  <c r="H63" i="10" s="1"/>
  <c r="E8" i="10"/>
  <c r="E65" i="10" s="1"/>
  <c r="C13" i="10"/>
  <c r="H65" i="10"/>
  <c r="B65" i="10"/>
  <c r="F9" i="10"/>
  <c r="E10" i="10"/>
  <c r="C11" i="10"/>
  <c r="B12" i="10"/>
  <c r="H12" i="10"/>
  <c r="F13" i="10"/>
  <c r="C8" i="10"/>
  <c r="B9" i="10"/>
  <c r="H9" i="10"/>
  <c r="F10" i="10"/>
  <c r="E11" i="10"/>
  <c r="C12" i="10"/>
  <c r="B13" i="10"/>
  <c r="H13" i="10"/>
  <c r="H70" i="10" s="1"/>
  <c r="B10" i="10"/>
  <c r="F11" i="10"/>
  <c r="E12" i="10"/>
  <c r="C13" i="9"/>
  <c r="E8" i="9"/>
  <c r="B11" i="9"/>
  <c r="F12" i="9"/>
  <c r="C10" i="9"/>
  <c r="E9" i="9"/>
  <c r="F8" i="9"/>
  <c r="F65" i="9" s="1"/>
  <c r="C9" i="9"/>
  <c r="H11" i="9"/>
  <c r="E65" i="9"/>
  <c r="B65" i="9"/>
  <c r="H65" i="9"/>
  <c r="E10" i="9"/>
  <c r="C11" i="9"/>
  <c r="B12" i="9"/>
  <c r="H12" i="9"/>
  <c r="F13" i="9"/>
  <c r="C8" i="9"/>
  <c r="B9" i="9"/>
  <c r="H9" i="9"/>
  <c r="F10" i="9"/>
  <c r="E11" i="9"/>
  <c r="E70" i="9" s="1"/>
  <c r="C12" i="9"/>
  <c r="B13" i="9"/>
  <c r="H13" i="9"/>
  <c r="B10" i="9"/>
  <c r="F11" i="9"/>
  <c r="E12" i="9"/>
  <c r="E9" i="8"/>
  <c r="H11" i="8"/>
  <c r="F12" i="8"/>
  <c r="E13" i="8"/>
  <c r="C8" i="8"/>
  <c r="B8" i="8"/>
  <c r="B65" i="8" s="1"/>
  <c r="H8" i="8"/>
  <c r="H65" i="8" s="1"/>
  <c r="F8" i="8"/>
  <c r="F65" i="8" s="1"/>
  <c r="B11" i="8"/>
  <c r="E8" i="8"/>
  <c r="E65" i="8" s="1"/>
  <c r="F9" i="8"/>
  <c r="C13" i="8"/>
  <c r="C65" i="8"/>
  <c r="E10" i="8"/>
  <c r="B12" i="8"/>
  <c r="H12" i="8"/>
  <c r="B9" i="8"/>
  <c r="F10" i="8"/>
  <c r="E11" i="8"/>
  <c r="C12" i="8"/>
  <c r="B13" i="8"/>
  <c r="H13" i="8"/>
  <c r="C11" i="8"/>
  <c r="F13" i="8"/>
  <c r="H9" i="8"/>
  <c r="C9" i="8"/>
  <c r="C63" i="8" s="1"/>
  <c r="B10" i="8"/>
  <c r="F11" i="8"/>
  <c r="E12" i="8"/>
  <c r="E8" i="7"/>
  <c r="E65" i="7" s="1"/>
  <c r="C9" i="7"/>
  <c r="B8" i="7"/>
  <c r="H8" i="7"/>
  <c r="E9" i="7"/>
  <c r="B11" i="7"/>
  <c r="H11" i="7"/>
  <c r="C13" i="7"/>
  <c r="H10" i="7"/>
  <c r="C68" i="7"/>
  <c r="B65" i="7"/>
  <c r="H65" i="7"/>
  <c r="F9" i="7"/>
  <c r="E10" i="7"/>
  <c r="C11" i="7"/>
  <c r="B12" i="7"/>
  <c r="H12" i="7"/>
  <c r="F13" i="7"/>
  <c r="C8" i="7"/>
  <c r="B9" i="7"/>
  <c r="H9" i="7"/>
  <c r="F10" i="7"/>
  <c r="E11" i="7"/>
  <c r="C12" i="7"/>
  <c r="B13" i="7"/>
  <c r="H13" i="7"/>
  <c r="B10" i="7"/>
  <c r="F11" i="7"/>
  <c r="E12" i="7"/>
  <c r="C13" i="6"/>
  <c r="E13" i="6"/>
  <c r="H10" i="6"/>
  <c r="C10" i="6"/>
  <c r="C8" i="6"/>
  <c r="B11" i="6"/>
  <c r="E8" i="6"/>
  <c r="E65" i="6" s="1"/>
  <c r="H8" i="6"/>
  <c r="H65" i="6" s="1"/>
  <c r="E9" i="6"/>
  <c r="B8" i="6"/>
  <c r="B65" i="6" s="1"/>
  <c r="H11" i="6"/>
  <c r="E10" i="6"/>
  <c r="C65" i="6"/>
  <c r="F9" i="6"/>
  <c r="C11" i="6"/>
  <c r="B12" i="6"/>
  <c r="H12" i="6"/>
  <c r="F13" i="6"/>
  <c r="B9" i="6"/>
  <c r="H9" i="6"/>
  <c r="F10" i="6"/>
  <c r="E11" i="6"/>
  <c r="C12" i="6"/>
  <c r="B13" i="6"/>
  <c r="H13" i="6"/>
  <c r="C9" i="6"/>
  <c r="B10" i="6"/>
  <c r="F11" i="6"/>
  <c r="E12" i="6"/>
  <c r="E30" i="3"/>
  <c r="B29" i="3"/>
  <c r="H9" i="3"/>
  <c r="B15" i="3"/>
  <c r="F18" i="3"/>
  <c r="H28" i="3"/>
  <c r="E38" i="3"/>
  <c r="C9" i="3"/>
  <c r="C8" i="3"/>
  <c r="E37" i="3"/>
  <c r="B18" i="3"/>
  <c r="F16" i="3"/>
  <c r="E34" i="3"/>
  <c r="F9" i="3"/>
  <c r="H26" i="3"/>
  <c r="F40" i="3"/>
  <c r="E9" i="3"/>
  <c r="H19" i="3"/>
  <c r="H12" i="3"/>
  <c r="E28" i="3"/>
  <c r="B40" i="3"/>
  <c r="B48" i="3"/>
  <c r="B35" i="3"/>
  <c r="H33" i="3"/>
  <c r="F47" i="3"/>
  <c r="C29" i="3"/>
  <c r="B34" i="3"/>
  <c r="C30" i="3"/>
  <c r="F37" i="3"/>
  <c r="C11" i="3"/>
  <c r="H16" i="3"/>
  <c r="C33" i="3"/>
  <c r="B25" i="3"/>
  <c r="B24" i="3"/>
  <c r="F45" i="3"/>
  <c r="B31" i="3"/>
  <c r="C35" i="3"/>
  <c r="F14" i="3"/>
  <c r="B41" i="3"/>
  <c r="H36" i="3"/>
  <c r="B16" i="3"/>
  <c r="H27" i="3"/>
  <c r="H8" i="3"/>
  <c r="F24" i="3"/>
  <c r="C34" i="3"/>
  <c r="E42" i="3"/>
  <c r="F23" i="3"/>
  <c r="B30" i="3"/>
  <c r="H43" i="3"/>
  <c r="H34" i="3"/>
  <c r="E47" i="3"/>
  <c r="C25" i="3"/>
  <c r="C28" i="3"/>
  <c r="B33" i="3"/>
  <c r="F44" i="3"/>
  <c r="E13" i="3"/>
  <c r="E33" i="3"/>
  <c r="C14" i="3"/>
  <c r="E43" i="3"/>
  <c r="C45" i="3"/>
  <c r="E41" i="3"/>
  <c r="F30" i="3"/>
  <c r="B9" i="3"/>
  <c r="H11" i="3"/>
  <c r="H44" i="3"/>
  <c r="C39" i="3"/>
  <c r="H32" i="3"/>
  <c r="F34" i="3"/>
  <c r="E35" i="3"/>
  <c r="E29" i="3"/>
  <c r="E19" i="3"/>
  <c r="C23" i="3"/>
  <c r="E25" i="3"/>
  <c r="F26" i="3"/>
  <c r="E46" i="3"/>
  <c r="H48" i="3"/>
  <c r="B37" i="3"/>
  <c r="E45" i="3"/>
  <c r="H15" i="3"/>
  <c r="E39" i="3"/>
  <c r="C26" i="3"/>
  <c r="F38" i="3"/>
  <c r="E48" i="3"/>
  <c r="F25" i="3"/>
  <c r="E27" i="3"/>
  <c r="E15" i="3"/>
  <c r="B32" i="3"/>
  <c r="H22" i="3"/>
  <c r="B47" i="3"/>
  <c r="C18" i="3"/>
  <c r="C37" i="3"/>
  <c r="H45" i="3"/>
  <c r="B22" i="3"/>
  <c r="F48" i="3"/>
  <c r="E44" i="3"/>
  <c r="C43" i="3"/>
  <c r="E32" i="3"/>
  <c r="F11" i="3"/>
  <c r="H37" i="3"/>
  <c r="B46" i="3"/>
  <c r="B38" i="3"/>
  <c r="F22" i="3"/>
  <c r="E36" i="3"/>
  <c r="C12" i="3"/>
  <c r="B36" i="3"/>
  <c r="E8" i="3"/>
  <c r="C21" i="3"/>
  <c r="C24" i="3"/>
  <c r="C38" i="3"/>
  <c r="B11" i="3"/>
  <c r="F29" i="3"/>
  <c r="C13" i="3"/>
  <c r="H21" i="3"/>
  <c r="C15" i="3"/>
  <c r="F10" i="3"/>
  <c r="C22" i="3"/>
  <c r="B23" i="3"/>
  <c r="B44" i="3"/>
  <c r="F39" i="3"/>
  <c r="B39" i="3"/>
  <c r="H18" i="3"/>
  <c r="B45" i="3"/>
  <c r="C32" i="3"/>
  <c r="F17" i="3"/>
  <c r="C47" i="3"/>
  <c r="F8" i="3"/>
  <c r="H35" i="3"/>
  <c r="H40" i="3"/>
  <c r="E23" i="3"/>
  <c r="H29" i="3"/>
  <c r="F43" i="3"/>
  <c r="F12" i="3"/>
  <c r="C19" i="3"/>
  <c r="F19" i="3"/>
  <c r="E31" i="3"/>
  <c r="B19" i="3"/>
  <c r="C48" i="3"/>
  <c r="C31" i="3"/>
  <c r="H47" i="3"/>
  <c r="E16" i="3"/>
  <c r="E21" i="3"/>
  <c r="B28" i="3"/>
  <c r="F35" i="3"/>
  <c r="C44" i="3"/>
  <c r="B21" i="3"/>
  <c r="F31" i="3"/>
  <c r="C36" i="3"/>
  <c r="H13" i="3"/>
  <c r="C16" i="3"/>
  <c r="H10" i="3"/>
  <c r="F33" i="3"/>
  <c r="B42" i="3"/>
  <c r="F21" i="3"/>
  <c r="H41" i="3"/>
  <c r="E11" i="3"/>
  <c r="B43" i="3"/>
  <c r="H23" i="3"/>
  <c r="B17" i="3"/>
  <c r="C17" i="3"/>
  <c r="H31" i="3"/>
  <c r="H42" i="3"/>
  <c r="C41" i="3"/>
  <c r="E24" i="3"/>
  <c r="H25" i="3"/>
  <c r="F13" i="3"/>
  <c r="F28" i="3"/>
  <c r="C42" i="3"/>
  <c r="H24" i="3"/>
  <c r="H17" i="3"/>
  <c r="C40" i="3"/>
  <c r="F46" i="3"/>
  <c r="B13" i="3"/>
  <c r="F41" i="3"/>
  <c r="E40" i="3"/>
  <c r="H39" i="3"/>
  <c r="E17" i="3"/>
  <c r="B26" i="3"/>
  <c r="C46" i="3"/>
  <c r="F27" i="3"/>
  <c r="H14" i="3"/>
  <c r="B27" i="3"/>
  <c r="E22" i="3"/>
  <c r="B10" i="3"/>
  <c r="H46" i="3"/>
  <c r="F42" i="3"/>
  <c r="C10" i="3"/>
  <c r="E14" i="3"/>
  <c r="F36" i="3"/>
  <c r="B12" i="3"/>
  <c r="E26" i="3"/>
  <c r="B8" i="3"/>
  <c r="E12" i="3"/>
  <c r="E18" i="3"/>
  <c r="H30" i="3"/>
  <c r="C27" i="3"/>
  <c r="F15" i="3"/>
  <c r="H38" i="3"/>
  <c r="F32" i="3"/>
  <c r="E10" i="3"/>
  <c r="B14" i="3"/>
  <c r="E63" i="11" l="1"/>
  <c r="F70" i="8"/>
  <c r="H70" i="8"/>
  <c r="B64" i="10"/>
  <c r="H70" i="11"/>
  <c r="B70" i="8"/>
  <c r="B70" i="10"/>
  <c r="B21" i="2"/>
  <c r="B25" i="2"/>
  <c r="B22" i="2"/>
  <c r="B26" i="2"/>
  <c r="B23" i="2"/>
  <c r="B27" i="2"/>
  <c r="B29" i="2"/>
  <c r="B24" i="2"/>
  <c r="B28" i="2"/>
  <c r="B34" i="2"/>
  <c r="B32" i="2"/>
  <c r="B36" i="2"/>
  <c r="B33" i="2"/>
  <c r="B37" i="2"/>
  <c r="B30" i="2"/>
  <c r="B38" i="2"/>
  <c r="B31" i="2"/>
  <c r="B35" i="2"/>
  <c r="B39" i="2"/>
  <c r="B45" i="2"/>
  <c r="B42" i="2"/>
  <c r="B46" i="2"/>
  <c r="B41" i="2"/>
  <c r="B43" i="2"/>
  <c r="B47" i="2"/>
  <c r="B40" i="2"/>
  <c r="B44" i="2"/>
  <c r="B48" i="2"/>
  <c r="C27" i="2"/>
  <c r="C35" i="2"/>
  <c r="C43" i="2"/>
  <c r="C28" i="2"/>
  <c r="C36" i="2"/>
  <c r="C40" i="2"/>
  <c r="C48" i="2"/>
  <c r="C21" i="2"/>
  <c r="C25" i="2"/>
  <c r="C29" i="2"/>
  <c r="C33" i="2"/>
  <c r="C37" i="2"/>
  <c r="C41" i="2"/>
  <c r="C45" i="2"/>
  <c r="C23" i="2"/>
  <c r="C31" i="2"/>
  <c r="C39" i="2"/>
  <c r="C47" i="2"/>
  <c r="C24" i="2"/>
  <c r="C32" i="2"/>
  <c r="C44" i="2"/>
  <c r="C22" i="2"/>
  <c r="C26" i="2"/>
  <c r="C30" i="2"/>
  <c r="C34" i="2"/>
  <c r="C38" i="2"/>
  <c r="C42" i="2"/>
  <c r="C46" i="2"/>
  <c r="E23" i="2"/>
  <c r="E27" i="2"/>
  <c r="E31" i="2"/>
  <c r="E35" i="2"/>
  <c r="E39" i="2"/>
  <c r="E43" i="2"/>
  <c r="E47" i="2"/>
  <c r="E24" i="2"/>
  <c r="E28" i="2"/>
  <c r="E32" i="2"/>
  <c r="E36" i="2"/>
  <c r="E40" i="2"/>
  <c r="E44" i="2"/>
  <c r="E48" i="2"/>
  <c r="E21" i="2"/>
  <c r="E25" i="2"/>
  <c r="E29" i="2"/>
  <c r="E33" i="2"/>
  <c r="E37" i="2"/>
  <c r="E41" i="2"/>
  <c r="E45" i="2"/>
  <c r="E22" i="2"/>
  <c r="E26" i="2"/>
  <c r="E30" i="2"/>
  <c r="E34" i="2"/>
  <c r="E38" i="2"/>
  <c r="E42" i="2"/>
  <c r="E46" i="2"/>
  <c r="F23" i="2"/>
  <c r="F27" i="2"/>
  <c r="F31" i="2"/>
  <c r="F35" i="2"/>
  <c r="F39" i="2"/>
  <c r="F43" i="2"/>
  <c r="F47" i="2"/>
  <c r="F24" i="2"/>
  <c r="F28" i="2"/>
  <c r="F32" i="2"/>
  <c r="F36" i="2"/>
  <c r="F40" i="2"/>
  <c r="F44" i="2"/>
  <c r="F48" i="2"/>
  <c r="F21" i="2"/>
  <c r="F25" i="2"/>
  <c r="F29" i="2"/>
  <c r="F33" i="2"/>
  <c r="F37" i="2"/>
  <c r="F41" i="2"/>
  <c r="F45" i="2"/>
  <c r="F22" i="2"/>
  <c r="F26" i="2"/>
  <c r="F30" i="2"/>
  <c r="F34" i="2"/>
  <c r="F38" i="2"/>
  <c r="F42" i="2"/>
  <c r="F46" i="2"/>
  <c r="H23" i="2"/>
  <c r="H27" i="2"/>
  <c r="H31" i="2"/>
  <c r="H35" i="2"/>
  <c r="H39" i="2"/>
  <c r="H43" i="2"/>
  <c r="H47" i="2"/>
  <c r="H24" i="2"/>
  <c r="H28" i="2"/>
  <c r="H32" i="2"/>
  <c r="H36" i="2"/>
  <c r="H40" i="2"/>
  <c r="H44" i="2"/>
  <c r="H48" i="2"/>
  <c r="H21" i="2"/>
  <c r="H25" i="2"/>
  <c r="H29" i="2"/>
  <c r="H33" i="2"/>
  <c r="H37" i="2"/>
  <c r="H41" i="2"/>
  <c r="H45" i="2"/>
  <c r="H22" i="2"/>
  <c r="H26" i="2"/>
  <c r="H30" i="2"/>
  <c r="H34" i="2"/>
  <c r="H38" i="2"/>
  <c r="H42" i="2"/>
  <c r="H46" i="2"/>
  <c r="B15" i="2"/>
  <c r="B16" i="2"/>
  <c r="B17" i="2"/>
  <c r="B18" i="2"/>
  <c r="B19" i="2"/>
  <c r="B20" i="2"/>
  <c r="C18" i="2"/>
  <c r="C15" i="2"/>
  <c r="C19" i="2"/>
  <c r="C17" i="2"/>
  <c r="C16" i="2"/>
  <c r="C20" i="2"/>
  <c r="E17" i="2"/>
  <c r="E18" i="2"/>
  <c r="E15" i="2"/>
  <c r="E19" i="2"/>
  <c r="E16" i="2"/>
  <c r="E20" i="2"/>
  <c r="F17" i="2"/>
  <c r="F18" i="2"/>
  <c r="F15" i="2"/>
  <c r="F19" i="2"/>
  <c r="F16" i="2"/>
  <c r="F20" i="2"/>
  <c r="H17" i="2"/>
  <c r="H18" i="2"/>
  <c r="H15" i="2"/>
  <c r="H19" i="2"/>
  <c r="H16" i="2"/>
  <c r="H20" i="2"/>
  <c r="B14" i="2"/>
  <c r="C14" i="2"/>
  <c r="E14" i="2"/>
  <c r="F14" i="2"/>
  <c r="H14" i="2"/>
  <c r="B9" i="2"/>
  <c r="B10" i="2"/>
  <c r="B11" i="2"/>
  <c r="B12" i="2"/>
  <c r="B13" i="2"/>
  <c r="C13" i="2"/>
  <c r="C10" i="2"/>
  <c r="C11" i="2"/>
  <c r="C9" i="2"/>
  <c r="C12" i="2"/>
  <c r="E9" i="2"/>
  <c r="E13" i="2"/>
  <c r="E10" i="2"/>
  <c r="E11" i="2"/>
  <c r="E12" i="2"/>
  <c r="F9" i="2"/>
  <c r="F13" i="2"/>
  <c r="F10" i="2"/>
  <c r="F11" i="2"/>
  <c r="F12" i="2"/>
  <c r="H9" i="2"/>
  <c r="H13" i="2"/>
  <c r="H10" i="2"/>
  <c r="H11" i="2"/>
  <c r="H12" i="2"/>
  <c r="C8" i="2"/>
  <c r="E8" i="2"/>
  <c r="F8" i="2"/>
  <c r="H8" i="2"/>
  <c r="B8" i="2"/>
  <c r="E70" i="12"/>
  <c r="F70" i="12"/>
  <c r="F67" i="12"/>
  <c r="F63" i="12"/>
  <c r="C67" i="12"/>
  <c r="F68" i="12"/>
  <c r="B70" i="12"/>
  <c r="H70" i="12"/>
  <c r="B68" i="12"/>
  <c r="B67" i="12"/>
  <c r="F64" i="12"/>
  <c r="C63" i="12"/>
  <c r="C64" i="12"/>
  <c r="C65" i="12"/>
  <c r="E67" i="12"/>
  <c r="B63" i="12"/>
  <c r="E63" i="12"/>
  <c r="H68" i="12"/>
  <c r="H67" i="12"/>
  <c r="C70" i="12"/>
  <c r="H63" i="12"/>
  <c r="B64" i="12"/>
  <c r="E64" i="12"/>
  <c r="H64" i="12"/>
  <c r="F64" i="11"/>
  <c r="E70" i="11"/>
  <c r="B70" i="11"/>
  <c r="C67" i="11"/>
  <c r="B68" i="11"/>
  <c r="B67" i="11"/>
  <c r="C63" i="11"/>
  <c r="C64" i="11"/>
  <c r="C65" i="11"/>
  <c r="F67" i="11"/>
  <c r="F68" i="11"/>
  <c r="B64" i="11"/>
  <c r="E68" i="11"/>
  <c r="E67" i="11"/>
  <c r="H64" i="11"/>
  <c r="E64" i="11"/>
  <c r="F70" i="11"/>
  <c r="H68" i="11"/>
  <c r="H67" i="11"/>
  <c r="F63" i="11"/>
  <c r="C70" i="11"/>
  <c r="B63" i="11"/>
  <c r="H64" i="10"/>
  <c r="F64" i="10"/>
  <c r="E70" i="10"/>
  <c r="C67" i="10"/>
  <c r="E67" i="10"/>
  <c r="B68" i="10"/>
  <c r="B67" i="10"/>
  <c r="F67" i="10"/>
  <c r="F68" i="10"/>
  <c r="E63" i="10"/>
  <c r="C63" i="10"/>
  <c r="C64" i="10"/>
  <c r="C65" i="10"/>
  <c r="E68" i="10"/>
  <c r="B63" i="10"/>
  <c r="E64" i="10"/>
  <c r="F70" i="10"/>
  <c r="H68" i="10"/>
  <c r="H67" i="10"/>
  <c r="F63" i="10"/>
  <c r="C70" i="10"/>
  <c r="H64" i="9"/>
  <c r="C68" i="9"/>
  <c r="F70" i="9"/>
  <c r="B63" i="9"/>
  <c r="B64" i="9"/>
  <c r="C67" i="9"/>
  <c r="H70" i="9"/>
  <c r="E67" i="9"/>
  <c r="F67" i="9"/>
  <c r="F68" i="9"/>
  <c r="F64" i="9"/>
  <c r="C63" i="9"/>
  <c r="C65" i="9"/>
  <c r="C64" i="9"/>
  <c r="B70" i="9"/>
  <c r="E63" i="9"/>
  <c r="F63" i="9"/>
  <c r="C70" i="9"/>
  <c r="E64" i="9"/>
  <c r="H68" i="9"/>
  <c r="H67" i="9"/>
  <c r="B68" i="9"/>
  <c r="B67" i="9"/>
  <c r="E68" i="9"/>
  <c r="H63" i="9"/>
  <c r="C70" i="8"/>
  <c r="H64" i="8"/>
  <c r="E63" i="8"/>
  <c r="E64" i="8"/>
  <c r="F67" i="8"/>
  <c r="H68" i="8"/>
  <c r="H67" i="8"/>
  <c r="B68" i="8"/>
  <c r="B67" i="8"/>
  <c r="F68" i="8"/>
  <c r="F63" i="8"/>
  <c r="E68" i="8"/>
  <c r="E67" i="8"/>
  <c r="B63" i="8"/>
  <c r="C68" i="8"/>
  <c r="C67" i="8"/>
  <c r="F64" i="8"/>
  <c r="E70" i="8"/>
  <c r="C64" i="8"/>
  <c r="H63" i="8"/>
  <c r="B64" i="8"/>
  <c r="E70" i="7"/>
  <c r="F64" i="7"/>
  <c r="H64" i="7"/>
  <c r="B70" i="7"/>
  <c r="H70" i="7"/>
  <c r="B64" i="7"/>
  <c r="E67" i="7"/>
  <c r="C67" i="7"/>
  <c r="B68" i="7"/>
  <c r="B67" i="7"/>
  <c r="E63" i="7"/>
  <c r="F67" i="7"/>
  <c r="F68" i="7"/>
  <c r="E68" i="7"/>
  <c r="C63" i="7"/>
  <c r="C65" i="7"/>
  <c r="C64" i="7"/>
  <c r="B63" i="7"/>
  <c r="F70" i="7"/>
  <c r="H68" i="7"/>
  <c r="H67" i="7"/>
  <c r="F63" i="7"/>
  <c r="C70" i="7"/>
  <c r="H63" i="7"/>
  <c r="E64" i="7"/>
  <c r="F70" i="6"/>
  <c r="B70" i="6"/>
  <c r="C70" i="6"/>
  <c r="H70" i="6"/>
  <c r="C63" i="6"/>
  <c r="F63" i="6"/>
  <c r="H64" i="6"/>
  <c r="E63" i="6"/>
  <c r="E68" i="6"/>
  <c r="B64" i="6"/>
  <c r="B63" i="6"/>
  <c r="F64" i="6"/>
  <c r="E70" i="6"/>
  <c r="F68" i="6"/>
  <c r="F67" i="6"/>
  <c r="E64" i="6"/>
  <c r="E67" i="6"/>
  <c r="H67" i="6"/>
  <c r="H68" i="6"/>
  <c r="C68" i="6"/>
  <c r="C67" i="6"/>
  <c r="B68" i="6"/>
  <c r="B67" i="6"/>
  <c r="C64" i="6"/>
  <c r="H63" i="6"/>
  <c r="J15" i="4" l="1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14" i="4"/>
  <c r="H10" i="4"/>
  <c r="C10" i="4"/>
  <c r="B10" i="4"/>
  <c r="H12" i="4"/>
  <c r="B12" i="4"/>
  <c r="C9" i="4"/>
  <c r="E10" i="4" l="1"/>
  <c r="E13" i="4"/>
  <c r="F8" i="4"/>
  <c r="H9" i="4"/>
  <c r="H68" i="4" s="1"/>
  <c r="F13" i="4"/>
  <c r="B13" i="4"/>
  <c r="C13" i="4"/>
  <c r="C12" i="4"/>
  <c r="F10" i="4"/>
  <c r="E11" i="4"/>
  <c r="E70" i="4" s="1"/>
  <c r="E9" i="4"/>
  <c r="E12" i="4"/>
  <c r="E67" i="4" s="1"/>
  <c r="B9" i="4"/>
  <c r="B67" i="4" s="1"/>
  <c r="H8" i="4"/>
  <c r="H65" i="4" s="1"/>
  <c r="F12" i="4"/>
  <c r="H13" i="4"/>
  <c r="H67" i="4" s="1"/>
  <c r="B68" i="4"/>
  <c r="H63" i="4"/>
  <c r="C68" i="4"/>
  <c r="E68" i="4"/>
  <c r="F65" i="4"/>
  <c r="E8" i="4"/>
  <c r="C11" i="4"/>
  <c r="C70" i="4" s="1"/>
  <c r="F9" i="4"/>
  <c r="B8" i="4"/>
  <c r="C8" i="4"/>
  <c r="H11" i="4"/>
  <c r="B11" i="4"/>
  <c r="B70" i="4" s="1"/>
  <c r="F11" i="4"/>
  <c r="F70" i="4" s="1"/>
  <c r="C67" i="4" l="1"/>
  <c r="H70" i="4"/>
  <c r="C64" i="4"/>
  <c r="C63" i="4"/>
  <c r="C65" i="4"/>
  <c r="E65" i="4"/>
  <c r="E64" i="4"/>
  <c r="E63" i="4"/>
  <c r="F64" i="4"/>
  <c r="B64" i="4"/>
  <c r="B63" i="4"/>
  <c r="B65" i="4"/>
  <c r="F67" i="4"/>
  <c r="F68" i="4"/>
  <c r="H64" i="4"/>
  <c r="F63" i="4"/>
</calcChain>
</file>

<file path=xl/sharedStrings.xml><?xml version="1.0" encoding="utf-8"?>
<sst xmlns="http://schemas.openxmlformats.org/spreadsheetml/2006/main" count="819" uniqueCount="105">
  <si>
    <t>England</t>
  </si>
  <si>
    <t>Non-metropolitan</t>
  </si>
  <si>
    <t>Metropolitan</t>
  </si>
  <si>
    <t>Predominantly Urban</t>
  </si>
  <si>
    <t>Significantly Rural</t>
  </si>
  <si>
    <t>Predominantly Rural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</si>
  <si>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</si>
  <si>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</si>
  <si>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</si>
  <si>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</si>
  <si>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</si>
  <si>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</si>
  <si>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</si>
  <si>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</si>
  <si>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</si>
  <si>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</si>
  <si>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</si>
  <si>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 and Wiltshire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</si>
  <si>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</si>
  <si>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</si>
  <si>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</si>
  <si>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</si>
  <si>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</si>
  <si>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</si>
  <si>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</si>
  <si>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Hereford and Worcester</t>
  </si>
  <si>
    <t>Hertfordshire</t>
  </si>
  <si>
    <t>Humberside</t>
  </si>
  <si>
    <t>Isle of Wight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</si>
  <si>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</si>
  <si>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</si>
  <si>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</si>
  <si>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</si>
  <si>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</si>
  <si>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</si>
  <si>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</si>
  <si>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</si>
  <si>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</si>
  <si>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</si>
  <si>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</si>
  <si>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</si>
  <si>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</si>
  <si>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</si>
  <si>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</si>
  <si>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</si>
  <si>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</si>
  <si>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Tyne and Wear</t>
  </si>
  <si>
    <t>Warwickshire</t>
  </si>
  <si>
    <t>West Midlands</t>
  </si>
  <si>
    <t>West Sussex</t>
  </si>
  <si>
    <t>West Yorkshire</t>
  </si>
  <si>
    <t>FIRE STATISTICS TABLE 1402: Accidents occurring to fire and rescue authority vehicles, by fire and rescue authority</t>
  </si>
  <si>
    <t>Select a year from the drop-down list in the orange box below:</t>
  </si>
  <si>
    <t>2015-16</t>
  </si>
  <si>
    <t>Fire Appliances</t>
  </si>
  <si>
    <t>Cars and Vans</t>
  </si>
  <si>
    <t>FRA</t>
  </si>
  <si>
    <t>On Blue Light</t>
  </si>
  <si>
    <t>Off Blue Light</t>
  </si>
  <si>
    <t>Other Vehicles1</t>
  </si>
  <si>
    <t>2010/11</t>
  </si>
  <si>
    <t>FRS Name</t>
  </si>
  <si>
    <r>
      <t>Urban/Rural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</si>
  <si>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Met/Non-met category</t>
  </si>
  <si>
    <t>Isle Of Wight</t>
  </si>
  <si>
    <t>Isles Of Scilly</t>
  </si>
  <si>
    <t>1  Rural Urban classifications of Fire and Rescue Service as defined by Department for Environment, Food and Rural Affairs (DEFRA)</t>
  </si>
  <si>
    <t>Predominantly rural: 50% or more of their area is 'rural'</t>
  </si>
  <si>
    <t>Significantly rural: less than 74% of their area is 'urban' and 26% or more of their area is 'rural'</t>
  </si>
  <si>
    <t>Predominantly urban: 74% or more of their area is 'urban'</t>
  </si>
  <si>
    <t>England = Met/Non Met</t>
  </si>
  <si>
    <t>Checks (all should = 0)</t>
  </si>
  <si>
    <t>England = Urban/Rural</t>
  </si>
  <si>
    <t>England = FRSs</t>
  </si>
  <si>
    <t>Met/Non Met = Urban/Rural</t>
  </si>
  <si>
    <t>Met/Non Met = FRSs</t>
  </si>
  <si>
    <t>Urban/Rural = FRSs</t>
  </si>
  <si>
    <t>2010-11</t>
  </si>
  <si>
    <t>2011-12</t>
  </si>
  <si>
    <t>2011/12</t>
  </si>
  <si>
    <t>2012/13</t>
  </si>
  <si>
    <t>2013/14</t>
  </si>
  <si>
    <t>2014/15</t>
  </si>
  <si>
    <t>2015/16</t>
  </si>
  <si>
    <t>2017-18</t>
  </si>
  <si>
    <t>2012-13</t>
  </si>
  <si>
    <t>2013-14</t>
  </si>
  <si>
    <t>2014-15</t>
  </si>
  <si>
    <t>2016-17</t>
  </si>
  <si>
    <t>Footnotes</t>
  </si>
  <si>
    <t>1 For a list of FRAs and whether they are considered "Metropolitan", "Non Metropolitan", "Predominately Rural", "Significantly Rural" or "Predominantely Urban" please see the FRS geographical categories sheet.</t>
  </si>
  <si>
    <r>
      <t>FRA</t>
    </r>
    <r>
      <rPr>
        <vertAlign val="superscript"/>
        <sz val="11"/>
        <color theme="1"/>
        <rFont val="Calibri"/>
        <family val="2"/>
        <scheme val="minor"/>
      </rPr>
      <t>1</t>
    </r>
  </si>
  <si>
    <r>
      <t>Other           Vehicles</t>
    </r>
    <r>
      <rPr>
        <vertAlign val="superscript"/>
        <sz val="11"/>
        <color theme="1"/>
        <rFont val="Calibri"/>
        <family val="2"/>
        <scheme val="minor"/>
      </rPr>
      <t>2</t>
    </r>
  </si>
  <si>
    <t>2 All vehicles other than appliances, cars and vans, such as general purpose lorries, boats etc</t>
  </si>
  <si>
    <t>General note:</t>
  </si>
  <si>
    <t xml:space="preserve">.. Data not available. </t>
  </si>
  <si>
    <t>The full set of fire statistics releases, tables and guidance can be found on our landing page, here-</t>
  </si>
  <si>
    <t>https://www.gov.uk/government/collections/fire-statistics</t>
  </si>
  <si>
    <t>Source: Home Office Incident Recording System</t>
  </si>
  <si>
    <t>The statistics in this table are Official Statistics.</t>
  </si>
  <si>
    <t>Last updated: 31 January 2019</t>
  </si>
  <si>
    <t>Next update: Winter 2019/20</t>
  </si>
  <si>
    <t>Contact: FireStatistics@homeoffice.gov.uk</t>
  </si>
  <si>
    <t>2017/18</t>
  </si>
  <si>
    <t>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</si>
</sst>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3" fillId="4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5" borderId="0" xfId="0" applyFill="1"/>
    <xf numFmtId="0" fontId="5" fillId="5" borderId="0" xfId="1" applyFont="1" applyFill="1" applyAlignment="1">
      <alignment vertical="center"/>
    </xf>
    <xf numFmtId="0" fontId="4" fillId="2" borderId="0" xfId="1" applyFill="1"/>
    <xf numFmtId="0" fontId="0" fillId="5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5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right" vertical="center" wrapText="1"/>
    </xf>
    <xf numFmtId="0" fontId="2" fillId="5" borderId="3" xfId="0" applyFont="1" applyFill="1" applyBorder="1"/>
    <xf numFmtId="3" fontId="2" fillId="2" borderId="0" xfId="0" applyNumberFormat="1" applyFont="1" applyFill="1" applyBorder="1" applyAlignment="1">
      <alignment horizontal="right"/>
    </xf>
    <xf numFmtId="1" fontId="0" fillId="5" borderId="0" xfId="0" applyNumberFormat="1" applyFill="1"/>
    <xf numFmtId="1" fontId="0" fillId="2" borderId="0" xfId="0" applyNumberFormat="1" applyFill="1"/>
    <xf numFmtId="164" fontId="0" fillId="2" borderId="0" xfId="0" applyNumberFormat="1" applyFill="1"/>
    <xf numFmtId="0" fontId="0" fillId="7" borderId="0" xfId="0" applyFill="1"/>
    <xf numFmtId="0" fontId="2" fillId="2" borderId="1" xfId="0" applyFont="1" applyFill="1" applyBorder="1"/>
    <xf numFmtId="0" fontId="0" fillId="2" borderId="4" xfId="0" applyFill="1" applyBorder="1"/>
    <xf numFmtId="0" fontId="9" fillId="2" borderId="0" xfId="0" applyFont="1" applyFill="1" applyAlignment="1">
      <alignment horizontal="left"/>
    </xf>
    <xf numFmtId="3" fontId="0" fillId="0" borderId="0" xfId="0" applyNumberFormat="1"/>
    <xf numFmtId="3" fontId="0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0" fontId="0" fillId="2" borderId="1" xfId="0" applyFill="1" applyBorder="1"/>
    <xf numFmtId="3" fontId="0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5" fontId="0" fillId="2" borderId="0" xfId="0" applyNumberFormat="1" applyFill="1"/>
    <xf numFmtId="3" fontId="0" fillId="2" borderId="0" xfId="0" applyNumberFormat="1" applyFill="1" applyAlignment="1"/>
    <xf numFmtId="3" fontId="13" fillId="2" borderId="0" xfId="0" applyNumberFormat="1" applyFont="1" applyFill="1" applyAlignment="1"/>
    <xf numFmtId="0" fontId="13" fillId="2" borderId="0" xfId="0" applyFont="1" applyFill="1"/>
    <xf numFmtId="0" fontId="12" fillId="2" borderId="0" xfId="2" applyFont="1" applyFill="1" applyAlignment="1">
      <alignment horizontal="left"/>
    </xf>
    <xf numFmtId="0" fontId="12" fillId="2" borderId="0" xfId="2" applyFont="1" applyFill="1" applyAlignment="1"/>
    <xf numFmtId="0" fontId="1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1" fillId="2" borderId="0" xfId="0" applyFont="1" applyFill="1"/>
    <xf numFmtId="0" fontId="12" fillId="2" borderId="0" xfId="2" applyFont="1" applyFill="1" applyAlignment="1">
      <alignment horizontal="right"/>
    </xf>
    <xf numFmtId="0" fontId="1" fillId="8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12" fillId="2" borderId="0" xfId="2" applyFont="1" applyFill="1" applyAlignment="1">
      <alignment horizontal="left"/>
    </xf>
    <xf numFmtId="0" fontId="12" fillId="2" borderId="0" xfId="2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5" fillId="6" borderId="0" xfId="1" applyFont="1" applyFill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right" wrapText="1"/>
    </xf>
    <xf numFmtId="0" fontId="0" fillId="5" borderId="1" xfId="0" applyFill="1" applyBorder="1" applyAlignment="1">
      <alignment horizontal="right" wrapText="1"/>
    </xf>
    <xf numFmtId="0" fontId="7" fillId="2" borderId="0" xfId="2" applyFill="1" applyAlignment="1">
      <alignment horizontal="left"/>
    </xf>
  </cellXfs>
  <cellStyles count="3">
    <cellStyle name="Hyperlink" xfId="2" builtinId="8"/>
    <cellStyle name="Normal" xfId="0" builtinId="0"/>
    <cellStyle name="Normal 2" xfId="1" xr:uid="{EEE3FBE8-02E8-436B-88BE-06BBE2E525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https://www.gov.uk/government/collections/fire-statistics-monitor" TargetMode="External"/><Relationship Id="rId1" Type="http://schemas.openxmlformats.org/officeDocument/2006/relationships/hyperlink" Target="https://www.gov.uk/government/organisations/home-office/about/statistics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mailto:FireStatistics@homeoffice.gov.uk" TargetMode="External"/><Relationship Id="rId4" Type="http://schemas.openxmlformats.org/officeDocument/2006/relationships/hyperlink" Target="https://www.gov.uk/government/collections/fire-statistics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gov.uk/government/statistics/2011-rural-urban-classification-of-local-authority-and-other-higher-level-geographies-for-statistical-purpos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80B3E-156B-4288-A156-BBA7A84BF43F}">
  <sheetPr>
    <tabColor rgb="FFFF0000"/>
  </sheetPr>
  <dimension ref="A4:J70"/>
  <sheetViews>
    <sheetView workbookViewId="0">
      <selection activeCell="B14" sqref="B14:F58"/>
    </sheetView>
  </sheetViews>
  <sheetFormatPr defaultRowHeight="14.5" x14ac:dyDescent="0.35"/>
  <cols>
    <col min="1" max="1" width="25.54296875" customWidth="1"/>
  </cols>
  <sheetData>
    <row r="4" spans="1:10" x14ac:dyDescent="0.35">
      <c r="A4" s="42" t="s">
        <v>60</v>
      </c>
      <c r="B4" s="42"/>
      <c r="C4" s="42"/>
      <c r="D4" s="42"/>
      <c r="E4" s="42"/>
      <c r="F4" s="42"/>
      <c r="G4" s="42"/>
      <c r="H4" s="42"/>
    </row>
    <row r="6" spans="1:10" x14ac:dyDescent="0.35">
      <c r="B6" t="s">
        <v>54</v>
      </c>
      <c r="E6" t="s">
        <v>55</v>
      </c>
      <c r="H6" t="s">
        <v>59</v>
      </c>
    </row>
    <row r="7" spans="1:10" x14ac:dyDescent="0.35">
      <c r="A7" t="s">
        <v>56</v>
      </c>
      <c r="B7" t="s">
        <v>57</v>
      </c>
      <c r="C7" t="s">
        <v>58</v>
      </c>
      <c r="E7" t="s">
        <v>57</v>
      </c>
      <c r="F7" t="s">
        <v>58</v>
      </c>
    </row>
    <row r="8" spans="1:10" x14ac:dyDescent="0.35">
      <c r="A8" t="s">
        <v>0</v>
      </c>
      <c r="B8">
        <f>SUM(B14:B58)</f>
        <v>1016</v>
      </c>
      <c r="C8">
        <f t="shared" ref="C8:H8" si="0">SUM(C14:C58)</f>
        <v>1593</v>
      </c>
      <c r="E8">
        <f t="shared" si="0"/>
        <v>54</v>
      </c>
      <c r="F8">
        <f t="shared" si="0"/>
        <v>961</v>
      </c>
      <c r="H8">
        <f t="shared" si="0"/>
        <v>127</v>
      </c>
    </row>
    <row r="9" spans="1:10" x14ac:dyDescent="0.35">
      <c r="A9" t="s">
        <v>1</v>
      </c>
      <c r="B9">
        <f>SUMIF($J$14:$J$58,$A9,B$14:B$58)</f>
        <v>622</v>
      </c>
      <c r="C9">
        <f t="shared" ref="C9:H10" si="1">SUMIF($J$14:$J$58,$A9,C$14:C$58)</f>
        <v>986</v>
      </c>
      <c r="E9">
        <f t="shared" si="1"/>
        <v>38</v>
      </c>
      <c r="F9">
        <f t="shared" si="1"/>
        <v>792</v>
      </c>
      <c r="H9">
        <f t="shared" si="1"/>
        <v>109</v>
      </c>
    </row>
    <row r="10" spans="1:10" x14ac:dyDescent="0.35">
      <c r="A10" t="s">
        <v>2</v>
      </c>
      <c r="B10">
        <f>SUMIF($J$14:$J$58,$A10,B$14:B$58)</f>
        <v>394</v>
      </c>
      <c r="C10">
        <f t="shared" si="1"/>
        <v>607</v>
      </c>
      <c r="E10">
        <f t="shared" si="1"/>
        <v>16</v>
      </c>
      <c r="F10">
        <f t="shared" si="1"/>
        <v>169</v>
      </c>
      <c r="H10">
        <f t="shared" si="1"/>
        <v>18</v>
      </c>
    </row>
    <row r="11" spans="1:10" x14ac:dyDescent="0.35">
      <c r="A11" t="s">
        <v>3</v>
      </c>
      <c r="B11">
        <f t="shared" ref="B11:H12" si="2">SUMIF($I$14:$I$58,$A11,B$14:B$58)</f>
        <v>557</v>
      </c>
      <c r="C11">
        <f t="shared" si="2"/>
        <v>844</v>
      </c>
      <c r="E11">
        <f t="shared" si="2"/>
        <v>21</v>
      </c>
      <c r="F11">
        <f t="shared" si="2"/>
        <v>344</v>
      </c>
      <c r="H11">
        <f t="shared" si="2"/>
        <v>58</v>
      </c>
    </row>
    <row r="12" spans="1:10" x14ac:dyDescent="0.35">
      <c r="A12" t="s">
        <v>4</v>
      </c>
      <c r="B12">
        <f t="shared" si="2"/>
        <v>285</v>
      </c>
      <c r="C12">
        <f t="shared" si="2"/>
        <v>491</v>
      </c>
      <c r="E12">
        <f t="shared" si="2"/>
        <v>17</v>
      </c>
      <c r="F12">
        <f t="shared" si="2"/>
        <v>372</v>
      </c>
      <c r="H12">
        <f t="shared" si="2"/>
        <v>38</v>
      </c>
    </row>
    <row r="13" spans="1:10" x14ac:dyDescent="0.35">
      <c r="A13" t="s">
        <v>5</v>
      </c>
      <c r="B13">
        <f>SUMIF($I$14:$I$58,$A13,B$14:B$58)</f>
        <v>174</v>
      </c>
      <c r="C13">
        <f t="shared" ref="C13:H13" si="3">SUMIF($I$14:$I$58,$A13,C$14:C$58)</f>
        <v>258</v>
      </c>
      <c r="E13">
        <f t="shared" si="3"/>
        <v>16</v>
      </c>
      <c r="F13">
        <f t="shared" si="3"/>
        <v>245</v>
      </c>
      <c r="H13">
        <f t="shared" si="3"/>
        <v>31</v>
      </c>
    </row>
    <row r="14" spans="1:10" x14ac:dyDescent="0.35">
      <c r="A14" t="s">
        <v>6</v>
      </c>
      <c r="B14">
        <v>37</v>
      </c>
      <c r="C14">
        <v>51</v>
      </c>
      <c r="E14">
        <v>2</v>
      </c>
      <c r="F14">
        <v>32</v>
      </c>
      <c r="H14">
        <v>4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7</v>
      </c>
      <c r="B15">
        <v>3</v>
      </c>
      <c r="C15">
        <v>16</v>
      </c>
      <c r="E15">
        <v>1</v>
      </c>
      <c r="F15">
        <v>10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8</v>
      </c>
      <c r="B16">
        <v>0</v>
      </c>
      <c r="C16">
        <v>11</v>
      </c>
      <c r="E16">
        <v>0</v>
      </c>
      <c r="F16">
        <v>1</v>
      </c>
      <c r="H16">
        <v>2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9</v>
      </c>
      <c r="B17">
        <v>17</v>
      </c>
      <c r="C17">
        <v>39</v>
      </c>
      <c r="E17">
        <v>1</v>
      </c>
      <c r="F17">
        <v>22</v>
      </c>
      <c r="H17">
        <v>0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10</v>
      </c>
      <c r="B18">
        <v>13</v>
      </c>
      <c r="C18">
        <v>22</v>
      </c>
      <c r="E18">
        <v>0</v>
      </c>
      <c r="F18">
        <v>28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11</v>
      </c>
      <c r="B19">
        <v>2</v>
      </c>
      <c r="C19">
        <v>43</v>
      </c>
      <c r="E19">
        <v>1</v>
      </c>
      <c r="F19">
        <v>31</v>
      </c>
      <c r="H19">
        <v>1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12</v>
      </c>
      <c r="B20">
        <v>11</v>
      </c>
      <c r="C20">
        <v>30</v>
      </c>
      <c r="E20">
        <v>0</v>
      </c>
      <c r="F20">
        <v>33</v>
      </c>
      <c r="H20">
        <v>8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13</v>
      </c>
      <c r="B21">
        <v>10</v>
      </c>
      <c r="C21">
        <v>15</v>
      </c>
      <c r="E21">
        <v>1</v>
      </c>
      <c r="F21">
        <v>5</v>
      </c>
      <c r="H21">
        <v>0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14</v>
      </c>
      <c r="B22">
        <v>21</v>
      </c>
      <c r="C22">
        <v>11</v>
      </c>
      <c r="E22">
        <v>2</v>
      </c>
      <c r="F22">
        <v>13</v>
      </c>
      <c r="H22"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15</v>
      </c>
      <c r="B23">
        <v>12</v>
      </c>
      <c r="C23">
        <v>23</v>
      </c>
      <c r="E23">
        <v>0</v>
      </c>
      <c r="F23">
        <v>20</v>
      </c>
      <c r="H23">
        <v>1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16</v>
      </c>
      <c r="B24">
        <v>63</v>
      </c>
      <c r="C24">
        <v>78</v>
      </c>
      <c r="E24">
        <v>6</v>
      </c>
      <c r="F24">
        <v>66</v>
      </c>
      <c r="H24">
        <v>3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17</v>
      </c>
      <c r="B25">
        <v>15</v>
      </c>
      <c r="C25">
        <v>68</v>
      </c>
      <c r="E25">
        <v>0</v>
      </c>
      <c r="F25">
        <v>41</v>
      </c>
      <c r="H25">
        <v>20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18</v>
      </c>
      <c r="B26">
        <v>10</v>
      </c>
      <c r="C26">
        <v>6</v>
      </c>
      <c r="E26">
        <v>1</v>
      </c>
      <c r="F26">
        <v>6</v>
      </c>
      <c r="H26">
        <v>1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19</v>
      </c>
      <c r="B27">
        <v>31</v>
      </c>
      <c r="C27">
        <v>41</v>
      </c>
      <c r="E27">
        <v>1</v>
      </c>
      <c r="F27">
        <v>27</v>
      </c>
      <c r="H27">
        <v>0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20</v>
      </c>
      <c r="B28">
        <v>47</v>
      </c>
      <c r="C28">
        <v>38</v>
      </c>
      <c r="E28">
        <v>5</v>
      </c>
      <c r="F28">
        <v>46</v>
      </c>
      <c r="H28">
        <v>14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21</v>
      </c>
      <c r="B29">
        <v>9</v>
      </c>
      <c r="C29">
        <v>8</v>
      </c>
      <c r="E29">
        <v>1</v>
      </c>
      <c r="F29">
        <v>0</v>
      </c>
      <c r="H29">
        <v>0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22</v>
      </c>
      <c r="B30">
        <v>246</v>
      </c>
      <c r="C30">
        <v>361</v>
      </c>
      <c r="E30">
        <v>11</v>
      </c>
      <c r="F30">
        <v>52</v>
      </c>
      <c r="H30">
        <v>0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23</v>
      </c>
      <c r="B31">
        <v>9</v>
      </c>
      <c r="C31">
        <v>9</v>
      </c>
      <c r="E31">
        <v>0</v>
      </c>
      <c r="F31">
        <v>2</v>
      </c>
      <c r="H31">
        <v>1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24</v>
      </c>
      <c r="B32">
        <v>25</v>
      </c>
      <c r="C32">
        <v>34</v>
      </c>
      <c r="E32">
        <v>0</v>
      </c>
      <c r="F32">
        <v>16</v>
      </c>
      <c r="H32">
        <v>7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25</v>
      </c>
      <c r="B33">
        <v>10</v>
      </c>
      <c r="C33">
        <v>15</v>
      </c>
      <c r="E33">
        <v>1</v>
      </c>
      <c r="F33">
        <v>22</v>
      </c>
      <c r="H33"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26</v>
      </c>
      <c r="B34">
        <v>21</v>
      </c>
      <c r="C34">
        <v>23</v>
      </c>
      <c r="E34">
        <v>3</v>
      </c>
      <c r="F34">
        <v>29</v>
      </c>
      <c r="H34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27</v>
      </c>
      <c r="B35">
        <v>11</v>
      </c>
      <c r="C35">
        <v>32</v>
      </c>
      <c r="E35">
        <v>0</v>
      </c>
      <c r="F35">
        <v>23</v>
      </c>
      <c r="H35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28</v>
      </c>
      <c r="B36">
        <v>2</v>
      </c>
      <c r="C36">
        <v>2</v>
      </c>
      <c r="E36">
        <v>0</v>
      </c>
      <c r="F36">
        <v>1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29</v>
      </c>
      <c r="B37">
        <v>0</v>
      </c>
      <c r="C37">
        <v>0</v>
      </c>
      <c r="E37">
        <v>0</v>
      </c>
      <c r="F37">
        <v>0</v>
      </c>
      <c r="H37"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30</v>
      </c>
      <c r="B38">
        <v>40</v>
      </c>
      <c r="C38">
        <v>45</v>
      </c>
      <c r="E38">
        <v>1</v>
      </c>
      <c r="F38">
        <v>33</v>
      </c>
      <c r="H38">
        <v>1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31</v>
      </c>
      <c r="B39">
        <v>19</v>
      </c>
      <c r="C39">
        <v>38</v>
      </c>
      <c r="E39">
        <v>0</v>
      </c>
      <c r="F39">
        <v>25</v>
      </c>
      <c r="H39">
        <v>11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32</v>
      </c>
      <c r="B40">
        <v>12</v>
      </c>
      <c r="C40">
        <v>21</v>
      </c>
      <c r="E40">
        <v>0</v>
      </c>
      <c r="F40">
        <v>11</v>
      </c>
      <c r="H40">
        <v>1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33</v>
      </c>
      <c r="B41">
        <v>10</v>
      </c>
      <c r="C41">
        <v>21</v>
      </c>
      <c r="E41">
        <v>2</v>
      </c>
      <c r="F41">
        <v>55</v>
      </c>
      <c r="H41">
        <v>3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34</v>
      </c>
      <c r="B42">
        <v>32</v>
      </c>
      <c r="C42">
        <v>45</v>
      </c>
      <c r="E42">
        <v>2</v>
      </c>
      <c r="F42">
        <v>25</v>
      </c>
      <c r="H42">
        <v>2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35</v>
      </c>
      <c r="B43">
        <v>1</v>
      </c>
      <c r="C43">
        <v>11</v>
      </c>
      <c r="E43">
        <v>0</v>
      </c>
      <c r="F43">
        <v>8</v>
      </c>
      <c r="H43">
        <v>0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36</v>
      </c>
      <c r="B44">
        <v>17</v>
      </c>
      <c r="C44">
        <v>33</v>
      </c>
      <c r="E44">
        <v>3</v>
      </c>
      <c r="F44">
        <v>35</v>
      </c>
      <c r="H44">
        <v>15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37</v>
      </c>
      <c r="B45">
        <v>20</v>
      </c>
      <c r="C45">
        <v>22</v>
      </c>
      <c r="E45">
        <v>0</v>
      </c>
      <c r="F45">
        <v>26</v>
      </c>
      <c r="H45">
        <v>0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38</v>
      </c>
      <c r="B46">
        <v>5</v>
      </c>
      <c r="C46">
        <v>19</v>
      </c>
      <c r="E46">
        <v>0</v>
      </c>
      <c r="F46">
        <v>6</v>
      </c>
      <c r="H46">
        <v>0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39</v>
      </c>
      <c r="B47">
        <v>22</v>
      </c>
      <c r="C47">
        <v>15</v>
      </c>
      <c r="E47">
        <v>0</v>
      </c>
      <c r="F47">
        <v>19</v>
      </c>
      <c r="H47">
        <v>6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40</v>
      </c>
      <c r="B48">
        <v>6</v>
      </c>
      <c r="C48">
        <v>22</v>
      </c>
      <c r="E48">
        <v>0</v>
      </c>
      <c r="F48">
        <v>11</v>
      </c>
      <c r="H48">
        <v>0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41</v>
      </c>
      <c r="B49">
        <v>5</v>
      </c>
      <c r="C49">
        <v>9</v>
      </c>
      <c r="E49">
        <v>0</v>
      </c>
      <c r="F49">
        <v>2</v>
      </c>
      <c r="H49">
        <v>9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42</v>
      </c>
      <c r="B50">
        <v>9</v>
      </c>
      <c r="C50">
        <v>27</v>
      </c>
      <c r="E50">
        <v>0</v>
      </c>
      <c r="F50">
        <v>10</v>
      </c>
      <c r="H50">
        <v>0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43</v>
      </c>
      <c r="B51">
        <v>34</v>
      </c>
      <c r="C51">
        <v>23</v>
      </c>
      <c r="E51">
        <v>3</v>
      </c>
      <c r="F51">
        <v>26</v>
      </c>
      <c r="H51">
        <v>0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44</v>
      </c>
      <c r="B52">
        <v>11</v>
      </c>
      <c r="C52">
        <v>9</v>
      </c>
      <c r="E52">
        <v>1</v>
      </c>
      <c r="F52">
        <v>9</v>
      </c>
      <c r="H52">
        <v>0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45</v>
      </c>
      <c r="B53">
        <v>28</v>
      </c>
      <c r="C53">
        <v>35</v>
      </c>
      <c r="E53">
        <v>0</v>
      </c>
      <c r="F53">
        <v>20</v>
      </c>
      <c r="H53">
        <v>2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46</v>
      </c>
      <c r="B54">
        <v>19</v>
      </c>
      <c r="C54">
        <v>28</v>
      </c>
      <c r="E54">
        <v>0</v>
      </c>
      <c r="F54">
        <v>9</v>
      </c>
      <c r="H54">
        <v>14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47</v>
      </c>
      <c r="B55">
        <v>13</v>
      </c>
      <c r="C55">
        <v>20</v>
      </c>
      <c r="E55">
        <v>1</v>
      </c>
      <c r="F55">
        <v>13</v>
      </c>
      <c r="H55">
        <v>0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48</v>
      </c>
      <c r="B56">
        <v>35</v>
      </c>
      <c r="C56">
        <v>65</v>
      </c>
      <c r="E56">
        <v>0</v>
      </c>
      <c r="F56">
        <v>21</v>
      </c>
      <c r="H56">
        <v>1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49</v>
      </c>
      <c r="B57">
        <v>9</v>
      </c>
      <c r="C57">
        <v>37</v>
      </c>
      <c r="E57">
        <v>1</v>
      </c>
      <c r="F57">
        <v>21</v>
      </c>
      <c r="H57"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50</v>
      </c>
      <c r="B58">
        <v>44</v>
      </c>
      <c r="C58">
        <v>72</v>
      </c>
      <c r="E58">
        <v>3</v>
      </c>
      <c r="F58">
        <v>50</v>
      </c>
      <c r="H58">
        <v>0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  <row r="61" spans="1:10" x14ac:dyDescent="0.35">
      <c r="A61" s="43" t="s">
        <v>71</v>
      </c>
      <c r="B61" s="43"/>
      <c r="C61" s="43"/>
      <c r="D61" s="43"/>
      <c r="E61" s="43"/>
      <c r="F61" s="43"/>
      <c r="G61" s="43"/>
      <c r="H61" s="43"/>
      <c r="I61" s="43"/>
      <c r="J61" s="43"/>
    </row>
    <row r="63" spans="1:10" x14ac:dyDescent="0.35">
      <c r="A63" t="s">
        <v>70</v>
      </c>
      <c r="B63">
        <f>B8-B9-B10</f>
        <v>0</v>
      </c>
      <c r="C63">
        <f t="shared" ref="C63:H63" si="4">C8-C9-C10</f>
        <v>0</v>
      </c>
      <c r="E63">
        <f t="shared" si="4"/>
        <v>0</v>
      </c>
      <c r="F63">
        <f t="shared" si="4"/>
        <v>0</v>
      </c>
      <c r="H63">
        <f t="shared" si="4"/>
        <v>0</v>
      </c>
    </row>
    <row r="64" spans="1:10" x14ac:dyDescent="0.35">
      <c r="A64" t="s">
        <v>72</v>
      </c>
      <c r="B64">
        <f>B8-SUM(B11:B13)</f>
        <v>0</v>
      </c>
      <c r="C64">
        <f t="shared" ref="C64:H64" si="5">C8-SUM(C11:C13)</f>
        <v>0</v>
      </c>
      <c r="E64">
        <f t="shared" si="5"/>
        <v>0</v>
      </c>
      <c r="F64">
        <f t="shared" si="5"/>
        <v>0</v>
      </c>
      <c r="H64">
        <f t="shared" si="5"/>
        <v>0</v>
      </c>
    </row>
    <row r="65" spans="1:8" x14ac:dyDescent="0.35">
      <c r="A65" t="s">
        <v>73</v>
      </c>
      <c r="B65">
        <f>B8-SUM(B14:B58)</f>
        <v>0</v>
      </c>
      <c r="C65">
        <f t="shared" ref="C65:H65" si="6">C8-SUM(C14:C58)</f>
        <v>0</v>
      </c>
      <c r="E65">
        <f t="shared" si="6"/>
        <v>0</v>
      </c>
      <c r="F65">
        <f t="shared" si="6"/>
        <v>0</v>
      </c>
      <c r="H65">
        <f t="shared" si="6"/>
        <v>0</v>
      </c>
    </row>
    <row r="67" spans="1:8" x14ac:dyDescent="0.35">
      <c r="A67" t="s">
        <v>74</v>
      </c>
      <c r="B67">
        <f>B9+B10-B11-B12-B13</f>
        <v>0</v>
      </c>
      <c r="C67">
        <f t="shared" ref="C67:H67" si="7">C9+C10-C11-C12-C13</f>
        <v>0</v>
      </c>
      <c r="E67">
        <f t="shared" si="7"/>
        <v>0</v>
      </c>
      <c r="F67">
        <f t="shared" si="7"/>
        <v>0</v>
      </c>
      <c r="H67">
        <f t="shared" si="7"/>
        <v>0</v>
      </c>
    </row>
    <row r="68" spans="1:8" x14ac:dyDescent="0.35">
      <c r="A68" t="s">
        <v>75</v>
      </c>
      <c r="B68">
        <f>B9+B10-SUM(B14:B58)</f>
        <v>0</v>
      </c>
      <c r="C68">
        <f t="shared" ref="C68:H68" si="8">C9+C10-SUM(C14:C58)</f>
        <v>0</v>
      </c>
      <c r="E68">
        <f t="shared" si="8"/>
        <v>0</v>
      </c>
      <c r="F68">
        <f t="shared" si="8"/>
        <v>0</v>
      </c>
      <c r="H68">
        <f t="shared" si="8"/>
        <v>0</v>
      </c>
    </row>
    <row r="70" spans="1:8" x14ac:dyDescent="0.35">
      <c r="A70" t="s">
        <v>76</v>
      </c>
      <c r="B70">
        <f>SUM(B11:B13)-SUM(B14:B58)</f>
        <v>0</v>
      </c>
      <c r="C70">
        <f t="shared" ref="C70:H70" si="9">SUM(C11:C13)-SUM(C14:C58)</f>
        <v>0</v>
      </c>
      <c r="E70">
        <f t="shared" si="9"/>
        <v>0</v>
      </c>
      <c r="F70">
        <f t="shared" si="9"/>
        <v>0</v>
      </c>
      <c r="H70">
        <f t="shared" si="9"/>
        <v>0</v>
      </c>
    </row>
  </sheetData>
  <mergeCells count="2">
    <mergeCell ref="A4:H4"/>
    <mergeCell ref="A61:J6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A7B4A-B4D4-45FA-A119-0A10E5AA9233}">
  <dimension ref="A1:AG119"/>
  <sheetViews>
    <sheetView tabSelected="1" workbookViewId="0">
      <pane ySplit="8" topLeftCell="A9" activePane="bottomLeft" state="frozen"/>
      <selection pane="bottomLeft" sqref="A1:H1"/>
    </sheetView>
  </sheetViews>
  <sheetFormatPr defaultColWidth="8.90625" defaultRowHeight="14.5" x14ac:dyDescent="0.35"/>
  <cols>
    <col min="1" max="1" width="22.81640625" style="1" customWidth="1"/>
    <col min="2" max="3" width="12.81640625" style="1" customWidth="1"/>
    <col min="4" max="4" width="4.81640625" style="1" customWidth="1"/>
    <col min="5" max="6" width="12.81640625" style="1" customWidth="1"/>
    <col min="7" max="7" width="4.81640625" style="1" customWidth="1"/>
    <col min="8" max="8" width="12.81640625" style="1" customWidth="1"/>
    <col min="9" max="10" width="8.90625" style="1"/>
    <col min="11" max="11" width="0" style="1" hidden="1" customWidth="1"/>
    <col min="12" max="16384" width="8.90625" style="1"/>
  </cols>
  <sheetData>
    <row r="1" spans="1:33" s="4" customFormat="1" ht="34.75" customHeight="1" x14ac:dyDescent="0.5">
      <c r="A1" s="46" t="s">
        <v>51</v>
      </c>
      <c r="B1" s="46"/>
      <c r="C1" s="46"/>
      <c r="D1" s="46"/>
      <c r="E1" s="46"/>
      <c r="F1" s="46"/>
      <c r="G1" s="46"/>
      <c r="H1" s="46"/>
      <c r="I1" s="2"/>
      <c r="J1" s="2"/>
      <c r="K1" s="3"/>
      <c r="L1" s="3"/>
    </row>
    <row r="2" spans="1:33" ht="15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33" ht="15" customHeight="1" x14ac:dyDescent="0.35">
      <c r="A3" s="6" t="s">
        <v>52</v>
      </c>
      <c r="B3" s="7"/>
      <c r="C3" s="7"/>
      <c r="D3" s="7"/>
      <c r="E3" s="7"/>
      <c r="F3" s="7"/>
      <c r="G3" s="7"/>
      <c r="H3" s="5"/>
      <c r="I3" s="5"/>
      <c r="J3" s="5"/>
      <c r="K3" s="5"/>
      <c r="L3" s="5"/>
    </row>
    <row r="4" spans="1:33" ht="15" customHeight="1" x14ac:dyDescent="0.35">
      <c r="A4" s="47" t="s">
        <v>84</v>
      </c>
      <c r="B4" s="47"/>
      <c r="C4" s="47"/>
      <c r="D4" s="47"/>
      <c r="E4" s="47"/>
      <c r="F4" s="47"/>
      <c r="G4" s="5"/>
      <c r="H4" s="5"/>
      <c r="I4" s="5"/>
      <c r="J4" s="5"/>
      <c r="K4" s="5"/>
      <c r="L4" s="5"/>
      <c r="M4" s="5"/>
    </row>
    <row r="5" spans="1:33" ht="15" thickBot="1" x14ac:dyDescent="0.4">
      <c r="A5" s="5"/>
      <c r="B5" s="48"/>
      <c r="C5" s="48"/>
      <c r="D5" s="48"/>
      <c r="E5" s="48"/>
      <c r="F5" s="48"/>
      <c r="G5" s="8"/>
      <c r="H5" s="8"/>
      <c r="I5" s="5"/>
      <c r="J5" s="5"/>
      <c r="K5" s="9"/>
      <c r="L5" s="9"/>
      <c r="N5" s="9"/>
      <c r="O5" s="9"/>
      <c r="Q5" s="9"/>
      <c r="R5" s="9"/>
      <c r="S5" s="9"/>
      <c r="T5" s="9"/>
      <c r="U5" s="9"/>
      <c r="X5" s="10"/>
    </row>
    <row r="6" spans="1:33" s="4" customFormat="1" ht="31.5" customHeight="1" thickBot="1" x14ac:dyDescent="0.4">
      <c r="A6" s="3"/>
      <c r="B6" s="49" t="s">
        <v>54</v>
      </c>
      <c r="C6" s="49"/>
      <c r="D6" s="11"/>
      <c r="E6" s="49" t="s">
        <v>55</v>
      </c>
      <c r="F6" s="49"/>
      <c r="G6" s="11"/>
      <c r="H6" s="50" t="s">
        <v>92</v>
      </c>
      <c r="I6" s="3"/>
      <c r="J6" s="3"/>
      <c r="K6" s="12"/>
      <c r="L6" s="12"/>
      <c r="N6" s="12"/>
      <c r="O6" s="12"/>
      <c r="Q6" s="12"/>
      <c r="R6" s="12"/>
      <c r="S6" s="12"/>
      <c r="T6" s="12"/>
      <c r="U6" s="12"/>
    </row>
    <row r="7" spans="1:33" s="16" customFormat="1" ht="17" thickBot="1" x14ac:dyDescent="0.4">
      <c r="A7" s="13" t="s">
        <v>91</v>
      </c>
      <c r="B7" s="14" t="s">
        <v>57</v>
      </c>
      <c r="C7" s="14" t="s">
        <v>58</v>
      </c>
      <c r="D7" s="15"/>
      <c r="E7" s="14" t="s">
        <v>57</v>
      </c>
      <c r="F7" s="14" t="s">
        <v>58</v>
      </c>
      <c r="G7" s="15"/>
      <c r="H7" s="51"/>
      <c r="M7" s="5"/>
    </row>
    <row r="8" spans="1:33" ht="15" customHeight="1" x14ac:dyDescent="0.35">
      <c r="A8" s="17" t="s">
        <v>0</v>
      </c>
      <c r="B8" s="18">
        <f ca="1">ROUND(FIRE1402_working!B8,0)</f>
        <v>850</v>
      </c>
      <c r="C8" s="18">
        <f ca="1">ROUND(FIRE1402_working!C8,0)</f>
        <v>1149</v>
      </c>
      <c r="D8" s="18"/>
      <c r="E8" s="18">
        <f ca="1">ROUND(FIRE1402_working!E8,0)</f>
        <v>50</v>
      </c>
      <c r="F8" s="18">
        <f ca="1">ROUND(FIRE1402_working!F8,0)</f>
        <v>630</v>
      </c>
      <c r="G8" s="18"/>
      <c r="H8" s="18">
        <f ca="1">ROUND(FIRE1402_working!H8,0)</f>
        <v>77</v>
      </c>
      <c r="I8" s="5"/>
      <c r="K8" s="19"/>
      <c r="L8" s="19"/>
      <c r="N8" s="19"/>
      <c r="O8" s="19"/>
      <c r="Q8" s="20"/>
      <c r="R8" s="20"/>
      <c r="S8" s="20"/>
      <c r="T8" s="20"/>
      <c r="U8" s="20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x14ac:dyDescent="0.35">
      <c r="A9" s="1" t="s">
        <v>1</v>
      </c>
      <c r="B9" s="27">
        <f ca="1">ROUND(FIRE1402_working!B9,0)</f>
        <v>544</v>
      </c>
      <c r="C9" s="27">
        <f ca="1">ROUND(FIRE1402_working!C9,0)</f>
        <v>714</v>
      </c>
      <c r="D9" s="27"/>
      <c r="E9" s="27">
        <f ca="1">ROUND(FIRE1402_working!E9,0)</f>
        <v>41</v>
      </c>
      <c r="F9" s="27">
        <f ca="1">ROUND(FIRE1402_working!F9,0)</f>
        <v>500</v>
      </c>
      <c r="G9" s="27"/>
      <c r="H9" s="27">
        <f ca="1">ROUND(FIRE1402_working!H9,0)</f>
        <v>66</v>
      </c>
    </row>
    <row r="10" spans="1:33" x14ac:dyDescent="0.35">
      <c r="A10" s="1" t="s">
        <v>2</v>
      </c>
      <c r="B10" s="27">
        <f ca="1">ROUND(FIRE1402_working!B10,0)</f>
        <v>306</v>
      </c>
      <c r="C10" s="27">
        <f ca="1">ROUND(FIRE1402_working!C10,0)</f>
        <v>435</v>
      </c>
      <c r="D10" s="27"/>
      <c r="E10" s="27">
        <f ca="1">ROUND(FIRE1402_working!E10,0)</f>
        <v>9</v>
      </c>
      <c r="F10" s="27">
        <f ca="1">ROUND(FIRE1402_working!F10,0)</f>
        <v>130</v>
      </c>
      <c r="G10" s="27"/>
      <c r="H10" s="27">
        <f ca="1">ROUND(FIRE1402_working!H10,0)</f>
        <v>11</v>
      </c>
    </row>
    <row r="11" spans="1:33" x14ac:dyDescent="0.35">
      <c r="A11" s="1" t="s">
        <v>3</v>
      </c>
      <c r="B11" s="27">
        <f ca="1">ROUND(FIRE1402_working!B11,0)</f>
        <v>440</v>
      </c>
      <c r="C11" s="27">
        <f ca="1">ROUND(FIRE1402_working!C11,0)</f>
        <v>624</v>
      </c>
      <c r="D11" s="27"/>
      <c r="E11" s="27">
        <f ca="1">ROUND(FIRE1402_working!E11,0)</f>
        <v>19</v>
      </c>
      <c r="F11" s="27">
        <f ca="1">ROUND(FIRE1402_working!F11,0)</f>
        <v>248</v>
      </c>
      <c r="G11" s="27"/>
      <c r="H11" s="27">
        <f ca="1">ROUND(FIRE1402_working!H11,0)</f>
        <v>34</v>
      </c>
    </row>
    <row r="12" spans="1:33" x14ac:dyDescent="0.35">
      <c r="A12" s="1" t="s">
        <v>4</v>
      </c>
      <c r="B12" s="27">
        <f ca="1">ROUND(FIRE1402_working!B12,0)</f>
        <v>240</v>
      </c>
      <c r="C12" s="27">
        <f ca="1">ROUND(FIRE1402_working!C12,0)</f>
        <v>302</v>
      </c>
      <c r="D12" s="27"/>
      <c r="E12" s="27">
        <f ca="1">ROUND(FIRE1402_working!E12,0)</f>
        <v>17</v>
      </c>
      <c r="F12" s="27">
        <f ca="1">ROUND(FIRE1402_working!F12,0)</f>
        <v>232</v>
      </c>
      <c r="G12" s="27"/>
      <c r="H12" s="27">
        <f ca="1">ROUND(FIRE1402_working!H12,0)</f>
        <v>14</v>
      </c>
    </row>
    <row r="13" spans="1:33" x14ac:dyDescent="0.35">
      <c r="A13" s="1" t="s">
        <v>5</v>
      </c>
      <c r="B13" s="27">
        <f ca="1">ROUND(FIRE1402_working!B13,0)</f>
        <v>170</v>
      </c>
      <c r="C13" s="27">
        <f ca="1">ROUND(FIRE1402_working!C13,0)</f>
        <v>223</v>
      </c>
      <c r="D13" s="27"/>
      <c r="E13" s="27">
        <f ca="1">ROUND(FIRE1402_working!E13,0)</f>
        <v>14</v>
      </c>
      <c r="F13" s="27">
        <f ca="1">ROUND(FIRE1402_working!F13,0)</f>
        <v>150</v>
      </c>
      <c r="G13" s="27"/>
      <c r="H13" s="27">
        <f ca="1">ROUND(FIRE1402_working!H13,0)</f>
        <v>29</v>
      </c>
    </row>
    <row r="14" spans="1:33" x14ac:dyDescent="0.35">
      <c r="A14" s="1" t="s">
        <v>6</v>
      </c>
      <c r="B14" s="27">
        <f ca="1">ROUND(FIRE1402_working!B14,0)</f>
        <v>22</v>
      </c>
      <c r="C14" s="27">
        <f ca="1">ROUND(FIRE1402_working!C14,0)</f>
        <v>31</v>
      </c>
      <c r="D14" s="27"/>
      <c r="E14" s="27">
        <f ca="1">ROUND(FIRE1402_working!E14,0)</f>
        <v>3</v>
      </c>
      <c r="F14" s="27">
        <f ca="1">ROUND(FIRE1402_working!F14,0)</f>
        <v>21</v>
      </c>
      <c r="G14" s="27"/>
      <c r="H14" s="27">
        <f ca="1">ROUND(FIRE1402_working!H14,0)</f>
        <v>4</v>
      </c>
    </row>
    <row r="15" spans="1:33" x14ac:dyDescent="0.35">
      <c r="A15" s="1" t="s">
        <v>7</v>
      </c>
      <c r="B15" s="27">
        <f ca="1">ROUND(FIRE1402_working!B15,0)</f>
        <v>10</v>
      </c>
      <c r="C15" s="27">
        <f ca="1">ROUND(FIRE1402_working!C15,0)</f>
        <v>15</v>
      </c>
      <c r="D15" s="27"/>
      <c r="E15" s="27">
        <f ca="1">ROUND(FIRE1402_working!E15,0)</f>
        <v>0</v>
      </c>
      <c r="F15" s="27">
        <f ca="1">ROUND(FIRE1402_working!F15,0)</f>
        <v>13</v>
      </c>
      <c r="G15" s="27"/>
      <c r="H15" s="27">
        <f ca="1">ROUND(FIRE1402_working!H15,0)</f>
        <v>0</v>
      </c>
    </row>
    <row r="16" spans="1:33" x14ac:dyDescent="0.35">
      <c r="A16" s="1" t="s">
        <v>8</v>
      </c>
      <c r="B16" s="27">
        <f ca="1">ROUND(FIRE1402_working!B16,0)</f>
        <v>10</v>
      </c>
      <c r="C16" s="27">
        <f ca="1">ROUND(FIRE1402_working!C16,0)</f>
        <v>13</v>
      </c>
      <c r="D16" s="27"/>
      <c r="E16" s="27">
        <f ca="1">ROUND(FIRE1402_working!E16,0)</f>
        <v>1</v>
      </c>
      <c r="F16" s="27">
        <f ca="1">ROUND(FIRE1402_working!F16,0)</f>
        <v>13</v>
      </c>
      <c r="G16" s="27"/>
      <c r="H16" s="27">
        <f ca="1">ROUND(FIRE1402_working!H16,0)</f>
        <v>0</v>
      </c>
    </row>
    <row r="17" spans="1:8" x14ac:dyDescent="0.35">
      <c r="A17" s="1" t="s">
        <v>9</v>
      </c>
      <c r="B17" s="27">
        <f ca="1">ROUND(FIRE1402_working!B17,0)</f>
        <v>17</v>
      </c>
      <c r="C17" s="27">
        <f ca="1">ROUND(FIRE1402_working!C17,0)</f>
        <v>9</v>
      </c>
      <c r="D17" s="27"/>
      <c r="E17" s="27">
        <f ca="1">ROUND(FIRE1402_working!E17,0)</f>
        <v>1</v>
      </c>
      <c r="F17" s="27">
        <f ca="1">ROUND(FIRE1402_working!F17,0)</f>
        <v>6</v>
      </c>
      <c r="G17" s="27"/>
      <c r="H17" s="27">
        <f ca="1">ROUND(FIRE1402_working!H17,0)</f>
        <v>1</v>
      </c>
    </row>
    <row r="18" spans="1:8" x14ac:dyDescent="0.35">
      <c r="A18" s="1" t="s">
        <v>10</v>
      </c>
      <c r="B18" s="27">
        <f ca="1">ROUND(FIRE1402_working!B18,0)</f>
        <v>8</v>
      </c>
      <c r="C18" s="27">
        <f ca="1">ROUND(FIRE1402_working!C18,0)</f>
        <v>15</v>
      </c>
      <c r="D18" s="27"/>
      <c r="E18" s="27">
        <f ca="1">ROUND(FIRE1402_working!E18,0)</f>
        <v>3</v>
      </c>
      <c r="F18" s="27">
        <f ca="1">ROUND(FIRE1402_working!F18,0)</f>
        <v>11</v>
      </c>
      <c r="G18" s="27"/>
      <c r="H18" s="27">
        <f ca="1">ROUND(FIRE1402_working!H18,0)</f>
        <v>5</v>
      </c>
    </row>
    <row r="19" spans="1:8" x14ac:dyDescent="0.35">
      <c r="A19" s="1" t="s">
        <v>11</v>
      </c>
      <c r="B19" s="27">
        <f ca="1">ROUND(FIRE1402_working!B19,0)</f>
        <v>15</v>
      </c>
      <c r="C19" s="27">
        <f ca="1">ROUND(FIRE1402_working!C19,0)</f>
        <v>12</v>
      </c>
      <c r="D19" s="27"/>
      <c r="E19" s="27">
        <f ca="1">ROUND(FIRE1402_working!E19,0)</f>
        <v>1</v>
      </c>
      <c r="F19" s="27">
        <f ca="1">ROUND(FIRE1402_working!F19,0)</f>
        <v>0</v>
      </c>
      <c r="G19" s="27"/>
      <c r="H19" s="27">
        <f ca="1">ROUND(FIRE1402_working!H19,0)</f>
        <v>0</v>
      </c>
    </row>
    <row r="20" spans="1:8" x14ac:dyDescent="0.35">
      <c r="A20" s="1" t="s">
        <v>12</v>
      </c>
      <c r="B20" s="27">
        <f ca="1">ROUND(FIRE1402_working!B20,0)</f>
        <v>8</v>
      </c>
      <c r="C20" s="27">
        <f ca="1">ROUND(FIRE1402_working!C20,0)</f>
        <v>18</v>
      </c>
      <c r="D20" s="27"/>
      <c r="E20" s="27">
        <f ca="1">ROUND(FIRE1402_working!E20,0)</f>
        <v>0</v>
      </c>
      <c r="F20" s="27">
        <f ca="1">ROUND(FIRE1402_working!F20,0)</f>
        <v>13</v>
      </c>
      <c r="G20" s="27"/>
      <c r="H20" s="27">
        <f ca="1">ROUND(FIRE1402_working!H20,0)</f>
        <v>0</v>
      </c>
    </row>
    <row r="21" spans="1:8" x14ac:dyDescent="0.35">
      <c r="A21" s="1" t="s">
        <v>13</v>
      </c>
      <c r="B21" s="27">
        <f ca="1">ROUND(FIRE1402_working!B21,0)</f>
        <v>7</v>
      </c>
      <c r="C21" s="27">
        <f ca="1">ROUND(FIRE1402_working!C21,0)</f>
        <v>14</v>
      </c>
      <c r="D21" s="27"/>
      <c r="E21" s="27">
        <f ca="1">ROUND(FIRE1402_working!E21,0)</f>
        <v>1</v>
      </c>
      <c r="F21" s="27">
        <f ca="1">ROUND(FIRE1402_working!F21,0)</f>
        <v>11</v>
      </c>
      <c r="G21" s="27"/>
      <c r="H21" s="27">
        <f ca="1">ROUND(FIRE1402_working!H21,0)</f>
        <v>0</v>
      </c>
    </row>
    <row r="22" spans="1:8" x14ac:dyDescent="0.35">
      <c r="A22" s="1" t="s">
        <v>14</v>
      </c>
      <c r="B22" s="27">
        <f ca="1">ROUND(FIRE1402_working!B22,0)</f>
        <v>7</v>
      </c>
      <c r="C22" s="27">
        <f ca="1">ROUND(FIRE1402_working!C22,0)</f>
        <v>6</v>
      </c>
      <c r="D22" s="27"/>
      <c r="E22" s="27">
        <f ca="1">ROUND(FIRE1402_working!E22,0)</f>
        <v>0</v>
      </c>
      <c r="F22" s="27">
        <f ca="1">ROUND(FIRE1402_working!F22,0)</f>
        <v>5</v>
      </c>
      <c r="G22" s="27"/>
      <c r="H22" s="27">
        <f ca="1">ROUND(FIRE1402_working!H22,0)</f>
        <v>1</v>
      </c>
    </row>
    <row r="23" spans="1:8" x14ac:dyDescent="0.35">
      <c r="A23" s="1" t="s">
        <v>15</v>
      </c>
      <c r="B23" s="27">
        <f ca="1">ROUND(FIRE1402_working!B23,0)</f>
        <v>19</v>
      </c>
      <c r="C23" s="27">
        <f ca="1">ROUND(FIRE1402_working!C23,0)</f>
        <v>25</v>
      </c>
      <c r="D23" s="27"/>
      <c r="E23" s="27">
        <f ca="1">ROUND(FIRE1402_working!E23,0)</f>
        <v>1</v>
      </c>
      <c r="F23" s="27">
        <f ca="1">ROUND(FIRE1402_working!F23,0)</f>
        <v>32</v>
      </c>
      <c r="G23" s="27"/>
      <c r="H23" s="27">
        <f ca="1">ROUND(FIRE1402_working!H23,0)</f>
        <v>0</v>
      </c>
    </row>
    <row r="24" spans="1:8" x14ac:dyDescent="0.35">
      <c r="A24" s="1" t="s">
        <v>16</v>
      </c>
      <c r="B24" s="27">
        <f ca="1">ROUND(FIRE1402_working!B24,0)</f>
        <v>49</v>
      </c>
      <c r="C24" s="27">
        <f ca="1">ROUND(FIRE1402_working!C24,0)</f>
        <v>58</v>
      </c>
      <c r="D24" s="27"/>
      <c r="E24" s="27">
        <f ca="1">ROUND(FIRE1402_working!E24,0)</f>
        <v>4</v>
      </c>
      <c r="F24" s="27">
        <f ca="1">ROUND(FIRE1402_working!F24,0)</f>
        <v>43</v>
      </c>
      <c r="G24" s="27"/>
      <c r="H24" s="27">
        <f ca="1">ROUND(FIRE1402_working!H24,0)</f>
        <v>6</v>
      </c>
    </row>
    <row r="25" spans="1:8" x14ac:dyDescent="0.35">
      <c r="A25" s="1" t="s">
        <v>17</v>
      </c>
      <c r="B25" s="27">
        <f ca="1">ROUND(FIRE1402_working!B25,0)</f>
        <v>7</v>
      </c>
      <c r="C25" s="27">
        <f ca="1">ROUND(FIRE1402_working!C25,0)</f>
        <v>16</v>
      </c>
      <c r="D25" s="27"/>
      <c r="E25" s="27">
        <f ca="1">ROUND(FIRE1402_working!E25,0)</f>
        <v>0</v>
      </c>
      <c r="F25" s="27">
        <f ca="1">ROUND(FIRE1402_working!F25,0)</f>
        <v>10</v>
      </c>
      <c r="G25" s="27"/>
      <c r="H25" s="27">
        <f ca="1">ROUND(FIRE1402_working!H25,0)</f>
        <v>0</v>
      </c>
    </row>
    <row r="26" spans="1:8" x14ac:dyDescent="0.35">
      <c r="A26" s="1" t="s">
        <v>18</v>
      </c>
      <c r="B26" s="27">
        <f ca="1">ROUND(FIRE1402_working!B26,0)</f>
        <v>5</v>
      </c>
      <c r="C26" s="27">
        <f ca="1">ROUND(FIRE1402_working!C26,0)</f>
        <v>12</v>
      </c>
      <c r="D26" s="27"/>
      <c r="E26" s="27">
        <f ca="1">ROUND(FIRE1402_working!E26,0)</f>
        <v>0</v>
      </c>
      <c r="F26" s="27">
        <f ca="1">ROUND(FIRE1402_working!F26,0)</f>
        <v>6</v>
      </c>
      <c r="G26" s="27"/>
      <c r="H26" s="27">
        <f ca="1">ROUND(FIRE1402_working!H26,0)</f>
        <v>0</v>
      </c>
    </row>
    <row r="27" spans="1:8" x14ac:dyDescent="0.35">
      <c r="A27" s="1" t="s">
        <v>19</v>
      </c>
      <c r="B27" s="27">
        <f ca="1">ROUND(FIRE1402_working!B27,0)</f>
        <v>4</v>
      </c>
      <c r="C27" s="27">
        <f ca="1">ROUND(FIRE1402_working!C27,0)</f>
        <v>28</v>
      </c>
      <c r="D27" s="27"/>
      <c r="E27" s="27">
        <f ca="1">ROUND(FIRE1402_working!E27,0)</f>
        <v>0</v>
      </c>
      <c r="F27" s="27">
        <f ca="1">ROUND(FIRE1402_working!F27,0)</f>
        <v>8</v>
      </c>
      <c r="G27" s="27"/>
      <c r="H27" s="27">
        <f ca="1">ROUND(FIRE1402_working!H27,0)</f>
        <v>0</v>
      </c>
    </row>
    <row r="28" spans="1:8" x14ac:dyDescent="0.35">
      <c r="A28" s="1" t="s">
        <v>20</v>
      </c>
      <c r="B28" s="27">
        <f ca="1">ROUND(FIRE1402_working!B28,0)</f>
        <v>39</v>
      </c>
      <c r="C28" s="27">
        <f ca="1">ROUND(FIRE1402_working!C28,0)</f>
        <v>53</v>
      </c>
      <c r="D28" s="27"/>
      <c r="E28" s="27">
        <f ca="1">ROUND(FIRE1402_working!E28,0)</f>
        <v>1</v>
      </c>
      <c r="F28" s="27">
        <f ca="1">ROUND(FIRE1402_working!F28,0)</f>
        <v>42</v>
      </c>
      <c r="G28" s="27"/>
      <c r="H28" s="27">
        <f ca="1">ROUND(FIRE1402_working!H28,0)</f>
        <v>1</v>
      </c>
    </row>
    <row r="29" spans="1:8" x14ac:dyDescent="0.35">
      <c r="A29" s="1" t="s">
        <v>21</v>
      </c>
      <c r="B29" s="27">
        <f ca="1">ROUND(FIRE1402_working!B29,0)</f>
        <v>16</v>
      </c>
      <c r="C29" s="27">
        <f ca="1">ROUND(FIRE1402_working!C29,0)</f>
        <v>12</v>
      </c>
      <c r="D29" s="27"/>
      <c r="E29" s="27">
        <f ca="1">ROUND(FIRE1402_working!E29,0)</f>
        <v>0</v>
      </c>
      <c r="F29" s="27">
        <f ca="1">ROUND(FIRE1402_working!F29,0)</f>
        <v>5</v>
      </c>
      <c r="G29" s="27"/>
      <c r="H29" s="27">
        <f ca="1">ROUND(FIRE1402_working!H29,0)</f>
        <v>0</v>
      </c>
    </row>
    <row r="30" spans="1:8" x14ac:dyDescent="0.35">
      <c r="A30" s="1" t="s">
        <v>22</v>
      </c>
      <c r="B30" s="27">
        <f ca="1">ROUND(FIRE1402_working!B30,0)</f>
        <v>165</v>
      </c>
      <c r="C30" s="27">
        <f ca="1">ROUND(FIRE1402_working!C30,0)</f>
        <v>266</v>
      </c>
      <c r="D30" s="27"/>
      <c r="E30" s="27">
        <f ca="1">ROUND(FIRE1402_working!E30,0)</f>
        <v>2</v>
      </c>
      <c r="F30" s="27">
        <f ca="1">ROUND(FIRE1402_working!F30,0)</f>
        <v>27</v>
      </c>
      <c r="G30" s="27"/>
      <c r="H30" s="27">
        <f ca="1">ROUND(FIRE1402_working!H30,0)</f>
        <v>3</v>
      </c>
    </row>
    <row r="31" spans="1:8" x14ac:dyDescent="0.35">
      <c r="A31" s="1" t="s">
        <v>23</v>
      </c>
      <c r="B31" s="27">
        <f ca="1">ROUND(FIRE1402_working!B31,0)</f>
        <v>43</v>
      </c>
      <c r="C31" s="27">
        <f ca="1">ROUND(FIRE1402_working!C31,0)</f>
        <v>15</v>
      </c>
      <c r="D31" s="27"/>
      <c r="E31" s="27">
        <f ca="1">ROUND(FIRE1402_working!E31,0)</f>
        <v>2</v>
      </c>
      <c r="F31" s="27">
        <f ca="1">ROUND(FIRE1402_working!F31,0)</f>
        <v>2</v>
      </c>
      <c r="G31" s="27"/>
      <c r="H31" s="27">
        <f ca="1">ROUND(FIRE1402_working!H31,0)</f>
        <v>0</v>
      </c>
    </row>
    <row r="32" spans="1:8" x14ac:dyDescent="0.35">
      <c r="A32" s="1" t="s">
        <v>24</v>
      </c>
      <c r="B32" s="27">
        <f ca="1">ROUND(FIRE1402_working!B32,0)</f>
        <v>19</v>
      </c>
      <c r="C32" s="27">
        <f ca="1">ROUND(FIRE1402_working!C32,0)</f>
        <v>35</v>
      </c>
      <c r="D32" s="27"/>
      <c r="E32" s="27">
        <f ca="1">ROUND(FIRE1402_working!E32,0)</f>
        <v>4</v>
      </c>
      <c r="F32" s="27">
        <f ca="1">ROUND(FIRE1402_working!F32,0)</f>
        <v>25</v>
      </c>
      <c r="G32" s="27"/>
      <c r="H32" s="27">
        <f ca="1">ROUND(FIRE1402_working!H32,0)</f>
        <v>0</v>
      </c>
    </row>
    <row r="33" spans="1:8" x14ac:dyDescent="0.35">
      <c r="A33" s="1" t="s">
        <v>25</v>
      </c>
      <c r="B33" s="27">
        <f ca="1">ROUND(FIRE1402_working!B33,0)</f>
        <v>12</v>
      </c>
      <c r="C33" s="27">
        <f ca="1">ROUND(FIRE1402_working!C33,0)</f>
        <v>13</v>
      </c>
      <c r="D33" s="27"/>
      <c r="E33" s="27">
        <f ca="1">ROUND(FIRE1402_working!E33,0)</f>
        <v>2</v>
      </c>
      <c r="F33" s="27">
        <f ca="1">ROUND(FIRE1402_working!F33,0)</f>
        <v>22</v>
      </c>
      <c r="G33" s="27"/>
      <c r="H33" s="27">
        <f ca="1">ROUND(FIRE1402_working!H33,0)</f>
        <v>1</v>
      </c>
    </row>
    <row r="34" spans="1:8" x14ac:dyDescent="0.35">
      <c r="A34" s="1" t="s">
        <v>26</v>
      </c>
      <c r="B34" s="27">
        <f ca="1">ROUND(FIRE1402_working!B34,0)</f>
        <v>23</v>
      </c>
      <c r="C34" s="27">
        <f ca="1">ROUND(FIRE1402_working!C34,0)</f>
        <v>20</v>
      </c>
      <c r="D34" s="27"/>
      <c r="E34" s="27">
        <f ca="1">ROUND(FIRE1402_working!E34,0)</f>
        <v>1</v>
      </c>
      <c r="F34" s="27">
        <f ca="1">ROUND(FIRE1402_working!F34,0)</f>
        <v>18</v>
      </c>
      <c r="G34" s="27"/>
      <c r="H34" s="27">
        <f ca="1">ROUND(FIRE1402_working!H34,0)</f>
        <v>0</v>
      </c>
    </row>
    <row r="35" spans="1:8" x14ac:dyDescent="0.35">
      <c r="A35" s="1" t="s">
        <v>27</v>
      </c>
      <c r="B35" s="27">
        <f ca="1">ROUND(FIRE1402_working!B35,0)</f>
        <v>5</v>
      </c>
      <c r="C35" s="27">
        <f ca="1">ROUND(FIRE1402_working!C35,0)</f>
        <v>9</v>
      </c>
      <c r="D35" s="27"/>
      <c r="E35" s="27">
        <f ca="1">ROUND(FIRE1402_working!E35,0)</f>
        <v>1</v>
      </c>
      <c r="F35" s="27">
        <f ca="1">ROUND(FIRE1402_working!F35,0)</f>
        <v>10</v>
      </c>
      <c r="G35" s="27"/>
      <c r="H35" s="27">
        <f ca="1">ROUND(FIRE1402_working!H35,0)</f>
        <v>0</v>
      </c>
    </row>
    <row r="36" spans="1:8" x14ac:dyDescent="0.35">
      <c r="A36" s="1" t="s">
        <v>28</v>
      </c>
      <c r="B36" s="27">
        <f ca="1">ROUND(FIRE1402_working!B36,0)</f>
        <v>1</v>
      </c>
      <c r="C36" s="27">
        <f ca="1">ROUND(FIRE1402_working!C36,0)</f>
        <v>2</v>
      </c>
      <c r="D36" s="27"/>
      <c r="E36" s="27">
        <f ca="1">ROUND(FIRE1402_working!E36,0)</f>
        <v>0</v>
      </c>
      <c r="F36" s="27">
        <f ca="1">ROUND(FIRE1402_working!F36,0)</f>
        <v>0</v>
      </c>
      <c r="G36" s="27"/>
      <c r="H36" s="27">
        <f ca="1">ROUND(FIRE1402_working!H36,0)</f>
        <v>0</v>
      </c>
    </row>
    <row r="37" spans="1:8" x14ac:dyDescent="0.35">
      <c r="A37" s="1" t="s">
        <v>29</v>
      </c>
      <c r="B37" s="27">
        <f ca="1">ROUND(FIRE1402_working!B37,0)</f>
        <v>0</v>
      </c>
      <c r="C37" s="27">
        <f ca="1">ROUND(FIRE1402_working!C37,0)</f>
        <v>0</v>
      </c>
      <c r="D37" s="27"/>
      <c r="E37" s="27">
        <f ca="1">ROUND(FIRE1402_working!E37,0)</f>
        <v>0</v>
      </c>
      <c r="F37" s="27">
        <f ca="1">ROUND(FIRE1402_working!F37,0)</f>
        <v>0</v>
      </c>
      <c r="G37" s="27"/>
      <c r="H37" s="27">
        <f ca="1">ROUND(FIRE1402_working!H37,0)</f>
        <v>0</v>
      </c>
    </row>
    <row r="38" spans="1:8" x14ac:dyDescent="0.35">
      <c r="A38" s="1" t="s">
        <v>30</v>
      </c>
      <c r="B38" s="27">
        <f ca="1">ROUND(FIRE1402_working!B38,0)</f>
        <v>32</v>
      </c>
      <c r="C38" s="27">
        <f ca="1">ROUND(FIRE1402_working!C38,0)</f>
        <v>36</v>
      </c>
      <c r="D38" s="27"/>
      <c r="E38" s="27">
        <f ca="1">ROUND(FIRE1402_working!E38,0)</f>
        <v>5</v>
      </c>
      <c r="F38" s="27">
        <f ca="1">ROUND(FIRE1402_working!F38,0)</f>
        <v>34</v>
      </c>
      <c r="G38" s="27"/>
      <c r="H38" s="27">
        <f ca="1">ROUND(FIRE1402_working!H38,0)</f>
        <v>0</v>
      </c>
    </row>
    <row r="39" spans="1:8" x14ac:dyDescent="0.35">
      <c r="A39" s="1" t="s">
        <v>31</v>
      </c>
      <c r="B39" s="27">
        <f ca="1">ROUND(FIRE1402_working!B39,0)</f>
        <v>11</v>
      </c>
      <c r="C39" s="27">
        <f ca="1">ROUND(FIRE1402_working!C39,0)</f>
        <v>28</v>
      </c>
      <c r="D39" s="27"/>
      <c r="E39" s="27">
        <f ca="1">ROUND(FIRE1402_working!E39,0)</f>
        <v>0</v>
      </c>
      <c r="F39" s="27">
        <f ca="1">ROUND(FIRE1402_working!F39,0)</f>
        <v>17</v>
      </c>
      <c r="G39" s="27"/>
      <c r="H39" s="27">
        <f ca="1">ROUND(FIRE1402_working!H39,0)</f>
        <v>19</v>
      </c>
    </row>
    <row r="40" spans="1:8" x14ac:dyDescent="0.35">
      <c r="A40" s="1" t="s">
        <v>32</v>
      </c>
      <c r="B40" s="27">
        <f ca="1">ROUND(FIRE1402_working!B40,0)</f>
        <v>13</v>
      </c>
      <c r="C40" s="27">
        <f ca="1">ROUND(FIRE1402_working!C40,0)</f>
        <v>18</v>
      </c>
      <c r="D40" s="27"/>
      <c r="E40" s="27">
        <f ca="1">ROUND(FIRE1402_working!E40,0)</f>
        <v>1</v>
      </c>
      <c r="F40" s="27">
        <f ca="1">ROUND(FIRE1402_working!F40,0)</f>
        <v>1</v>
      </c>
      <c r="G40" s="27"/>
      <c r="H40" s="27">
        <f ca="1">ROUND(FIRE1402_working!H40,0)</f>
        <v>8</v>
      </c>
    </row>
    <row r="41" spans="1:8" x14ac:dyDescent="0.35">
      <c r="A41" s="1" t="s">
        <v>33</v>
      </c>
      <c r="B41" s="27">
        <f ca="1">ROUND(FIRE1402_working!B41,0)</f>
        <v>11</v>
      </c>
      <c r="C41" s="27">
        <f ca="1">ROUND(FIRE1402_working!C41,0)</f>
        <v>20</v>
      </c>
      <c r="D41" s="27"/>
      <c r="E41" s="27">
        <f ca="1">ROUND(FIRE1402_working!E41,0)</f>
        <v>1</v>
      </c>
      <c r="F41" s="27">
        <f ca="1">ROUND(FIRE1402_working!F41,0)</f>
        <v>12</v>
      </c>
      <c r="G41" s="27"/>
      <c r="H41" s="27">
        <f ca="1">ROUND(FIRE1402_working!H41,0)</f>
        <v>2</v>
      </c>
    </row>
    <row r="42" spans="1:8" x14ac:dyDescent="0.35">
      <c r="A42" s="1" t="s">
        <v>34</v>
      </c>
      <c r="B42" s="27">
        <f ca="1">ROUND(FIRE1402_working!B42,0)</f>
        <v>18</v>
      </c>
      <c r="C42" s="27">
        <f ca="1">ROUND(FIRE1402_working!C42,0)</f>
        <v>40</v>
      </c>
      <c r="D42" s="27"/>
      <c r="E42" s="27">
        <f ca="1">ROUND(FIRE1402_working!E42,0)</f>
        <v>0</v>
      </c>
      <c r="F42" s="27">
        <f ca="1">ROUND(FIRE1402_working!F42,0)</f>
        <v>25</v>
      </c>
      <c r="G42" s="27"/>
      <c r="H42" s="27">
        <f ca="1">ROUND(FIRE1402_working!H42,0)</f>
        <v>2</v>
      </c>
    </row>
    <row r="43" spans="1:8" x14ac:dyDescent="0.35">
      <c r="A43" s="1" t="s">
        <v>35</v>
      </c>
      <c r="B43" s="27">
        <f ca="1">ROUND(FIRE1402_working!B43,0)</f>
        <v>27</v>
      </c>
      <c r="C43" s="27">
        <f ca="1">ROUND(FIRE1402_working!C43,0)</f>
        <v>28</v>
      </c>
      <c r="D43" s="27"/>
      <c r="E43" s="27">
        <f ca="1">ROUND(FIRE1402_working!E43,0)</f>
        <v>4</v>
      </c>
      <c r="F43" s="27">
        <f ca="1">ROUND(FIRE1402_working!F43,0)</f>
        <v>19</v>
      </c>
      <c r="G43" s="27"/>
      <c r="H43" s="27">
        <f ca="1">ROUND(FIRE1402_working!H43,0)</f>
        <v>3</v>
      </c>
    </row>
    <row r="44" spans="1:8" x14ac:dyDescent="0.35">
      <c r="A44" s="1" t="s">
        <v>36</v>
      </c>
      <c r="B44" s="27">
        <f ca="1">ROUND(FIRE1402_working!B44,0)</f>
        <v>9</v>
      </c>
      <c r="C44" s="27">
        <f ca="1">ROUND(FIRE1402_working!C44,0)</f>
        <v>20</v>
      </c>
      <c r="D44" s="27"/>
      <c r="E44" s="27">
        <f ca="1">ROUND(FIRE1402_working!E44,0)</f>
        <v>1</v>
      </c>
      <c r="F44" s="27">
        <f ca="1">ROUND(FIRE1402_working!F44,0)</f>
        <v>12</v>
      </c>
      <c r="G44" s="27"/>
      <c r="H44" s="27">
        <f ca="1">ROUND(FIRE1402_working!H44,0)</f>
        <v>1</v>
      </c>
    </row>
    <row r="45" spans="1:8" x14ac:dyDescent="0.35">
      <c r="A45" s="1" t="s">
        <v>37</v>
      </c>
      <c r="B45" s="27">
        <f ca="1">ROUND(FIRE1402_working!B45,0)</f>
        <v>7</v>
      </c>
      <c r="C45" s="27">
        <f ca="1">ROUND(FIRE1402_working!C45,0)</f>
        <v>15</v>
      </c>
      <c r="D45" s="27"/>
      <c r="E45" s="27">
        <f ca="1">ROUND(FIRE1402_working!E45,0)</f>
        <v>1</v>
      </c>
      <c r="F45" s="27">
        <f ca="1">ROUND(FIRE1402_working!F45,0)</f>
        <v>9</v>
      </c>
      <c r="G45" s="27"/>
      <c r="H45" s="27">
        <f ca="1">ROUND(FIRE1402_working!H45,0)</f>
        <v>1</v>
      </c>
    </row>
    <row r="46" spans="1:8" x14ac:dyDescent="0.35">
      <c r="A46" s="1" t="s">
        <v>38</v>
      </c>
      <c r="B46" s="27">
        <f ca="1">ROUND(FIRE1402_working!B46,0)</f>
        <v>17</v>
      </c>
      <c r="C46" s="27">
        <f ca="1">ROUND(FIRE1402_working!C46,0)</f>
        <v>9</v>
      </c>
      <c r="D46" s="27"/>
      <c r="E46" s="27">
        <f ca="1">ROUND(FIRE1402_working!E46,0)</f>
        <v>0</v>
      </c>
      <c r="F46" s="27">
        <f ca="1">ROUND(FIRE1402_working!F46,0)</f>
        <v>10</v>
      </c>
      <c r="G46" s="27"/>
      <c r="H46" s="27">
        <f ca="1">ROUND(FIRE1402_working!H46,0)</f>
        <v>0</v>
      </c>
    </row>
    <row r="47" spans="1:8" x14ac:dyDescent="0.35">
      <c r="A47" s="1" t="s">
        <v>39</v>
      </c>
      <c r="B47" s="27">
        <f ca="1">ROUND(FIRE1402_working!B47,0)</f>
        <v>26</v>
      </c>
      <c r="C47" s="27">
        <f ca="1">ROUND(FIRE1402_working!C47,0)</f>
        <v>18</v>
      </c>
      <c r="D47" s="27"/>
      <c r="E47" s="27">
        <f ca="1">ROUND(FIRE1402_working!E47,0)</f>
        <v>0</v>
      </c>
      <c r="F47" s="27">
        <f ca="1">ROUND(FIRE1402_working!F47,0)</f>
        <v>9</v>
      </c>
      <c r="G47" s="27"/>
      <c r="H47" s="27">
        <f ca="1">ROUND(FIRE1402_working!H47,0)</f>
        <v>0</v>
      </c>
    </row>
    <row r="48" spans="1:8" x14ac:dyDescent="0.35">
      <c r="A48" s="1" t="s">
        <v>40</v>
      </c>
      <c r="B48" s="27">
        <f ca="1">ROUND(FIRE1402_working!B48,0)</f>
        <v>13</v>
      </c>
      <c r="C48" s="27">
        <f ca="1">ROUND(FIRE1402_working!C48,0)</f>
        <v>24</v>
      </c>
      <c r="D48" s="27"/>
      <c r="E48" s="27">
        <f ca="1">ROUND(FIRE1402_working!E48,0)</f>
        <v>0</v>
      </c>
      <c r="F48" s="27">
        <f ca="1">ROUND(FIRE1402_working!F48,0)</f>
        <v>10</v>
      </c>
      <c r="G48" s="27"/>
      <c r="H48" s="27">
        <f ca="1">ROUND(FIRE1402_working!H48,0)</f>
        <v>0</v>
      </c>
    </row>
    <row r="49" spans="1:21" x14ac:dyDescent="0.35">
      <c r="A49" s="1" t="s">
        <v>41</v>
      </c>
      <c r="B49" s="27">
        <f ca="1">ROUND(FIRE1402_working!B49,0)</f>
        <v>9</v>
      </c>
      <c r="C49" s="27">
        <f ca="1">ROUND(FIRE1402_working!C49,0)</f>
        <v>5</v>
      </c>
      <c r="D49" s="27"/>
      <c r="E49" s="27">
        <f ca="1">ROUND(FIRE1402_working!E49,0)</f>
        <v>0</v>
      </c>
      <c r="F49" s="27">
        <f ca="1">ROUND(FIRE1402_working!F49,0)</f>
        <v>6</v>
      </c>
      <c r="G49" s="27"/>
      <c r="H49" s="27">
        <f ca="1">ROUND(FIRE1402_working!H49,0)</f>
        <v>11</v>
      </c>
    </row>
    <row r="50" spans="1:21" x14ac:dyDescent="0.35">
      <c r="A50" s="1" t="s">
        <v>42</v>
      </c>
      <c r="B50" s="27">
        <f ca="1">ROUND(FIRE1402_working!B50,0)</f>
        <v>12</v>
      </c>
      <c r="C50" s="27">
        <f ca="1">ROUND(FIRE1402_working!C50,0)</f>
        <v>14</v>
      </c>
      <c r="D50" s="27"/>
      <c r="E50" s="27">
        <f ca="1">ROUND(FIRE1402_working!E50,0)</f>
        <v>1</v>
      </c>
      <c r="F50" s="27">
        <f ca="1">ROUND(FIRE1402_working!F50,0)</f>
        <v>21</v>
      </c>
      <c r="G50" s="27"/>
      <c r="H50" s="27">
        <f ca="1">ROUND(FIRE1402_working!H50,0)</f>
        <v>0</v>
      </c>
    </row>
    <row r="51" spans="1:21" x14ac:dyDescent="0.35">
      <c r="A51" s="1" t="s">
        <v>43</v>
      </c>
      <c r="B51" s="27">
        <f ca="1">ROUND(FIRE1402_working!B51,0)</f>
        <v>30</v>
      </c>
      <c r="C51" s="27">
        <f ca="1">ROUND(FIRE1402_working!C51,0)</f>
        <v>20</v>
      </c>
      <c r="D51" s="27"/>
      <c r="E51" s="27">
        <f ca="1">ROUND(FIRE1402_working!E51,0)</f>
        <v>0</v>
      </c>
      <c r="F51" s="27">
        <f ca="1">ROUND(FIRE1402_working!F51,0)</f>
        <v>19</v>
      </c>
      <c r="G51" s="27"/>
      <c r="H51" s="27">
        <f ca="1">ROUND(FIRE1402_working!H51,0)</f>
        <v>0</v>
      </c>
    </row>
    <row r="52" spans="1:21" x14ac:dyDescent="0.35">
      <c r="A52" s="1" t="s">
        <v>44</v>
      </c>
      <c r="B52" s="27">
        <f ca="1">ROUND(FIRE1402_working!B52,0)</f>
        <v>7</v>
      </c>
      <c r="C52" s="27">
        <f ca="1">ROUND(FIRE1402_working!C52,0)</f>
        <v>10</v>
      </c>
      <c r="D52" s="27"/>
      <c r="E52" s="27">
        <f ca="1">ROUND(FIRE1402_working!E52,0)</f>
        <v>0</v>
      </c>
      <c r="F52" s="27">
        <f ca="1">ROUND(FIRE1402_working!F52,0)</f>
        <v>5</v>
      </c>
      <c r="G52" s="27"/>
      <c r="H52" s="27">
        <f ca="1">ROUND(FIRE1402_working!H52,0)</f>
        <v>0</v>
      </c>
    </row>
    <row r="53" spans="1:21" x14ac:dyDescent="0.35">
      <c r="A53" s="1" t="s">
        <v>45</v>
      </c>
      <c r="B53" s="27">
        <f ca="1">ROUND(FIRE1402_working!B53,0)</f>
        <v>15</v>
      </c>
      <c r="C53" s="27">
        <f ca="1">ROUND(FIRE1402_working!C53,0)</f>
        <v>26</v>
      </c>
      <c r="D53" s="27"/>
      <c r="E53" s="27">
        <f ca="1">ROUND(FIRE1402_working!E53,0)</f>
        <v>1</v>
      </c>
      <c r="F53" s="27">
        <f ca="1">ROUND(FIRE1402_working!F53,0)</f>
        <v>2</v>
      </c>
      <c r="G53" s="27"/>
      <c r="H53" s="27">
        <f ca="1">ROUND(FIRE1402_working!H53,0)</f>
        <v>0</v>
      </c>
    </row>
    <row r="54" spans="1:21" x14ac:dyDescent="0.35">
      <c r="A54" s="1" t="s">
        <v>46</v>
      </c>
      <c r="B54" s="27">
        <f ca="1">ROUND(FIRE1402_working!B54,0)</f>
        <v>16</v>
      </c>
      <c r="C54" s="27">
        <f ca="1">ROUND(FIRE1402_working!C54,0)</f>
        <v>26</v>
      </c>
      <c r="D54" s="27"/>
      <c r="E54" s="27">
        <f ca="1">ROUND(FIRE1402_working!E54,0)</f>
        <v>0</v>
      </c>
      <c r="F54" s="27">
        <f ca="1">ROUND(FIRE1402_working!F54,0)</f>
        <v>9</v>
      </c>
      <c r="G54" s="27"/>
      <c r="H54" s="27">
        <f ca="1">ROUND(FIRE1402_working!H54,0)</f>
        <v>3</v>
      </c>
    </row>
    <row r="55" spans="1:21" x14ac:dyDescent="0.35">
      <c r="A55" s="1" t="s">
        <v>47</v>
      </c>
      <c r="B55" s="27">
        <f ca="1">ROUND(FIRE1402_working!B55,0)</f>
        <v>10</v>
      </c>
      <c r="C55" s="27">
        <f ca="1">ROUND(FIRE1402_working!C55,0)</f>
        <v>10</v>
      </c>
      <c r="D55" s="27"/>
      <c r="E55" s="27">
        <f ca="1">ROUND(FIRE1402_working!E55,0)</f>
        <v>1</v>
      </c>
      <c r="F55" s="27">
        <f ca="1">ROUND(FIRE1402_working!F55,0)</f>
        <v>6</v>
      </c>
      <c r="G55" s="27"/>
      <c r="H55" s="27">
        <f ca="1">ROUND(FIRE1402_working!H55,0)</f>
        <v>2</v>
      </c>
    </row>
    <row r="56" spans="1:21" x14ac:dyDescent="0.35">
      <c r="A56" s="1" t="s">
        <v>48</v>
      </c>
      <c r="B56" s="27">
        <f ca="1">ROUND(FIRE1402_working!B56,0)</f>
        <v>23</v>
      </c>
      <c r="C56" s="27">
        <f ca="1">ROUND(FIRE1402_working!C56,0)</f>
        <v>41</v>
      </c>
      <c r="D56" s="27"/>
      <c r="E56" s="27">
        <f ca="1">ROUND(FIRE1402_working!E56,0)</f>
        <v>2</v>
      </c>
      <c r="F56" s="27">
        <f ca="1">ROUND(FIRE1402_working!F56,0)</f>
        <v>16</v>
      </c>
      <c r="G56" s="27"/>
      <c r="H56" s="27">
        <f ca="1">ROUND(FIRE1402_working!H56,0)</f>
        <v>1</v>
      </c>
    </row>
    <row r="57" spans="1:21" x14ac:dyDescent="0.35">
      <c r="A57" s="28" t="s">
        <v>49</v>
      </c>
      <c r="B57" s="27">
        <f ca="1">ROUND(FIRE1402_working!B57,0)</f>
        <v>4</v>
      </c>
      <c r="C57" s="27">
        <f ca="1">ROUND(FIRE1402_working!C57,0)</f>
        <v>11</v>
      </c>
      <c r="D57" s="27"/>
      <c r="E57" s="27">
        <f ca="1">ROUND(FIRE1402_working!E57,0)</f>
        <v>2</v>
      </c>
      <c r="F57" s="27">
        <f ca="1">ROUND(FIRE1402_working!F57,0)</f>
        <v>15</v>
      </c>
      <c r="G57" s="27"/>
      <c r="H57" s="27">
        <f ca="1">ROUND(FIRE1402_working!H57,0)</f>
        <v>0</v>
      </c>
    </row>
    <row r="58" spans="1:21" ht="15" thickBot="1" x14ac:dyDescent="0.4">
      <c r="A58" s="29" t="s">
        <v>50</v>
      </c>
      <c r="B58" s="30">
        <f ca="1">ROUND(FIRE1402_working!B58,0)</f>
        <v>29</v>
      </c>
      <c r="C58" s="30">
        <f ca="1">ROUND(FIRE1402_working!C58,0)</f>
        <v>33</v>
      </c>
      <c r="D58" s="30"/>
      <c r="E58" s="30">
        <f ca="1">ROUND(FIRE1402_working!E58,0)</f>
        <v>2</v>
      </c>
      <c r="F58" s="30">
        <f ca="1">ROUND(FIRE1402_working!F58,0)</f>
        <v>30</v>
      </c>
      <c r="G58" s="30"/>
      <c r="H58" s="30">
        <f ca="1">ROUND(FIRE1402_working!H58,0)</f>
        <v>2</v>
      </c>
    </row>
    <row r="59" spans="1:21" x14ac:dyDescent="0.3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3"/>
    </row>
    <row r="60" spans="1:21" x14ac:dyDescent="0.35">
      <c r="A60" s="31" t="s">
        <v>89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3"/>
    </row>
    <row r="61" spans="1:21" s="35" customFormat="1" ht="25.5" customHeight="1" x14ac:dyDescent="0.3">
      <c r="A61" s="45" t="s">
        <v>90</v>
      </c>
      <c r="B61" s="45"/>
      <c r="C61" s="45"/>
      <c r="D61" s="45"/>
      <c r="E61" s="45"/>
      <c r="F61" s="45"/>
      <c r="G61" s="45"/>
      <c r="H61" s="45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4"/>
    </row>
    <row r="62" spans="1:21" ht="12.75" customHeight="1" x14ac:dyDescent="0.35">
      <c r="A62" s="35" t="s">
        <v>93</v>
      </c>
    </row>
    <row r="64" spans="1:21" x14ac:dyDescent="0.35">
      <c r="A64" s="31" t="s">
        <v>94</v>
      </c>
    </row>
    <row r="65" spans="1:20" x14ac:dyDescent="0.35">
      <c r="A65" s="38" t="s">
        <v>95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x14ac:dyDescent="0.35">
      <c r="A66" s="40"/>
    </row>
    <row r="67" spans="1:20" x14ac:dyDescent="0.35">
      <c r="A67" s="35" t="s">
        <v>96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x14ac:dyDescent="0.35">
      <c r="A68" s="44" t="s">
        <v>97</v>
      </c>
      <c r="B68" s="44"/>
      <c r="C68" s="44"/>
      <c r="D68" s="44"/>
      <c r="E68" s="44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x14ac:dyDescent="0.3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x14ac:dyDescent="0.35">
      <c r="A70" s="44" t="s">
        <v>99</v>
      </c>
      <c r="B70" s="44"/>
      <c r="C70" s="4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x14ac:dyDescent="0.3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20" x14ac:dyDescent="0.35">
      <c r="A72" s="35" t="s">
        <v>98</v>
      </c>
      <c r="B72" s="35"/>
      <c r="C72" s="35"/>
      <c r="D72" s="35"/>
      <c r="E72" s="35"/>
      <c r="G72" s="37"/>
      <c r="H72" s="41" t="s">
        <v>100</v>
      </c>
      <c r="I72" s="35"/>
      <c r="J72" s="35"/>
      <c r="K72" s="35"/>
      <c r="L72" s="35"/>
      <c r="M72" s="35"/>
      <c r="N72" s="37"/>
      <c r="O72" s="37"/>
      <c r="P72" s="37"/>
      <c r="Q72" s="37"/>
    </row>
    <row r="73" spans="1:20" x14ac:dyDescent="0.35">
      <c r="A73" s="36" t="s">
        <v>102</v>
      </c>
      <c r="B73" s="36"/>
      <c r="C73" s="36"/>
      <c r="D73" s="36"/>
      <c r="F73" s="41"/>
      <c r="H73" s="41" t="s">
        <v>101</v>
      </c>
      <c r="I73" s="35"/>
      <c r="J73" s="35"/>
      <c r="K73" s="35"/>
      <c r="L73" s="35"/>
      <c r="M73" s="35"/>
      <c r="N73" s="35"/>
      <c r="O73" s="35"/>
      <c r="P73" s="35"/>
      <c r="Q73" s="35"/>
    </row>
    <row r="112" spans="11:11" x14ac:dyDescent="0.35">
      <c r="K112" s="5" t="s">
        <v>77</v>
      </c>
    </row>
    <row r="113" spans="11:11" x14ac:dyDescent="0.35">
      <c r="K113" s="5" t="s">
        <v>78</v>
      </c>
    </row>
    <row r="114" spans="11:11" x14ac:dyDescent="0.35">
      <c r="K114" s="5" t="s">
        <v>85</v>
      </c>
    </row>
    <row r="115" spans="11:11" x14ac:dyDescent="0.35">
      <c r="K115" s="5" t="s">
        <v>86</v>
      </c>
    </row>
    <row r="116" spans="11:11" x14ac:dyDescent="0.35">
      <c r="K116" s="5" t="s">
        <v>87</v>
      </c>
    </row>
    <row r="117" spans="11:11" x14ac:dyDescent="0.35">
      <c r="K117" s="5" t="s">
        <v>53</v>
      </c>
    </row>
    <row r="118" spans="11:11" x14ac:dyDescent="0.35">
      <c r="K118" s="5" t="s">
        <v>88</v>
      </c>
    </row>
    <row r="119" spans="11:11" x14ac:dyDescent="0.35">
      <c r="K119" s="5" t="s">
        <v>84</v>
      </c>
    </row>
  </sheetData>
  <mergeCells count="9">
    <mergeCell ref="A70:C70"/>
    <mergeCell ref="A61:H61"/>
    <mergeCell ref="A68:E68"/>
    <mergeCell ref="A1:H1"/>
    <mergeCell ref="A4:F4"/>
    <mergeCell ref="B5:F5"/>
    <mergeCell ref="B6:C6"/>
    <mergeCell ref="E6:F6"/>
    <mergeCell ref="H6:H7"/>
  </mergeCells>
  <dataValidations count="1">
    <dataValidation type="list" allowBlank="1" showInputMessage="1" showErrorMessage="1" sqref="A4:F4" xr:uid="{83F30B3B-DDCF-46B4-B8F7-9DFCA1041B74}">
      <formula1>$K$112:$K$119</formula1>
    </dataValidation>
  </dataValidations>
  <hyperlinks>
    <hyperlink ref="A61" location="FRS_geog_cats" display="1 For a list of FRAs and whether they are considered &quot;Metropolitan&quot;, &quot;Non Metropolitan&quot;, &quot;Predominately Rural&quot;, &quot;Significantly Rural&quot; or &quot;Predominantely Urban&quot; please see the FRS geographical categories sheet." xr:uid="{645C0414-56EB-4801-AECC-44BE3C40DEF7}"/>
    <hyperlink ref="A70" r:id="rId1" display="The statistics in this table are National Statistics." xr:uid="{80184AE6-798F-4F39-9589-C5527A04D1C3}"/>
    <hyperlink ref="H72" r:id="rId2" display="Last updated: 14 February 2019" xr:uid="{F7E6B077-5A65-49F2-810D-9EF11D99A4F6}"/>
    <hyperlink ref="H73" r:id="rId3" display="Next update: 9 May 2019" xr:uid="{1FEFFFBA-4889-4878-B522-DA86383D91C5}"/>
    <hyperlink ref="A68:E68" r:id="rId4" display="https://www.gov.uk/government/collections/fire-statistics" xr:uid="{ACC74456-A172-469A-B536-7543005CB988}"/>
    <hyperlink ref="A73:D73" r:id="rId5" display="FireStatistics@homeoffice.gov.uk" xr:uid="{68396994-DF6F-4432-8C5D-73320BDFB80F}"/>
  </hyperlinks>
  <pageMargins left="0.7" right="0.7" top="0.75" bottom="0.75" header="0.3" footer="0.3"/>
  <pageSetup paperSize="9" orientation="portrait"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B3CE3-1FB9-4DDD-92FA-ACC0B92FF046}">
  <dimension ref="A1:J51"/>
  <sheetViews>
    <sheetView workbookViewId="0">
      <pane ySplit="1" topLeftCell="A2" activePane="bottomLeft" state="frozen"/>
      <selection pane="bottomLeft"/>
    </sheetView>
  </sheetViews>
  <sheetFormatPr defaultColWidth="8.6328125" defaultRowHeight="14.5" x14ac:dyDescent="0.35"/>
  <cols>
    <col min="1" max="1" width="21.6328125" style="1" customWidth="1"/>
    <col min="2" max="2" width="19.6328125" style="1" bestFit="1" customWidth="1"/>
    <col min="3" max="3" width="20.36328125" style="1" bestFit="1" customWidth="1"/>
    <col min="4" max="16384" width="8.6328125" style="1"/>
  </cols>
  <sheetData>
    <row r="1" spans="1:3" ht="17" thickBot="1" x14ac:dyDescent="0.4">
      <c r="A1" s="23" t="s">
        <v>61</v>
      </c>
      <c r="B1" s="23" t="s">
        <v>62</v>
      </c>
      <c r="C1" s="23" t="s">
        <v>63</v>
      </c>
    </row>
    <row r="2" spans="1:3" x14ac:dyDescent="0.35">
      <c r="A2" s="1" t="s">
        <v>6</v>
      </c>
      <c r="B2" s="1" t="s">
        <v>3</v>
      </c>
      <c r="C2" s="1" t="s">
        <v>1</v>
      </c>
    </row>
    <row r="3" spans="1:3" x14ac:dyDescent="0.35">
      <c r="A3" s="1" t="s">
        <v>7</v>
      </c>
      <c r="B3" s="1" t="s">
        <v>4</v>
      </c>
      <c r="C3" s="1" t="s">
        <v>1</v>
      </c>
    </row>
    <row r="4" spans="1:3" x14ac:dyDescent="0.35">
      <c r="A4" s="1" t="s">
        <v>8</v>
      </c>
      <c r="B4" s="1" t="s">
        <v>3</v>
      </c>
      <c r="C4" s="1" t="s">
        <v>1</v>
      </c>
    </row>
    <row r="5" spans="1:3" x14ac:dyDescent="0.35">
      <c r="A5" s="1" t="s">
        <v>9</v>
      </c>
      <c r="B5" s="1" t="s">
        <v>4</v>
      </c>
      <c r="C5" s="1" t="s">
        <v>1</v>
      </c>
    </row>
    <row r="6" spans="1:3" x14ac:dyDescent="0.35">
      <c r="A6" s="1" t="s">
        <v>10</v>
      </c>
      <c r="B6" s="1" t="s">
        <v>5</v>
      </c>
      <c r="C6" s="1" t="s">
        <v>1</v>
      </c>
    </row>
    <row r="7" spans="1:3" x14ac:dyDescent="0.35">
      <c r="A7" s="1" t="s">
        <v>11</v>
      </c>
      <c r="B7" s="1" t="s">
        <v>4</v>
      </c>
      <c r="C7" s="1" t="s">
        <v>1</v>
      </c>
    </row>
    <row r="8" spans="1:3" x14ac:dyDescent="0.35">
      <c r="A8" s="1" t="s">
        <v>12</v>
      </c>
      <c r="B8" s="1" t="s">
        <v>3</v>
      </c>
      <c r="C8" s="1" t="s">
        <v>1</v>
      </c>
    </row>
    <row r="9" spans="1:3" x14ac:dyDescent="0.35">
      <c r="A9" s="1" t="s">
        <v>13</v>
      </c>
      <c r="B9" s="1" t="s">
        <v>5</v>
      </c>
      <c r="C9" s="1" t="s">
        <v>1</v>
      </c>
    </row>
    <row r="10" spans="1:3" x14ac:dyDescent="0.35">
      <c r="A10" s="1" t="s">
        <v>14</v>
      </c>
      <c r="B10" s="1" t="s">
        <v>5</v>
      </c>
      <c r="C10" s="1" t="s">
        <v>1</v>
      </c>
    </row>
    <row r="11" spans="1:3" x14ac:dyDescent="0.35">
      <c r="A11" s="1" t="s">
        <v>15</v>
      </c>
      <c r="B11" s="1" t="s">
        <v>4</v>
      </c>
      <c r="C11" s="1" t="s">
        <v>1</v>
      </c>
    </row>
    <row r="12" spans="1:3" x14ac:dyDescent="0.35">
      <c r="A12" s="1" t="s">
        <v>16</v>
      </c>
      <c r="B12" s="1" t="s">
        <v>5</v>
      </c>
      <c r="C12" s="1" t="s">
        <v>1</v>
      </c>
    </row>
    <row r="13" spans="1:3" x14ac:dyDescent="0.35">
      <c r="A13" s="1" t="s">
        <v>17</v>
      </c>
      <c r="B13" s="1" t="s">
        <v>4</v>
      </c>
      <c r="C13" s="1" t="s">
        <v>1</v>
      </c>
    </row>
    <row r="14" spans="1:3" x14ac:dyDescent="0.35">
      <c r="A14" s="1" t="s">
        <v>18</v>
      </c>
      <c r="B14" s="1" t="s">
        <v>5</v>
      </c>
      <c r="C14" s="1" t="s">
        <v>1</v>
      </c>
    </row>
    <row r="15" spans="1:3" x14ac:dyDescent="0.35">
      <c r="A15" s="1" t="s">
        <v>19</v>
      </c>
      <c r="B15" s="1" t="s">
        <v>4</v>
      </c>
      <c r="C15" s="1" t="s">
        <v>1</v>
      </c>
    </row>
    <row r="16" spans="1:3" x14ac:dyDescent="0.35">
      <c r="A16" s="1" t="s">
        <v>20</v>
      </c>
      <c r="B16" s="1" t="s">
        <v>4</v>
      </c>
      <c r="C16" s="1" t="s">
        <v>1</v>
      </c>
    </row>
    <row r="17" spans="1:3" x14ac:dyDescent="0.35">
      <c r="A17" s="1" t="s">
        <v>21</v>
      </c>
      <c r="B17" s="1" t="s">
        <v>4</v>
      </c>
      <c r="C17" s="1" t="s">
        <v>1</v>
      </c>
    </row>
    <row r="18" spans="1:3" x14ac:dyDescent="0.35">
      <c r="A18" s="1" t="s">
        <v>22</v>
      </c>
      <c r="B18" s="1" t="s">
        <v>3</v>
      </c>
      <c r="C18" s="1" t="s">
        <v>2</v>
      </c>
    </row>
    <row r="19" spans="1:3" x14ac:dyDescent="0.35">
      <c r="A19" s="1" t="s">
        <v>23</v>
      </c>
      <c r="B19" s="1" t="s">
        <v>3</v>
      </c>
      <c r="C19" s="1" t="s">
        <v>2</v>
      </c>
    </row>
    <row r="20" spans="1:3" x14ac:dyDescent="0.35">
      <c r="A20" s="1" t="s">
        <v>24</v>
      </c>
      <c r="B20" s="1" t="s">
        <v>3</v>
      </c>
      <c r="C20" s="1" t="s">
        <v>1</v>
      </c>
    </row>
    <row r="21" spans="1:3" x14ac:dyDescent="0.35">
      <c r="A21" s="1" t="s">
        <v>25</v>
      </c>
      <c r="B21" s="1" t="s">
        <v>4</v>
      </c>
      <c r="C21" s="1" t="s">
        <v>1</v>
      </c>
    </row>
    <row r="22" spans="1:3" x14ac:dyDescent="0.35">
      <c r="A22" s="1" t="s">
        <v>26</v>
      </c>
      <c r="B22" s="1" t="s">
        <v>3</v>
      </c>
      <c r="C22" s="1" t="s">
        <v>1</v>
      </c>
    </row>
    <row r="23" spans="1:3" x14ac:dyDescent="0.35">
      <c r="A23" s="1" t="s">
        <v>27</v>
      </c>
      <c r="B23" s="1" t="s">
        <v>4</v>
      </c>
      <c r="C23" s="1" t="s">
        <v>1</v>
      </c>
    </row>
    <row r="24" spans="1:3" x14ac:dyDescent="0.35">
      <c r="A24" s="1" t="s">
        <v>64</v>
      </c>
      <c r="B24" s="1" t="s">
        <v>5</v>
      </c>
      <c r="C24" s="1" t="s">
        <v>1</v>
      </c>
    </row>
    <row r="25" spans="1:3" x14ac:dyDescent="0.35">
      <c r="A25" s="1" t="s">
        <v>65</v>
      </c>
      <c r="B25" s="1" t="s">
        <v>5</v>
      </c>
      <c r="C25" s="1" t="s">
        <v>1</v>
      </c>
    </row>
    <row r="26" spans="1:3" x14ac:dyDescent="0.35">
      <c r="A26" s="1" t="s">
        <v>30</v>
      </c>
      <c r="B26" s="1" t="s">
        <v>4</v>
      </c>
      <c r="C26" s="1" t="s">
        <v>1</v>
      </c>
    </row>
    <row r="27" spans="1:3" x14ac:dyDescent="0.35">
      <c r="A27" s="1" t="s">
        <v>31</v>
      </c>
      <c r="B27" s="1" t="s">
        <v>3</v>
      </c>
      <c r="C27" s="1" t="s">
        <v>1</v>
      </c>
    </row>
    <row r="28" spans="1:3" x14ac:dyDescent="0.35">
      <c r="A28" s="1" t="s">
        <v>32</v>
      </c>
      <c r="B28" s="1" t="s">
        <v>4</v>
      </c>
      <c r="C28" s="1" t="s">
        <v>1</v>
      </c>
    </row>
    <row r="29" spans="1:3" x14ac:dyDescent="0.35">
      <c r="A29" s="1" t="s">
        <v>33</v>
      </c>
      <c r="B29" s="1" t="s">
        <v>5</v>
      </c>
      <c r="C29" s="1" t="s">
        <v>1</v>
      </c>
    </row>
    <row r="30" spans="1:3" x14ac:dyDescent="0.35">
      <c r="A30" s="1" t="s">
        <v>34</v>
      </c>
      <c r="B30" s="1" t="s">
        <v>3</v>
      </c>
      <c r="C30" s="1" t="s">
        <v>2</v>
      </c>
    </row>
    <row r="31" spans="1:3" x14ac:dyDescent="0.35">
      <c r="A31" s="1" t="s">
        <v>35</v>
      </c>
      <c r="B31" s="1" t="s">
        <v>5</v>
      </c>
      <c r="C31" s="1" t="s">
        <v>1</v>
      </c>
    </row>
    <row r="32" spans="1:3" x14ac:dyDescent="0.35">
      <c r="A32" s="1" t="s">
        <v>36</v>
      </c>
      <c r="B32" s="1" t="s">
        <v>5</v>
      </c>
      <c r="C32" s="1" t="s">
        <v>1</v>
      </c>
    </row>
    <row r="33" spans="1:10" x14ac:dyDescent="0.35">
      <c r="A33" s="1" t="s">
        <v>37</v>
      </c>
      <c r="B33" s="1" t="s">
        <v>4</v>
      </c>
      <c r="C33" s="1" t="s">
        <v>1</v>
      </c>
    </row>
    <row r="34" spans="1:10" x14ac:dyDescent="0.35">
      <c r="A34" s="1" t="s">
        <v>38</v>
      </c>
      <c r="B34" s="1" t="s">
        <v>5</v>
      </c>
      <c r="C34" s="1" t="s">
        <v>1</v>
      </c>
    </row>
    <row r="35" spans="1:10" x14ac:dyDescent="0.35">
      <c r="A35" s="1" t="s">
        <v>39</v>
      </c>
      <c r="B35" s="1" t="s">
        <v>3</v>
      </c>
      <c r="C35" s="1" t="s">
        <v>1</v>
      </c>
    </row>
    <row r="36" spans="1:10" x14ac:dyDescent="0.35">
      <c r="A36" s="1" t="s">
        <v>40</v>
      </c>
      <c r="B36" s="1" t="s">
        <v>5</v>
      </c>
      <c r="C36" s="1" t="s">
        <v>1</v>
      </c>
    </row>
    <row r="37" spans="1:10" x14ac:dyDescent="0.35">
      <c r="A37" s="1" t="s">
        <v>41</v>
      </c>
      <c r="B37" s="1" t="s">
        <v>5</v>
      </c>
      <c r="C37" s="1" t="s">
        <v>1</v>
      </c>
    </row>
    <row r="38" spans="1:10" x14ac:dyDescent="0.35">
      <c r="A38" s="1" t="s">
        <v>42</v>
      </c>
      <c r="B38" s="1" t="s">
        <v>3</v>
      </c>
      <c r="C38" s="1" t="s">
        <v>2</v>
      </c>
    </row>
    <row r="39" spans="1:10" x14ac:dyDescent="0.35">
      <c r="A39" s="1" t="s">
        <v>43</v>
      </c>
      <c r="B39" s="1" t="s">
        <v>4</v>
      </c>
      <c r="C39" s="1" t="s">
        <v>1</v>
      </c>
    </row>
    <row r="40" spans="1:10" x14ac:dyDescent="0.35">
      <c r="A40" s="1" t="s">
        <v>44</v>
      </c>
      <c r="B40" s="1" t="s">
        <v>5</v>
      </c>
      <c r="C40" s="1" t="s">
        <v>1</v>
      </c>
    </row>
    <row r="41" spans="1:10" x14ac:dyDescent="0.35">
      <c r="A41" s="1" t="s">
        <v>45</v>
      </c>
      <c r="B41" s="1" t="s">
        <v>3</v>
      </c>
      <c r="C41" s="1" t="s">
        <v>1</v>
      </c>
    </row>
    <row r="42" spans="1:10" x14ac:dyDescent="0.35">
      <c r="A42" s="1" t="s">
        <v>46</v>
      </c>
      <c r="B42" s="1" t="s">
        <v>3</v>
      </c>
      <c r="C42" s="1" t="s">
        <v>2</v>
      </c>
    </row>
    <row r="43" spans="1:10" x14ac:dyDescent="0.35">
      <c r="A43" s="1" t="s">
        <v>47</v>
      </c>
      <c r="B43" s="1" t="s">
        <v>4</v>
      </c>
      <c r="C43" s="1" t="s">
        <v>1</v>
      </c>
    </row>
    <row r="44" spans="1:10" x14ac:dyDescent="0.35">
      <c r="A44" s="1" t="s">
        <v>48</v>
      </c>
      <c r="B44" s="1" t="s">
        <v>3</v>
      </c>
      <c r="C44" s="1" t="s">
        <v>2</v>
      </c>
    </row>
    <row r="45" spans="1:10" x14ac:dyDescent="0.35">
      <c r="A45" s="1" t="s">
        <v>49</v>
      </c>
      <c r="B45" s="1" t="s">
        <v>4</v>
      </c>
      <c r="C45" s="1" t="s">
        <v>1</v>
      </c>
    </row>
    <row r="46" spans="1:10" ht="15" thickBot="1" x14ac:dyDescent="0.4">
      <c r="A46" s="24" t="s">
        <v>50</v>
      </c>
      <c r="B46" s="24" t="s">
        <v>3</v>
      </c>
      <c r="C46" s="24" t="s">
        <v>2</v>
      </c>
    </row>
    <row r="48" spans="1:10" x14ac:dyDescent="0.35">
      <c r="A48" s="52" t="s">
        <v>66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" x14ac:dyDescent="0.35">
      <c r="A49" s="25" t="s">
        <v>67</v>
      </c>
    </row>
    <row r="50" spans="1:1" x14ac:dyDescent="0.35">
      <c r="A50" s="25" t="s">
        <v>68</v>
      </c>
    </row>
    <row r="51" spans="1:1" x14ac:dyDescent="0.35">
      <c r="A51" s="25" t="s">
        <v>69</v>
      </c>
    </row>
  </sheetData>
  <mergeCells count="1">
    <mergeCell ref="A48:J48"/>
  </mergeCells>
  <hyperlinks>
    <hyperlink ref="A48" r:id="rId1" display="1  Rural Urban classifications of Fire and Rescue Service as defined by Department for Environment, Food and Rural Affairs (DEFRA).. LINK" xr:uid="{AC20890F-F4C3-4D75-9EAC-90FDE813ED6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401AF-C4D9-4530-B42A-569C94B81364}">
  <sheetPr>
    <tabColor rgb="FFFF0000"/>
  </sheetPr>
  <dimension ref="A4:J70"/>
  <sheetViews>
    <sheetView workbookViewId="0">
      <selection activeCell="B14" sqref="B14:F58"/>
    </sheetView>
  </sheetViews>
  <sheetFormatPr defaultRowHeight="14.5" x14ac:dyDescent="0.35"/>
  <cols>
    <col min="1" max="1" width="25.54296875" customWidth="1"/>
  </cols>
  <sheetData>
    <row r="4" spans="1:10" x14ac:dyDescent="0.35">
      <c r="A4" s="42" t="s">
        <v>79</v>
      </c>
      <c r="B4" s="42"/>
      <c r="C4" s="42"/>
      <c r="D4" s="42"/>
      <c r="E4" s="42"/>
      <c r="F4" s="42"/>
      <c r="G4" s="42"/>
      <c r="H4" s="42"/>
    </row>
    <row r="6" spans="1:10" x14ac:dyDescent="0.35">
      <c r="B6" t="s">
        <v>54</v>
      </c>
      <c r="E6" t="s">
        <v>55</v>
      </c>
      <c r="H6" t="s">
        <v>59</v>
      </c>
    </row>
    <row r="7" spans="1:10" x14ac:dyDescent="0.35">
      <c r="A7" t="s">
        <v>56</v>
      </c>
      <c r="B7" t="s">
        <v>57</v>
      </c>
      <c r="C7" t="s">
        <v>58</v>
      </c>
      <c r="E7" t="s">
        <v>57</v>
      </c>
      <c r="F7" t="s">
        <v>58</v>
      </c>
    </row>
    <row r="8" spans="1:10" x14ac:dyDescent="0.35">
      <c r="A8" t="s">
        <v>0</v>
      </c>
      <c r="B8">
        <f>SUM(B14:B58)</f>
        <v>950</v>
      </c>
      <c r="C8">
        <f t="shared" ref="C8:H8" si="0">SUM(C14:C58)</f>
        <v>1518</v>
      </c>
      <c r="E8">
        <f t="shared" si="0"/>
        <v>49</v>
      </c>
      <c r="F8">
        <f t="shared" si="0"/>
        <v>844</v>
      </c>
      <c r="H8">
        <f t="shared" si="0"/>
        <v>111</v>
      </c>
    </row>
    <row r="9" spans="1:10" x14ac:dyDescent="0.35">
      <c r="A9" t="s">
        <v>1</v>
      </c>
      <c r="B9">
        <f>SUMIF($J$14:$J$58,$A9,B$14:B$58)</f>
        <v>634</v>
      </c>
      <c r="C9">
        <f t="shared" ref="C9:H10" si="1">SUMIF($J$14:$J$58,$A9,C$14:C$58)</f>
        <v>975</v>
      </c>
      <c r="E9">
        <f t="shared" si="1"/>
        <v>44</v>
      </c>
      <c r="F9">
        <f t="shared" si="1"/>
        <v>696</v>
      </c>
      <c r="H9">
        <f t="shared" si="1"/>
        <v>69</v>
      </c>
    </row>
    <row r="10" spans="1:10" x14ac:dyDescent="0.35">
      <c r="A10" t="s">
        <v>2</v>
      </c>
      <c r="B10">
        <f>SUMIF($J$14:$J$58,$A10,B$14:B$58)</f>
        <v>316</v>
      </c>
      <c r="C10">
        <f t="shared" si="1"/>
        <v>543</v>
      </c>
      <c r="E10">
        <f t="shared" si="1"/>
        <v>5</v>
      </c>
      <c r="F10">
        <f t="shared" si="1"/>
        <v>148</v>
      </c>
      <c r="H10">
        <f t="shared" si="1"/>
        <v>42</v>
      </c>
    </row>
    <row r="11" spans="1:10" x14ac:dyDescent="0.35">
      <c r="A11" t="s">
        <v>3</v>
      </c>
      <c r="B11">
        <f t="shared" ref="B11:H13" si="2">SUMIF($I$14:$I$58,$A11,B$14:B$58)</f>
        <v>487</v>
      </c>
      <c r="C11">
        <f t="shared" si="2"/>
        <v>782</v>
      </c>
      <c r="E11">
        <f t="shared" si="2"/>
        <v>13</v>
      </c>
      <c r="F11">
        <f t="shared" si="2"/>
        <v>243</v>
      </c>
      <c r="H11">
        <f t="shared" si="2"/>
        <v>58</v>
      </c>
    </row>
    <row r="12" spans="1:10" x14ac:dyDescent="0.35">
      <c r="A12" t="s">
        <v>4</v>
      </c>
      <c r="B12">
        <f t="shared" si="2"/>
        <v>280</v>
      </c>
      <c r="C12">
        <f t="shared" si="2"/>
        <v>419</v>
      </c>
      <c r="E12">
        <f t="shared" si="2"/>
        <v>14</v>
      </c>
      <c r="F12">
        <f t="shared" si="2"/>
        <v>356</v>
      </c>
      <c r="H12">
        <f t="shared" si="2"/>
        <v>31</v>
      </c>
    </row>
    <row r="13" spans="1:10" x14ac:dyDescent="0.35">
      <c r="A13" t="s">
        <v>5</v>
      </c>
      <c r="B13">
        <f>SUMIF($I$14:$I$58,$A13,B$14:B$58)</f>
        <v>183</v>
      </c>
      <c r="C13">
        <f t="shared" si="2"/>
        <v>317</v>
      </c>
      <c r="E13">
        <f t="shared" si="2"/>
        <v>22</v>
      </c>
      <c r="F13">
        <f t="shared" si="2"/>
        <v>245</v>
      </c>
      <c r="H13">
        <f t="shared" si="2"/>
        <v>22</v>
      </c>
    </row>
    <row r="14" spans="1:10" x14ac:dyDescent="0.35">
      <c r="A14" t="s">
        <v>6</v>
      </c>
      <c r="B14">
        <v>44</v>
      </c>
      <c r="C14">
        <v>40</v>
      </c>
      <c r="E14">
        <v>2</v>
      </c>
      <c r="F14">
        <v>27</v>
      </c>
      <c r="H14">
        <v>4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7</v>
      </c>
      <c r="B15">
        <v>12</v>
      </c>
      <c r="C15">
        <v>20</v>
      </c>
      <c r="E15">
        <v>0</v>
      </c>
      <c r="F15">
        <v>14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8</v>
      </c>
      <c r="B16">
        <v>3</v>
      </c>
      <c r="C16">
        <v>23</v>
      </c>
      <c r="E16">
        <v>0</v>
      </c>
      <c r="F16">
        <v>4</v>
      </c>
      <c r="H16">
        <v>2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9</v>
      </c>
      <c r="B17">
        <v>12</v>
      </c>
      <c r="C17">
        <v>30</v>
      </c>
      <c r="E17">
        <v>0</v>
      </c>
      <c r="F17">
        <v>8</v>
      </c>
      <c r="H17">
        <v>1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10</v>
      </c>
      <c r="B18">
        <v>12</v>
      </c>
      <c r="C18">
        <v>14</v>
      </c>
      <c r="E18">
        <v>2</v>
      </c>
      <c r="F18">
        <v>25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11</v>
      </c>
      <c r="B19">
        <v>9</v>
      </c>
      <c r="C19">
        <v>29</v>
      </c>
      <c r="E19">
        <v>0</v>
      </c>
      <c r="F19">
        <v>28</v>
      </c>
      <c r="H19">
        <v>1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12</v>
      </c>
      <c r="B20">
        <v>2</v>
      </c>
      <c r="C20">
        <v>15</v>
      </c>
      <c r="E20">
        <v>0</v>
      </c>
      <c r="F20">
        <v>4</v>
      </c>
      <c r="H20">
        <v>0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13</v>
      </c>
      <c r="B21">
        <v>8</v>
      </c>
      <c r="C21">
        <v>7</v>
      </c>
      <c r="E21">
        <v>3</v>
      </c>
      <c r="F21">
        <v>5</v>
      </c>
      <c r="H21">
        <v>1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14</v>
      </c>
      <c r="B22">
        <v>21</v>
      </c>
      <c r="C22">
        <v>14</v>
      </c>
      <c r="E22">
        <v>0</v>
      </c>
      <c r="F22">
        <v>4</v>
      </c>
      <c r="H22"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15</v>
      </c>
      <c r="B23">
        <v>14</v>
      </c>
      <c r="C23">
        <v>15</v>
      </c>
      <c r="E23">
        <v>1</v>
      </c>
      <c r="F23">
        <v>33</v>
      </c>
      <c r="H23">
        <v>4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16</v>
      </c>
      <c r="B24">
        <v>36</v>
      </c>
      <c r="C24">
        <v>104</v>
      </c>
      <c r="E24">
        <v>2</v>
      </c>
      <c r="F24">
        <v>66</v>
      </c>
      <c r="H24">
        <v>3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17</v>
      </c>
      <c r="B25">
        <v>24</v>
      </c>
      <c r="C25">
        <v>46</v>
      </c>
      <c r="E25">
        <v>2</v>
      </c>
      <c r="F25">
        <v>43</v>
      </c>
      <c r="H25">
        <v>10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18</v>
      </c>
      <c r="B26">
        <v>2</v>
      </c>
      <c r="C26">
        <v>9</v>
      </c>
      <c r="E26">
        <v>0</v>
      </c>
      <c r="F26">
        <v>1</v>
      </c>
      <c r="H26"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19</v>
      </c>
      <c r="B27">
        <v>21</v>
      </c>
      <c r="C27">
        <v>28</v>
      </c>
      <c r="E27">
        <v>2</v>
      </c>
      <c r="F27">
        <v>37</v>
      </c>
      <c r="H27">
        <v>1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20</v>
      </c>
      <c r="B28">
        <v>53</v>
      </c>
      <c r="C28">
        <v>31</v>
      </c>
      <c r="E28">
        <v>1</v>
      </c>
      <c r="F28">
        <v>54</v>
      </c>
      <c r="H28">
        <v>5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21</v>
      </c>
      <c r="B29">
        <v>13</v>
      </c>
      <c r="C29">
        <v>8</v>
      </c>
      <c r="E29">
        <v>0</v>
      </c>
      <c r="F29">
        <v>2</v>
      </c>
      <c r="H29">
        <v>1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22</v>
      </c>
      <c r="B30">
        <v>202</v>
      </c>
      <c r="C30">
        <v>323</v>
      </c>
      <c r="E30">
        <v>4</v>
      </c>
      <c r="F30">
        <v>34</v>
      </c>
      <c r="H30">
        <v>28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23</v>
      </c>
      <c r="B31">
        <v>9</v>
      </c>
      <c r="C31">
        <v>26</v>
      </c>
      <c r="E31">
        <v>0</v>
      </c>
      <c r="F31">
        <v>3</v>
      </c>
      <c r="H31">
        <v>0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24</v>
      </c>
      <c r="B32">
        <v>36</v>
      </c>
      <c r="C32">
        <v>37</v>
      </c>
      <c r="E32">
        <v>2</v>
      </c>
      <c r="F32">
        <v>17</v>
      </c>
      <c r="H32">
        <v>0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25</v>
      </c>
      <c r="B33">
        <v>8</v>
      </c>
      <c r="C33">
        <v>18</v>
      </c>
      <c r="E33">
        <v>1</v>
      </c>
      <c r="F33">
        <v>19</v>
      </c>
      <c r="H33"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26</v>
      </c>
      <c r="B34">
        <v>29</v>
      </c>
      <c r="C34">
        <v>28</v>
      </c>
      <c r="E34">
        <v>1</v>
      </c>
      <c r="F34">
        <v>12</v>
      </c>
      <c r="H34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27</v>
      </c>
      <c r="B35">
        <v>6</v>
      </c>
      <c r="C35">
        <v>20</v>
      </c>
      <c r="E35">
        <v>1</v>
      </c>
      <c r="F35">
        <v>24</v>
      </c>
      <c r="H35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28</v>
      </c>
      <c r="B36">
        <v>2</v>
      </c>
      <c r="C36">
        <v>3</v>
      </c>
      <c r="E36">
        <v>0</v>
      </c>
      <c r="F36">
        <v>3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29</v>
      </c>
      <c r="B37">
        <v>0</v>
      </c>
      <c r="C37">
        <v>0</v>
      </c>
      <c r="E37">
        <v>0</v>
      </c>
      <c r="F37">
        <v>0</v>
      </c>
      <c r="H37"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30</v>
      </c>
      <c r="B38">
        <v>31</v>
      </c>
      <c r="C38">
        <v>50</v>
      </c>
      <c r="E38">
        <v>0</v>
      </c>
      <c r="F38">
        <v>27</v>
      </c>
      <c r="H38">
        <v>3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31</v>
      </c>
      <c r="B39">
        <v>16</v>
      </c>
      <c r="C39">
        <v>27</v>
      </c>
      <c r="E39">
        <v>0</v>
      </c>
      <c r="F39">
        <v>16</v>
      </c>
      <c r="H39">
        <v>5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32</v>
      </c>
      <c r="B40">
        <v>17</v>
      </c>
      <c r="C40">
        <v>24</v>
      </c>
      <c r="E40">
        <v>1</v>
      </c>
      <c r="F40">
        <v>12</v>
      </c>
      <c r="H40">
        <v>4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33</v>
      </c>
      <c r="B41">
        <v>4</v>
      </c>
      <c r="C41">
        <v>15</v>
      </c>
      <c r="E41">
        <v>5</v>
      </c>
      <c r="F41">
        <v>31</v>
      </c>
      <c r="H41">
        <v>8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34</v>
      </c>
      <c r="B42">
        <v>25</v>
      </c>
      <c r="C42">
        <v>35</v>
      </c>
      <c r="E42">
        <v>0</v>
      </c>
      <c r="F42">
        <v>26</v>
      </c>
      <c r="H42">
        <v>4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35</v>
      </c>
      <c r="B43">
        <v>49</v>
      </c>
      <c r="C43">
        <v>64</v>
      </c>
      <c r="E43">
        <v>5</v>
      </c>
      <c r="F43">
        <v>30</v>
      </c>
      <c r="H43">
        <v>8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36</v>
      </c>
      <c r="B44">
        <v>12</v>
      </c>
      <c r="C44">
        <v>48</v>
      </c>
      <c r="E44">
        <v>0</v>
      </c>
      <c r="F44">
        <v>36</v>
      </c>
      <c r="H44">
        <v>2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37</v>
      </c>
      <c r="B45">
        <v>12</v>
      </c>
      <c r="C45">
        <v>26</v>
      </c>
      <c r="E45">
        <v>1</v>
      </c>
      <c r="F45">
        <v>21</v>
      </c>
      <c r="H45">
        <v>0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38</v>
      </c>
      <c r="B46">
        <v>6</v>
      </c>
      <c r="C46">
        <v>9</v>
      </c>
      <c r="E46">
        <v>0</v>
      </c>
      <c r="F46">
        <v>9</v>
      </c>
      <c r="H46">
        <v>0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39</v>
      </c>
      <c r="B47">
        <v>20</v>
      </c>
      <c r="C47">
        <v>18</v>
      </c>
      <c r="E47">
        <v>1</v>
      </c>
      <c r="F47">
        <v>4</v>
      </c>
      <c r="H47">
        <v>3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40</v>
      </c>
      <c r="B48">
        <v>10</v>
      </c>
      <c r="C48">
        <v>19</v>
      </c>
      <c r="E48">
        <v>0</v>
      </c>
      <c r="F48">
        <v>18</v>
      </c>
      <c r="H48">
        <v>0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41</v>
      </c>
      <c r="B49">
        <v>10</v>
      </c>
      <c r="C49">
        <v>4</v>
      </c>
      <c r="E49">
        <v>1</v>
      </c>
      <c r="F49">
        <v>6</v>
      </c>
      <c r="H49">
        <v>0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42</v>
      </c>
      <c r="B50">
        <v>6</v>
      </c>
      <c r="C50">
        <v>22</v>
      </c>
      <c r="E50">
        <v>0</v>
      </c>
      <c r="F50">
        <v>13</v>
      </c>
      <c r="H50">
        <v>0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43</v>
      </c>
      <c r="B51">
        <v>31</v>
      </c>
      <c r="C51">
        <v>14</v>
      </c>
      <c r="E51">
        <v>4</v>
      </c>
      <c r="F51">
        <v>14</v>
      </c>
      <c r="H51">
        <v>0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44</v>
      </c>
      <c r="B52">
        <v>11</v>
      </c>
      <c r="C52">
        <v>7</v>
      </c>
      <c r="E52">
        <v>4</v>
      </c>
      <c r="F52">
        <v>11</v>
      </c>
      <c r="H52">
        <v>0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45</v>
      </c>
      <c r="B53">
        <v>21</v>
      </c>
      <c r="C53">
        <v>51</v>
      </c>
      <c r="E53">
        <v>2</v>
      </c>
      <c r="F53">
        <v>11</v>
      </c>
      <c r="H53">
        <v>2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46</v>
      </c>
      <c r="B54">
        <v>8</v>
      </c>
      <c r="C54">
        <v>33</v>
      </c>
      <c r="E54">
        <v>0</v>
      </c>
      <c r="F54">
        <v>5</v>
      </c>
      <c r="H54">
        <v>2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47</v>
      </c>
      <c r="B55">
        <v>3</v>
      </c>
      <c r="C55">
        <v>22</v>
      </c>
      <c r="E55">
        <v>0</v>
      </c>
      <c r="F55">
        <v>5</v>
      </c>
      <c r="H55">
        <v>1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48</v>
      </c>
      <c r="B56">
        <v>31</v>
      </c>
      <c r="C56">
        <v>68</v>
      </c>
      <c r="E56">
        <v>0</v>
      </c>
      <c r="F56">
        <v>22</v>
      </c>
      <c r="H56">
        <v>8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49</v>
      </c>
      <c r="B57">
        <v>14</v>
      </c>
      <c r="C57">
        <v>38</v>
      </c>
      <c r="E57">
        <v>0</v>
      </c>
      <c r="F57">
        <v>15</v>
      </c>
      <c r="H57"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50</v>
      </c>
      <c r="B58">
        <v>35</v>
      </c>
      <c r="C58">
        <v>36</v>
      </c>
      <c r="E58">
        <v>1</v>
      </c>
      <c r="F58">
        <v>45</v>
      </c>
      <c r="H58">
        <v>0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  <row r="61" spans="1:10" x14ac:dyDescent="0.35">
      <c r="A61" s="43" t="s">
        <v>71</v>
      </c>
      <c r="B61" s="43"/>
      <c r="C61" s="43"/>
      <c r="D61" s="43"/>
      <c r="E61" s="43"/>
      <c r="F61" s="43"/>
      <c r="G61" s="43"/>
      <c r="H61" s="43"/>
      <c r="I61" s="43"/>
      <c r="J61" s="43"/>
    </row>
    <row r="63" spans="1:10" x14ac:dyDescent="0.35">
      <c r="A63" t="s">
        <v>70</v>
      </c>
      <c r="B63">
        <f>B8-B9-B10</f>
        <v>0</v>
      </c>
      <c r="C63">
        <f t="shared" ref="C63:H63" si="3">C8-C9-C10</f>
        <v>0</v>
      </c>
      <c r="E63">
        <f t="shared" si="3"/>
        <v>0</v>
      </c>
      <c r="F63">
        <f t="shared" si="3"/>
        <v>0</v>
      </c>
      <c r="H63">
        <f t="shared" si="3"/>
        <v>0</v>
      </c>
    </row>
    <row r="64" spans="1:10" x14ac:dyDescent="0.35">
      <c r="A64" t="s">
        <v>72</v>
      </c>
      <c r="B64">
        <f>B8-SUM(B11:B13)</f>
        <v>0</v>
      </c>
      <c r="C64">
        <f t="shared" ref="C64:H64" si="4">C8-SUM(C11:C13)</f>
        <v>0</v>
      </c>
      <c r="E64">
        <f t="shared" si="4"/>
        <v>0</v>
      </c>
      <c r="F64">
        <f t="shared" si="4"/>
        <v>0</v>
      </c>
      <c r="H64">
        <f t="shared" si="4"/>
        <v>0</v>
      </c>
    </row>
    <row r="65" spans="1:8" x14ac:dyDescent="0.35">
      <c r="A65" t="s">
        <v>73</v>
      </c>
      <c r="B65">
        <f>B8-SUM(B14:B58)</f>
        <v>0</v>
      </c>
      <c r="C65">
        <f t="shared" ref="C65:H65" si="5">C8-SUM(C14:C58)</f>
        <v>0</v>
      </c>
      <c r="E65">
        <f t="shared" si="5"/>
        <v>0</v>
      </c>
      <c r="F65">
        <f t="shared" si="5"/>
        <v>0</v>
      </c>
      <c r="H65">
        <f t="shared" si="5"/>
        <v>0</v>
      </c>
    </row>
    <row r="67" spans="1:8" x14ac:dyDescent="0.35">
      <c r="A67" t="s">
        <v>74</v>
      </c>
      <c r="B67">
        <f>B9+B10-B11-B12-B13</f>
        <v>0</v>
      </c>
      <c r="C67">
        <f t="shared" ref="C67:H67" si="6">C9+C10-C11-C12-C13</f>
        <v>0</v>
      </c>
      <c r="E67">
        <f t="shared" si="6"/>
        <v>0</v>
      </c>
      <c r="F67">
        <f t="shared" si="6"/>
        <v>0</v>
      </c>
      <c r="H67">
        <f t="shared" si="6"/>
        <v>0</v>
      </c>
    </row>
    <row r="68" spans="1:8" x14ac:dyDescent="0.35">
      <c r="A68" t="s">
        <v>75</v>
      </c>
      <c r="B68">
        <f>B9+B10-SUM(B14:B58)</f>
        <v>0</v>
      </c>
      <c r="C68">
        <f t="shared" ref="C68:H68" si="7">C9+C10-SUM(C14:C58)</f>
        <v>0</v>
      </c>
      <c r="E68">
        <f t="shared" si="7"/>
        <v>0</v>
      </c>
      <c r="F68">
        <f t="shared" si="7"/>
        <v>0</v>
      </c>
      <c r="H68">
        <f t="shared" si="7"/>
        <v>0</v>
      </c>
    </row>
    <row r="70" spans="1:8" x14ac:dyDescent="0.35">
      <c r="A70" t="s">
        <v>76</v>
      </c>
      <c r="B70">
        <f>SUM(B11:B13)-SUM(B14:B58)</f>
        <v>0</v>
      </c>
      <c r="C70">
        <f t="shared" ref="C70:H70" si="8">SUM(C11:C13)-SUM(C14:C58)</f>
        <v>0</v>
      </c>
      <c r="E70">
        <f t="shared" si="8"/>
        <v>0</v>
      </c>
      <c r="F70">
        <f t="shared" si="8"/>
        <v>0</v>
      </c>
      <c r="H70">
        <f t="shared" si="8"/>
        <v>0</v>
      </c>
    </row>
  </sheetData>
  <mergeCells count="2">
    <mergeCell ref="A4:H4"/>
    <mergeCell ref="A61:J6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352EF-A638-4416-9763-C76ADC2FE9B4}">
  <sheetPr>
    <tabColor rgb="FFFF0000"/>
  </sheetPr>
  <dimension ref="A4:J70"/>
  <sheetViews>
    <sheetView workbookViewId="0">
      <selection activeCell="B14" sqref="B14:F58"/>
    </sheetView>
  </sheetViews>
  <sheetFormatPr defaultRowHeight="14.5" x14ac:dyDescent="0.35"/>
  <cols>
    <col min="1" max="1" width="25.54296875" customWidth="1"/>
  </cols>
  <sheetData>
    <row r="4" spans="1:10" x14ac:dyDescent="0.35">
      <c r="A4" s="42" t="s">
        <v>80</v>
      </c>
      <c r="B4" s="42"/>
      <c r="C4" s="42"/>
      <c r="D4" s="42"/>
      <c r="E4" s="42"/>
      <c r="F4" s="42"/>
      <c r="G4" s="42"/>
      <c r="H4" s="42"/>
    </row>
    <row r="6" spans="1:10" x14ac:dyDescent="0.35">
      <c r="B6" t="s">
        <v>54</v>
      </c>
      <c r="E6" t="s">
        <v>55</v>
      </c>
      <c r="H6" t="s">
        <v>59</v>
      </c>
    </row>
    <row r="7" spans="1:10" x14ac:dyDescent="0.35">
      <c r="A7" t="s">
        <v>56</v>
      </c>
      <c r="B7" t="s">
        <v>57</v>
      </c>
      <c r="C7" t="s">
        <v>58</v>
      </c>
      <c r="E7" t="s">
        <v>57</v>
      </c>
      <c r="F7" t="s">
        <v>58</v>
      </c>
    </row>
    <row r="8" spans="1:10" x14ac:dyDescent="0.35">
      <c r="A8" t="s">
        <v>0</v>
      </c>
      <c r="B8">
        <f>SUM(B14:B58)</f>
        <v>816</v>
      </c>
      <c r="C8">
        <f t="shared" ref="C8:H8" si="0">SUM(C14:C58)</f>
        <v>1378</v>
      </c>
      <c r="E8">
        <f t="shared" si="0"/>
        <v>57</v>
      </c>
      <c r="F8">
        <f t="shared" si="0"/>
        <v>862</v>
      </c>
      <c r="H8">
        <f t="shared" si="0"/>
        <v>122</v>
      </c>
    </row>
    <row r="9" spans="1:10" x14ac:dyDescent="0.35">
      <c r="A9" t="s">
        <v>1</v>
      </c>
      <c r="B9">
        <f>SUMIF($J$14:$J$58,$A9,B$14:B$58)</f>
        <v>559</v>
      </c>
      <c r="C9">
        <f t="shared" ref="C9:H10" si="1">SUMIF($J$14:$J$58,$A9,C$14:C$58)</f>
        <v>880</v>
      </c>
      <c r="E9">
        <f t="shared" si="1"/>
        <v>49</v>
      </c>
      <c r="F9">
        <f t="shared" si="1"/>
        <v>719</v>
      </c>
      <c r="H9">
        <f t="shared" si="1"/>
        <v>72</v>
      </c>
    </row>
    <row r="10" spans="1:10" x14ac:dyDescent="0.35">
      <c r="A10" t="s">
        <v>2</v>
      </c>
      <c r="B10">
        <f>SUMIF($J$14:$J$58,$A10,B$14:B$58)</f>
        <v>257</v>
      </c>
      <c r="C10">
        <f t="shared" si="1"/>
        <v>498</v>
      </c>
      <c r="E10">
        <f t="shared" si="1"/>
        <v>8</v>
      </c>
      <c r="F10">
        <f t="shared" si="1"/>
        <v>143</v>
      </c>
      <c r="H10">
        <f t="shared" si="1"/>
        <v>50</v>
      </c>
    </row>
    <row r="11" spans="1:10" x14ac:dyDescent="0.35">
      <c r="A11" t="s">
        <v>3</v>
      </c>
      <c r="B11">
        <f t="shared" ref="B11:H13" si="2">SUMIF($I$14:$I$58,$A11,B$14:B$58)</f>
        <v>386</v>
      </c>
      <c r="C11">
        <f t="shared" si="2"/>
        <v>696</v>
      </c>
      <c r="E11">
        <f t="shared" si="2"/>
        <v>15</v>
      </c>
      <c r="F11">
        <f t="shared" si="2"/>
        <v>275</v>
      </c>
      <c r="H11">
        <f t="shared" si="2"/>
        <v>58</v>
      </c>
    </row>
    <row r="12" spans="1:10" x14ac:dyDescent="0.35">
      <c r="A12" t="s">
        <v>4</v>
      </c>
      <c r="B12">
        <f t="shared" si="2"/>
        <v>273</v>
      </c>
      <c r="C12">
        <f t="shared" si="2"/>
        <v>452</v>
      </c>
      <c r="E12">
        <f t="shared" si="2"/>
        <v>17</v>
      </c>
      <c r="F12">
        <f t="shared" si="2"/>
        <v>339</v>
      </c>
      <c r="H12">
        <f t="shared" si="2"/>
        <v>43</v>
      </c>
    </row>
    <row r="13" spans="1:10" x14ac:dyDescent="0.35">
      <c r="A13" t="s">
        <v>5</v>
      </c>
      <c r="B13">
        <f>SUMIF($I$14:$I$58,$A13,B$14:B$58)</f>
        <v>157</v>
      </c>
      <c r="C13">
        <f t="shared" si="2"/>
        <v>230</v>
      </c>
      <c r="E13">
        <f t="shared" si="2"/>
        <v>25</v>
      </c>
      <c r="F13">
        <f t="shared" si="2"/>
        <v>248</v>
      </c>
      <c r="H13">
        <f t="shared" si="2"/>
        <v>21</v>
      </c>
    </row>
    <row r="14" spans="1:10" x14ac:dyDescent="0.35">
      <c r="A14" t="s">
        <v>6</v>
      </c>
      <c r="B14">
        <v>29</v>
      </c>
      <c r="C14">
        <v>44</v>
      </c>
      <c r="E14">
        <v>3</v>
      </c>
      <c r="F14">
        <v>18</v>
      </c>
      <c r="H14">
        <v>3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7</v>
      </c>
      <c r="B15">
        <v>17</v>
      </c>
      <c r="C15">
        <v>23</v>
      </c>
      <c r="E15">
        <v>0</v>
      </c>
      <c r="F15">
        <v>6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8</v>
      </c>
      <c r="B16">
        <v>4</v>
      </c>
      <c r="C16">
        <v>21</v>
      </c>
      <c r="E16">
        <v>0</v>
      </c>
      <c r="F16">
        <v>5</v>
      </c>
      <c r="H16">
        <v>2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9</v>
      </c>
      <c r="B17">
        <v>12</v>
      </c>
      <c r="C17">
        <v>13</v>
      </c>
      <c r="E17">
        <v>0</v>
      </c>
      <c r="F17">
        <v>12</v>
      </c>
      <c r="H17">
        <v>0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10</v>
      </c>
      <c r="B18">
        <v>4</v>
      </c>
      <c r="C18">
        <v>12</v>
      </c>
      <c r="E18">
        <v>2</v>
      </c>
      <c r="F18">
        <v>29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11</v>
      </c>
      <c r="B19">
        <v>5</v>
      </c>
      <c r="C19">
        <v>24</v>
      </c>
      <c r="E19">
        <v>0</v>
      </c>
      <c r="F19">
        <v>15</v>
      </c>
      <c r="H19">
        <v>1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12</v>
      </c>
      <c r="B20">
        <v>9</v>
      </c>
      <c r="C20">
        <v>18</v>
      </c>
      <c r="E20">
        <v>1</v>
      </c>
      <c r="F20">
        <v>14</v>
      </c>
      <c r="H20">
        <v>0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13</v>
      </c>
      <c r="B21">
        <v>5</v>
      </c>
      <c r="C21">
        <v>19</v>
      </c>
      <c r="E21">
        <v>0</v>
      </c>
      <c r="F21">
        <v>4</v>
      </c>
      <c r="H21">
        <v>0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14</v>
      </c>
      <c r="B22">
        <v>6</v>
      </c>
      <c r="C22">
        <v>9</v>
      </c>
      <c r="E22">
        <v>4</v>
      </c>
      <c r="F22">
        <v>12</v>
      </c>
      <c r="H22">
        <v>2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15</v>
      </c>
      <c r="B23">
        <v>10</v>
      </c>
      <c r="C23">
        <v>29</v>
      </c>
      <c r="E23">
        <v>2</v>
      </c>
      <c r="F23">
        <v>39</v>
      </c>
      <c r="H23">
        <v>0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16</v>
      </c>
      <c r="B24">
        <v>53</v>
      </c>
      <c r="C24">
        <v>62</v>
      </c>
      <c r="E24">
        <v>4</v>
      </c>
      <c r="F24">
        <v>103</v>
      </c>
      <c r="H24">
        <v>2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17</v>
      </c>
      <c r="B25">
        <v>32</v>
      </c>
      <c r="C25">
        <v>102</v>
      </c>
      <c r="E25">
        <v>1</v>
      </c>
      <c r="F25">
        <v>11</v>
      </c>
      <c r="H25">
        <v>17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18</v>
      </c>
      <c r="B26">
        <v>3</v>
      </c>
      <c r="C26">
        <v>8</v>
      </c>
      <c r="E26">
        <v>3</v>
      </c>
      <c r="F26">
        <v>5</v>
      </c>
      <c r="H26">
        <v>2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19</v>
      </c>
      <c r="B27">
        <v>21</v>
      </c>
      <c r="C27">
        <v>38</v>
      </c>
      <c r="E27">
        <v>0</v>
      </c>
      <c r="F27">
        <v>20</v>
      </c>
      <c r="H27">
        <v>4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20</v>
      </c>
      <c r="B28">
        <v>37</v>
      </c>
      <c r="C28">
        <v>54</v>
      </c>
      <c r="E28">
        <v>3</v>
      </c>
      <c r="F28">
        <v>67</v>
      </c>
      <c r="H28">
        <v>2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21</v>
      </c>
      <c r="B29">
        <v>16</v>
      </c>
      <c r="C29">
        <v>15</v>
      </c>
      <c r="E29">
        <v>1</v>
      </c>
      <c r="F29">
        <v>6</v>
      </c>
      <c r="H29">
        <v>2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22</v>
      </c>
      <c r="B30">
        <v>149</v>
      </c>
      <c r="C30">
        <v>270</v>
      </c>
      <c r="E30">
        <v>3</v>
      </c>
      <c r="F30">
        <v>28</v>
      </c>
      <c r="H30">
        <v>41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23</v>
      </c>
      <c r="B31">
        <v>17</v>
      </c>
      <c r="C31">
        <v>52</v>
      </c>
      <c r="E31">
        <v>0</v>
      </c>
      <c r="F31">
        <v>7</v>
      </c>
      <c r="H31">
        <v>0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24</v>
      </c>
      <c r="B32">
        <v>20</v>
      </c>
      <c r="C32">
        <v>31</v>
      </c>
      <c r="E32">
        <v>1</v>
      </c>
      <c r="F32">
        <v>16</v>
      </c>
      <c r="H32">
        <v>0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25</v>
      </c>
      <c r="B33">
        <v>28</v>
      </c>
      <c r="C33">
        <v>18</v>
      </c>
      <c r="E33">
        <v>0</v>
      </c>
      <c r="F33">
        <v>27</v>
      </c>
      <c r="H33">
        <v>4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26</v>
      </c>
      <c r="B34">
        <v>16</v>
      </c>
      <c r="C34">
        <v>18</v>
      </c>
      <c r="E34">
        <v>2</v>
      </c>
      <c r="F34">
        <v>28</v>
      </c>
      <c r="H34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27</v>
      </c>
      <c r="B35">
        <v>6</v>
      </c>
      <c r="C35">
        <v>5</v>
      </c>
      <c r="E35">
        <v>1</v>
      </c>
      <c r="F35">
        <v>20</v>
      </c>
      <c r="H35">
        <v>1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28</v>
      </c>
      <c r="B36">
        <v>10</v>
      </c>
      <c r="C36">
        <v>12</v>
      </c>
      <c r="E36">
        <v>0</v>
      </c>
      <c r="F36">
        <v>6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29</v>
      </c>
      <c r="B37">
        <v>0</v>
      </c>
      <c r="C37">
        <v>0</v>
      </c>
      <c r="E37">
        <v>0</v>
      </c>
      <c r="F37">
        <v>1</v>
      </c>
      <c r="H37"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30</v>
      </c>
      <c r="B38">
        <v>30</v>
      </c>
      <c r="C38">
        <v>28</v>
      </c>
      <c r="E38">
        <v>3</v>
      </c>
      <c r="F38">
        <v>32</v>
      </c>
      <c r="H38">
        <v>2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31</v>
      </c>
      <c r="B39">
        <v>8</v>
      </c>
      <c r="C39">
        <v>16</v>
      </c>
      <c r="E39">
        <v>0</v>
      </c>
      <c r="F39">
        <v>22</v>
      </c>
      <c r="H39">
        <v>3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32</v>
      </c>
      <c r="B40">
        <v>11</v>
      </c>
      <c r="C40">
        <v>16</v>
      </c>
      <c r="E40">
        <v>0</v>
      </c>
      <c r="F40">
        <v>13</v>
      </c>
      <c r="H40">
        <v>7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33</v>
      </c>
      <c r="B41">
        <v>7</v>
      </c>
      <c r="C41">
        <v>14</v>
      </c>
      <c r="E41">
        <v>1</v>
      </c>
      <c r="F41">
        <v>20</v>
      </c>
      <c r="H41">
        <v>1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34</v>
      </c>
      <c r="B42">
        <v>16</v>
      </c>
      <c r="C42">
        <v>53</v>
      </c>
      <c r="E42">
        <v>1</v>
      </c>
      <c r="F42">
        <v>36</v>
      </c>
      <c r="H42">
        <v>7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35</v>
      </c>
      <c r="B43">
        <v>26</v>
      </c>
      <c r="C43">
        <v>8</v>
      </c>
      <c r="E43">
        <v>6</v>
      </c>
      <c r="F43">
        <v>10</v>
      </c>
      <c r="H43">
        <v>10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36</v>
      </c>
      <c r="B44">
        <v>12</v>
      </c>
      <c r="C44">
        <v>44</v>
      </c>
      <c r="E44">
        <v>3</v>
      </c>
      <c r="F44">
        <v>12</v>
      </c>
      <c r="H44">
        <v>0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37</v>
      </c>
      <c r="B45">
        <v>8</v>
      </c>
      <c r="C45">
        <v>21</v>
      </c>
      <c r="E45">
        <v>1</v>
      </c>
      <c r="F45">
        <v>22</v>
      </c>
      <c r="H45">
        <v>2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38</v>
      </c>
      <c r="B46">
        <v>6</v>
      </c>
      <c r="C46">
        <v>12</v>
      </c>
      <c r="E46">
        <v>0</v>
      </c>
      <c r="F46">
        <v>11</v>
      </c>
      <c r="H46">
        <v>0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39</v>
      </c>
      <c r="B47">
        <v>20</v>
      </c>
      <c r="C47">
        <v>22</v>
      </c>
      <c r="E47">
        <v>0</v>
      </c>
      <c r="F47">
        <v>16</v>
      </c>
      <c r="H47">
        <v>0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40</v>
      </c>
      <c r="B48">
        <v>14</v>
      </c>
      <c r="C48">
        <v>23</v>
      </c>
      <c r="E48">
        <v>2</v>
      </c>
      <c r="F48">
        <v>24</v>
      </c>
      <c r="H48">
        <v>4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41</v>
      </c>
      <c r="B49">
        <v>0</v>
      </c>
      <c r="C49">
        <v>0</v>
      </c>
      <c r="E49">
        <v>0</v>
      </c>
      <c r="F49">
        <v>0</v>
      </c>
      <c r="H49">
        <v>0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42</v>
      </c>
      <c r="B50">
        <v>12</v>
      </c>
      <c r="C50">
        <v>21</v>
      </c>
      <c r="E50">
        <v>0</v>
      </c>
      <c r="F50">
        <v>18</v>
      </c>
      <c r="H50">
        <v>0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43</v>
      </c>
      <c r="B51">
        <v>19</v>
      </c>
      <c r="C51">
        <v>16</v>
      </c>
      <c r="E51">
        <v>2</v>
      </c>
      <c r="F51">
        <v>21</v>
      </c>
      <c r="H51">
        <v>0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44</v>
      </c>
      <c r="B52">
        <v>11</v>
      </c>
      <c r="C52">
        <v>7</v>
      </c>
      <c r="E52">
        <v>0</v>
      </c>
      <c r="F52">
        <v>11</v>
      </c>
      <c r="H52">
        <v>0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45</v>
      </c>
      <c r="B53">
        <v>23</v>
      </c>
      <c r="C53">
        <v>28</v>
      </c>
      <c r="E53">
        <v>0</v>
      </c>
      <c r="F53">
        <v>13</v>
      </c>
      <c r="H53">
        <v>0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46</v>
      </c>
      <c r="B54">
        <v>0</v>
      </c>
      <c r="C54">
        <v>6</v>
      </c>
      <c r="E54">
        <v>1</v>
      </c>
      <c r="F54">
        <v>2</v>
      </c>
      <c r="H54">
        <v>0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47</v>
      </c>
      <c r="B55">
        <v>15</v>
      </c>
      <c r="C55">
        <v>9</v>
      </c>
      <c r="E55">
        <v>1</v>
      </c>
      <c r="F55">
        <v>4</v>
      </c>
      <c r="H55">
        <v>1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48</v>
      </c>
      <c r="B56">
        <v>32</v>
      </c>
      <c r="C56">
        <v>43</v>
      </c>
      <c r="E56">
        <v>0</v>
      </c>
      <c r="F56">
        <v>20</v>
      </c>
      <c r="H56">
        <v>2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49</v>
      </c>
      <c r="B57">
        <v>6</v>
      </c>
      <c r="C57">
        <v>41</v>
      </c>
      <c r="E57">
        <v>2</v>
      </c>
      <c r="F57">
        <v>24</v>
      </c>
      <c r="H57"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50</v>
      </c>
      <c r="B58">
        <v>31</v>
      </c>
      <c r="C58">
        <v>53</v>
      </c>
      <c r="E58">
        <v>3</v>
      </c>
      <c r="F58">
        <v>32</v>
      </c>
      <c r="H58">
        <v>0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  <row r="61" spans="1:10" x14ac:dyDescent="0.35">
      <c r="A61" s="43" t="s">
        <v>71</v>
      </c>
      <c r="B61" s="43"/>
      <c r="C61" s="43"/>
      <c r="D61" s="43"/>
      <c r="E61" s="43"/>
      <c r="F61" s="43"/>
      <c r="G61" s="43"/>
      <c r="H61" s="43"/>
      <c r="I61" s="43"/>
      <c r="J61" s="43"/>
    </row>
    <row r="63" spans="1:10" x14ac:dyDescent="0.35">
      <c r="A63" t="s">
        <v>70</v>
      </c>
      <c r="B63">
        <f>B8-B9-B10</f>
        <v>0</v>
      </c>
      <c r="C63">
        <f t="shared" ref="C63:H63" si="3">C8-C9-C10</f>
        <v>0</v>
      </c>
      <c r="E63">
        <f t="shared" si="3"/>
        <v>0</v>
      </c>
      <c r="F63">
        <f t="shared" si="3"/>
        <v>0</v>
      </c>
      <c r="H63">
        <f t="shared" si="3"/>
        <v>0</v>
      </c>
    </row>
    <row r="64" spans="1:10" x14ac:dyDescent="0.35">
      <c r="A64" t="s">
        <v>72</v>
      </c>
      <c r="B64">
        <f>B8-SUM(B11:B13)</f>
        <v>0</v>
      </c>
      <c r="C64">
        <f t="shared" ref="C64:H64" si="4">C8-SUM(C11:C13)</f>
        <v>0</v>
      </c>
      <c r="E64">
        <f t="shared" si="4"/>
        <v>0</v>
      </c>
      <c r="F64">
        <f t="shared" si="4"/>
        <v>0</v>
      </c>
      <c r="H64">
        <f t="shared" si="4"/>
        <v>0</v>
      </c>
    </row>
    <row r="65" spans="1:8" x14ac:dyDescent="0.35">
      <c r="A65" t="s">
        <v>73</v>
      </c>
      <c r="B65">
        <f>B8-SUM(B14:B58)</f>
        <v>0</v>
      </c>
      <c r="C65">
        <f t="shared" ref="C65:H65" si="5">C8-SUM(C14:C58)</f>
        <v>0</v>
      </c>
      <c r="E65">
        <f t="shared" si="5"/>
        <v>0</v>
      </c>
      <c r="F65">
        <f t="shared" si="5"/>
        <v>0</v>
      </c>
      <c r="H65">
        <f t="shared" si="5"/>
        <v>0</v>
      </c>
    </row>
    <row r="67" spans="1:8" x14ac:dyDescent="0.35">
      <c r="A67" t="s">
        <v>74</v>
      </c>
      <c r="B67">
        <f>B9+B10-B11-B12-B13</f>
        <v>0</v>
      </c>
      <c r="C67">
        <f t="shared" ref="C67:H67" si="6">C9+C10-C11-C12-C13</f>
        <v>0</v>
      </c>
      <c r="E67">
        <f t="shared" si="6"/>
        <v>0</v>
      </c>
      <c r="F67">
        <f t="shared" si="6"/>
        <v>0</v>
      </c>
      <c r="H67">
        <f t="shared" si="6"/>
        <v>0</v>
      </c>
    </row>
    <row r="68" spans="1:8" x14ac:dyDescent="0.35">
      <c r="A68" t="s">
        <v>75</v>
      </c>
      <c r="B68">
        <f>B9+B10-SUM(B14:B58)</f>
        <v>0</v>
      </c>
      <c r="C68">
        <f t="shared" ref="C68:H68" si="7">C9+C10-SUM(C14:C58)</f>
        <v>0</v>
      </c>
      <c r="E68">
        <f t="shared" si="7"/>
        <v>0</v>
      </c>
      <c r="F68">
        <f t="shared" si="7"/>
        <v>0</v>
      </c>
      <c r="H68">
        <f t="shared" si="7"/>
        <v>0</v>
      </c>
    </row>
    <row r="70" spans="1:8" x14ac:dyDescent="0.35">
      <c r="A70" t="s">
        <v>76</v>
      </c>
      <c r="B70">
        <f>SUM(B11:B13)-SUM(B14:B58)</f>
        <v>0</v>
      </c>
      <c r="C70">
        <f t="shared" ref="C70:H70" si="8">SUM(C11:C13)-SUM(C14:C58)</f>
        <v>0</v>
      </c>
      <c r="E70">
        <f t="shared" si="8"/>
        <v>0</v>
      </c>
      <c r="F70">
        <f t="shared" si="8"/>
        <v>0</v>
      </c>
      <c r="H70">
        <f t="shared" si="8"/>
        <v>0</v>
      </c>
    </row>
  </sheetData>
  <mergeCells count="2">
    <mergeCell ref="A4:H4"/>
    <mergeCell ref="A61:J6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D9B48-DF51-43B4-A51A-D67478BF6D06}">
  <sheetPr>
    <tabColor rgb="FFFF0000"/>
  </sheetPr>
  <dimension ref="A4:J70"/>
  <sheetViews>
    <sheetView workbookViewId="0">
      <selection activeCell="B14" sqref="B14:F58"/>
    </sheetView>
  </sheetViews>
  <sheetFormatPr defaultRowHeight="14.5" x14ac:dyDescent="0.35"/>
  <cols>
    <col min="1" max="1" width="25.54296875" customWidth="1"/>
  </cols>
  <sheetData>
    <row r="4" spans="1:10" x14ac:dyDescent="0.35">
      <c r="A4" s="42" t="s">
        <v>81</v>
      </c>
      <c r="B4" s="42"/>
      <c r="C4" s="42"/>
      <c r="D4" s="42"/>
      <c r="E4" s="42"/>
      <c r="F4" s="42"/>
      <c r="G4" s="42"/>
      <c r="H4" s="42"/>
    </row>
    <row r="6" spans="1:10" x14ac:dyDescent="0.35">
      <c r="B6" t="s">
        <v>54</v>
      </c>
      <c r="E6" t="s">
        <v>55</v>
      </c>
      <c r="H6" t="s">
        <v>59</v>
      </c>
    </row>
    <row r="7" spans="1:10" x14ac:dyDescent="0.35">
      <c r="A7" t="s">
        <v>56</v>
      </c>
      <c r="B7" t="s">
        <v>57</v>
      </c>
      <c r="C7" t="s">
        <v>58</v>
      </c>
      <c r="E7" t="s">
        <v>57</v>
      </c>
      <c r="F7" t="s">
        <v>58</v>
      </c>
    </row>
    <row r="8" spans="1:10" x14ac:dyDescent="0.35">
      <c r="A8" t="s">
        <v>0</v>
      </c>
      <c r="B8">
        <f>SUM(B14:B58)</f>
        <v>939</v>
      </c>
      <c r="C8">
        <f t="shared" ref="C8:H8" si="0">SUM(C14:C58)</f>
        <v>1319</v>
      </c>
      <c r="E8">
        <f t="shared" si="0"/>
        <v>56</v>
      </c>
      <c r="F8">
        <f t="shared" si="0"/>
        <v>801</v>
      </c>
      <c r="H8">
        <f t="shared" si="0"/>
        <v>145</v>
      </c>
    </row>
    <row r="9" spans="1:10" x14ac:dyDescent="0.35">
      <c r="A9" t="s">
        <v>1</v>
      </c>
      <c r="B9">
        <f>SUMIF($J$14:$J$58,$A9,B$14:B$58)</f>
        <v>653</v>
      </c>
      <c r="C9">
        <f t="shared" ref="C9:H10" si="1">SUMIF($J$14:$J$58,$A9,C$14:C$58)</f>
        <v>824</v>
      </c>
      <c r="E9">
        <f t="shared" si="1"/>
        <v>43</v>
      </c>
      <c r="F9">
        <f t="shared" si="1"/>
        <v>646</v>
      </c>
      <c r="H9">
        <f t="shared" si="1"/>
        <v>77</v>
      </c>
    </row>
    <row r="10" spans="1:10" x14ac:dyDescent="0.35">
      <c r="A10" t="s">
        <v>2</v>
      </c>
      <c r="B10">
        <f>SUMIF($J$14:$J$58,$A10,B$14:B$58)</f>
        <v>286</v>
      </c>
      <c r="C10">
        <f t="shared" si="1"/>
        <v>495</v>
      </c>
      <c r="E10">
        <f t="shared" si="1"/>
        <v>13</v>
      </c>
      <c r="F10">
        <f t="shared" si="1"/>
        <v>155</v>
      </c>
      <c r="H10">
        <f t="shared" si="1"/>
        <v>68</v>
      </c>
    </row>
    <row r="11" spans="1:10" x14ac:dyDescent="0.35">
      <c r="A11" t="s">
        <v>3</v>
      </c>
      <c r="B11">
        <f t="shared" ref="B11:H13" si="2">SUMIF($I$14:$I$58,$A11,B$14:B$58)</f>
        <v>426</v>
      </c>
      <c r="C11">
        <f t="shared" si="2"/>
        <v>686</v>
      </c>
      <c r="E11">
        <f t="shared" si="2"/>
        <v>20</v>
      </c>
      <c r="F11">
        <f t="shared" si="2"/>
        <v>247</v>
      </c>
      <c r="H11">
        <f t="shared" si="2"/>
        <v>89</v>
      </c>
    </row>
    <row r="12" spans="1:10" x14ac:dyDescent="0.35">
      <c r="A12" t="s">
        <v>4</v>
      </c>
      <c r="B12">
        <f t="shared" si="2"/>
        <v>286</v>
      </c>
      <c r="C12">
        <f t="shared" si="2"/>
        <v>401</v>
      </c>
      <c r="E12">
        <f t="shared" si="2"/>
        <v>18</v>
      </c>
      <c r="F12">
        <f t="shared" si="2"/>
        <v>376</v>
      </c>
      <c r="H12">
        <f t="shared" si="2"/>
        <v>27</v>
      </c>
    </row>
    <row r="13" spans="1:10" x14ac:dyDescent="0.35">
      <c r="A13" t="s">
        <v>5</v>
      </c>
      <c r="B13">
        <f>SUMIF($I$14:$I$58,$A13,B$14:B$58)</f>
        <v>227</v>
      </c>
      <c r="C13">
        <f t="shared" si="2"/>
        <v>232</v>
      </c>
      <c r="E13">
        <f t="shared" si="2"/>
        <v>18</v>
      </c>
      <c r="F13">
        <f t="shared" si="2"/>
        <v>178</v>
      </c>
      <c r="H13">
        <f t="shared" si="2"/>
        <v>29</v>
      </c>
    </row>
    <row r="14" spans="1:10" x14ac:dyDescent="0.35">
      <c r="A14" t="s">
        <v>6</v>
      </c>
      <c r="B14">
        <v>33</v>
      </c>
      <c r="C14">
        <v>41</v>
      </c>
      <c r="E14">
        <v>0</v>
      </c>
      <c r="F14">
        <v>21</v>
      </c>
      <c r="H14">
        <v>5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7</v>
      </c>
      <c r="B15">
        <v>14</v>
      </c>
      <c r="C15">
        <v>20</v>
      </c>
      <c r="E15">
        <v>0</v>
      </c>
      <c r="F15">
        <v>6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8</v>
      </c>
      <c r="B16">
        <v>11</v>
      </c>
      <c r="C16">
        <v>27</v>
      </c>
      <c r="E16">
        <v>0</v>
      </c>
      <c r="F16">
        <v>6</v>
      </c>
      <c r="H16">
        <v>2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9</v>
      </c>
      <c r="B17">
        <v>19</v>
      </c>
      <c r="C17">
        <v>13</v>
      </c>
      <c r="E17">
        <v>3</v>
      </c>
      <c r="F17">
        <v>9</v>
      </c>
      <c r="H17">
        <v>2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10</v>
      </c>
      <c r="B18">
        <v>0</v>
      </c>
      <c r="C18">
        <v>15</v>
      </c>
      <c r="E18">
        <v>1</v>
      </c>
      <c r="F18">
        <v>22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11</v>
      </c>
      <c r="B19">
        <v>8</v>
      </c>
      <c r="C19">
        <v>24</v>
      </c>
      <c r="E19">
        <v>0</v>
      </c>
      <c r="F19">
        <v>29</v>
      </c>
      <c r="H19">
        <v>2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12</v>
      </c>
      <c r="B20">
        <v>8</v>
      </c>
      <c r="C20">
        <v>6</v>
      </c>
      <c r="E20">
        <v>0</v>
      </c>
      <c r="F20">
        <v>5</v>
      </c>
      <c r="H20">
        <v>0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13</v>
      </c>
      <c r="B21">
        <v>2</v>
      </c>
      <c r="C21">
        <v>5</v>
      </c>
      <c r="E21">
        <v>0</v>
      </c>
      <c r="F21">
        <v>6</v>
      </c>
      <c r="H21">
        <v>1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14</v>
      </c>
      <c r="B22">
        <v>11</v>
      </c>
      <c r="C22">
        <v>9</v>
      </c>
      <c r="E22">
        <v>2</v>
      </c>
      <c r="F22">
        <v>5</v>
      </c>
      <c r="H22">
        <v>2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15</v>
      </c>
      <c r="B23">
        <v>15</v>
      </c>
      <c r="C23">
        <v>33</v>
      </c>
      <c r="E23">
        <v>0</v>
      </c>
      <c r="F23">
        <v>27</v>
      </c>
      <c r="H23">
        <v>3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16</v>
      </c>
      <c r="B24">
        <v>63</v>
      </c>
      <c r="C24">
        <v>61</v>
      </c>
      <c r="E24">
        <v>4</v>
      </c>
      <c r="F24">
        <v>47</v>
      </c>
      <c r="H24">
        <v>8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17</v>
      </c>
      <c r="B25">
        <v>38</v>
      </c>
      <c r="C25">
        <v>44</v>
      </c>
      <c r="E25">
        <v>1</v>
      </c>
      <c r="F25">
        <v>54</v>
      </c>
      <c r="H25">
        <v>10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18</v>
      </c>
      <c r="B26">
        <v>2</v>
      </c>
      <c r="C26">
        <v>13</v>
      </c>
      <c r="E26">
        <v>1</v>
      </c>
      <c r="F26">
        <v>4</v>
      </c>
      <c r="H26">
        <v>1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19</v>
      </c>
      <c r="B27">
        <v>15</v>
      </c>
      <c r="C27">
        <v>42</v>
      </c>
      <c r="E27">
        <v>2</v>
      </c>
      <c r="F27">
        <v>23</v>
      </c>
      <c r="H27">
        <v>1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20</v>
      </c>
      <c r="B28">
        <v>46</v>
      </c>
      <c r="C28">
        <v>40</v>
      </c>
      <c r="E28">
        <v>4</v>
      </c>
      <c r="F28">
        <v>61</v>
      </c>
      <c r="H28">
        <v>3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21</v>
      </c>
      <c r="B29">
        <v>13</v>
      </c>
      <c r="C29">
        <v>9</v>
      </c>
      <c r="E29">
        <v>0</v>
      </c>
      <c r="F29">
        <v>8</v>
      </c>
      <c r="H29">
        <v>0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22</v>
      </c>
      <c r="B30">
        <v>161</v>
      </c>
      <c r="C30">
        <v>252</v>
      </c>
      <c r="E30">
        <v>12</v>
      </c>
      <c r="F30">
        <v>60</v>
      </c>
      <c r="H30">
        <v>38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23</v>
      </c>
      <c r="B31">
        <v>19</v>
      </c>
      <c r="C31">
        <v>65</v>
      </c>
      <c r="E31">
        <v>0</v>
      </c>
      <c r="F31">
        <v>16</v>
      </c>
      <c r="H31">
        <v>7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24</v>
      </c>
      <c r="B32">
        <v>16</v>
      </c>
      <c r="C32">
        <v>34</v>
      </c>
      <c r="E32">
        <v>4</v>
      </c>
      <c r="F32">
        <v>18</v>
      </c>
      <c r="H32">
        <v>3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25</v>
      </c>
      <c r="B33">
        <v>30</v>
      </c>
      <c r="C33">
        <v>21</v>
      </c>
      <c r="E33">
        <v>0</v>
      </c>
      <c r="F33">
        <v>15</v>
      </c>
      <c r="H33">
        <v>2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26</v>
      </c>
      <c r="B34">
        <v>16</v>
      </c>
      <c r="C34">
        <v>27</v>
      </c>
      <c r="E34">
        <v>2</v>
      </c>
      <c r="F34">
        <v>17</v>
      </c>
      <c r="H34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27</v>
      </c>
      <c r="B35">
        <v>11</v>
      </c>
      <c r="C35">
        <v>7</v>
      </c>
      <c r="E35">
        <v>0</v>
      </c>
      <c r="F35">
        <v>12</v>
      </c>
      <c r="H35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28</v>
      </c>
      <c r="B36">
        <v>1</v>
      </c>
      <c r="C36">
        <v>3</v>
      </c>
      <c r="E36">
        <v>0</v>
      </c>
      <c r="F36">
        <v>4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29</v>
      </c>
      <c r="B37">
        <v>0</v>
      </c>
      <c r="C37">
        <v>0</v>
      </c>
      <c r="E37">
        <v>0</v>
      </c>
      <c r="F37">
        <v>0</v>
      </c>
      <c r="H37"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30</v>
      </c>
      <c r="B38">
        <v>18</v>
      </c>
      <c r="C38">
        <v>41</v>
      </c>
      <c r="E38">
        <v>5</v>
      </c>
      <c r="F38">
        <v>55</v>
      </c>
      <c r="H38">
        <v>1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31</v>
      </c>
      <c r="B39">
        <v>11</v>
      </c>
      <c r="C39">
        <v>18</v>
      </c>
      <c r="E39">
        <v>0</v>
      </c>
      <c r="F39">
        <v>5</v>
      </c>
      <c r="H39">
        <v>8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32</v>
      </c>
      <c r="B40">
        <v>10</v>
      </c>
      <c r="C40">
        <v>24</v>
      </c>
      <c r="E40">
        <v>0</v>
      </c>
      <c r="F40">
        <v>15</v>
      </c>
      <c r="H40">
        <v>2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33</v>
      </c>
      <c r="B41">
        <v>8</v>
      </c>
      <c r="C41">
        <v>5</v>
      </c>
      <c r="E41">
        <v>1</v>
      </c>
      <c r="F41">
        <v>20</v>
      </c>
      <c r="H41">
        <v>3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34</v>
      </c>
      <c r="B42">
        <v>24</v>
      </c>
      <c r="C42">
        <v>43</v>
      </c>
      <c r="E42">
        <v>0</v>
      </c>
      <c r="F42">
        <v>28</v>
      </c>
      <c r="H42">
        <v>8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35</v>
      </c>
      <c r="B43">
        <v>49</v>
      </c>
      <c r="C43">
        <v>44</v>
      </c>
      <c r="E43">
        <v>3</v>
      </c>
      <c r="F43">
        <v>12</v>
      </c>
      <c r="H43">
        <v>3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36</v>
      </c>
      <c r="B44">
        <v>25</v>
      </c>
      <c r="C44">
        <v>45</v>
      </c>
      <c r="E44">
        <v>2</v>
      </c>
      <c r="F44">
        <v>14</v>
      </c>
      <c r="H44">
        <v>0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37</v>
      </c>
      <c r="B45">
        <v>16</v>
      </c>
      <c r="C45">
        <v>16</v>
      </c>
      <c r="E45">
        <v>3</v>
      </c>
      <c r="F45">
        <v>19</v>
      </c>
      <c r="H45">
        <v>0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38</v>
      </c>
      <c r="B46">
        <v>12</v>
      </c>
      <c r="C46">
        <v>9</v>
      </c>
      <c r="E46">
        <v>1</v>
      </c>
      <c r="F46">
        <v>9</v>
      </c>
      <c r="H46">
        <v>1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39</v>
      </c>
      <c r="B47">
        <v>19</v>
      </c>
      <c r="C47">
        <v>13</v>
      </c>
      <c r="E47">
        <v>0</v>
      </c>
      <c r="F47">
        <v>13</v>
      </c>
      <c r="H47">
        <v>3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40</v>
      </c>
      <c r="B48">
        <v>18</v>
      </c>
      <c r="C48">
        <v>12</v>
      </c>
      <c r="E48">
        <v>3</v>
      </c>
      <c r="F48">
        <v>27</v>
      </c>
      <c r="H48">
        <v>3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41</v>
      </c>
      <c r="B49">
        <v>28</v>
      </c>
      <c r="C49">
        <v>10</v>
      </c>
      <c r="E49">
        <v>0</v>
      </c>
      <c r="F49">
        <v>2</v>
      </c>
      <c r="H49">
        <v>7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42</v>
      </c>
      <c r="B50">
        <v>10</v>
      </c>
      <c r="C50">
        <v>17</v>
      </c>
      <c r="E50">
        <v>1</v>
      </c>
      <c r="F50">
        <v>12</v>
      </c>
      <c r="H50">
        <v>1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43</v>
      </c>
      <c r="B51">
        <v>18</v>
      </c>
      <c r="C51">
        <v>18</v>
      </c>
      <c r="E51">
        <v>0</v>
      </c>
      <c r="F51">
        <v>19</v>
      </c>
      <c r="H51">
        <v>0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44</v>
      </c>
      <c r="B52">
        <v>8</v>
      </c>
      <c r="C52">
        <v>1</v>
      </c>
      <c r="E52">
        <v>0</v>
      </c>
      <c r="F52">
        <v>6</v>
      </c>
      <c r="H52">
        <v>0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45</v>
      </c>
      <c r="B53">
        <v>26</v>
      </c>
      <c r="C53">
        <v>25</v>
      </c>
      <c r="E53">
        <v>1</v>
      </c>
      <c r="F53">
        <v>7</v>
      </c>
      <c r="H53">
        <v>0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46</v>
      </c>
      <c r="B54">
        <v>20</v>
      </c>
      <c r="C54">
        <v>27</v>
      </c>
      <c r="E54">
        <v>0</v>
      </c>
      <c r="F54">
        <v>7</v>
      </c>
      <c r="H54">
        <v>0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47</v>
      </c>
      <c r="B55">
        <v>6</v>
      </c>
      <c r="C55">
        <v>16</v>
      </c>
      <c r="E55">
        <v>0</v>
      </c>
      <c r="F55">
        <v>5</v>
      </c>
      <c r="H55">
        <v>1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48</v>
      </c>
      <c r="B56">
        <v>26</v>
      </c>
      <c r="C56">
        <v>46</v>
      </c>
      <c r="E56">
        <v>0</v>
      </c>
      <c r="F56">
        <v>13</v>
      </c>
      <c r="H56">
        <v>14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49</v>
      </c>
      <c r="B57">
        <v>9</v>
      </c>
      <c r="C57">
        <v>33</v>
      </c>
      <c r="E57">
        <v>0</v>
      </c>
      <c r="F57">
        <v>19</v>
      </c>
      <c r="H57"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50</v>
      </c>
      <c r="B58">
        <v>26</v>
      </c>
      <c r="C58">
        <v>45</v>
      </c>
      <c r="E58">
        <v>0</v>
      </c>
      <c r="F58">
        <v>19</v>
      </c>
      <c r="H58">
        <v>0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  <row r="61" spans="1:10" x14ac:dyDescent="0.35">
      <c r="A61" s="43" t="s">
        <v>71</v>
      </c>
      <c r="B61" s="43"/>
      <c r="C61" s="43"/>
      <c r="D61" s="43"/>
      <c r="E61" s="43"/>
      <c r="F61" s="43"/>
      <c r="G61" s="43"/>
      <c r="H61" s="43"/>
      <c r="I61" s="43"/>
      <c r="J61" s="43"/>
    </row>
    <row r="63" spans="1:10" x14ac:dyDescent="0.35">
      <c r="A63" t="s">
        <v>70</v>
      </c>
      <c r="B63">
        <f>B8-B9-B10</f>
        <v>0</v>
      </c>
      <c r="C63">
        <f t="shared" ref="C63:H63" si="3">C8-C9-C10</f>
        <v>0</v>
      </c>
      <c r="E63">
        <f t="shared" si="3"/>
        <v>0</v>
      </c>
      <c r="F63">
        <f t="shared" si="3"/>
        <v>0</v>
      </c>
      <c r="H63">
        <f t="shared" si="3"/>
        <v>0</v>
      </c>
    </row>
    <row r="64" spans="1:10" x14ac:dyDescent="0.35">
      <c r="A64" t="s">
        <v>72</v>
      </c>
      <c r="B64">
        <f>B8-SUM(B11:B13)</f>
        <v>0</v>
      </c>
      <c r="C64">
        <f t="shared" ref="C64:H64" si="4">C8-SUM(C11:C13)</f>
        <v>0</v>
      </c>
      <c r="E64">
        <f t="shared" si="4"/>
        <v>0</v>
      </c>
      <c r="F64">
        <f t="shared" si="4"/>
        <v>0</v>
      </c>
      <c r="H64">
        <f t="shared" si="4"/>
        <v>0</v>
      </c>
    </row>
    <row r="65" spans="1:8" x14ac:dyDescent="0.35">
      <c r="A65" t="s">
        <v>73</v>
      </c>
      <c r="B65">
        <f>B8-SUM(B14:B58)</f>
        <v>0</v>
      </c>
      <c r="C65">
        <f t="shared" ref="C65:H65" si="5">C8-SUM(C14:C58)</f>
        <v>0</v>
      </c>
      <c r="E65">
        <f t="shared" si="5"/>
        <v>0</v>
      </c>
      <c r="F65">
        <f t="shared" si="5"/>
        <v>0</v>
      </c>
      <c r="H65">
        <f t="shared" si="5"/>
        <v>0</v>
      </c>
    </row>
    <row r="67" spans="1:8" x14ac:dyDescent="0.35">
      <c r="A67" t="s">
        <v>74</v>
      </c>
      <c r="B67">
        <f>B9+B10-B11-B12-B13</f>
        <v>0</v>
      </c>
      <c r="C67">
        <f t="shared" ref="C67:H67" si="6">C9+C10-C11-C12-C13</f>
        <v>0</v>
      </c>
      <c r="E67">
        <f t="shared" si="6"/>
        <v>0</v>
      </c>
      <c r="F67">
        <f t="shared" si="6"/>
        <v>0</v>
      </c>
      <c r="H67">
        <f t="shared" si="6"/>
        <v>0</v>
      </c>
    </row>
    <row r="68" spans="1:8" x14ac:dyDescent="0.35">
      <c r="A68" t="s">
        <v>75</v>
      </c>
      <c r="B68">
        <f>B9+B10-SUM(B14:B58)</f>
        <v>0</v>
      </c>
      <c r="C68">
        <f t="shared" ref="C68:H68" si="7">C9+C10-SUM(C14:C58)</f>
        <v>0</v>
      </c>
      <c r="E68">
        <f t="shared" si="7"/>
        <v>0</v>
      </c>
      <c r="F68">
        <f t="shared" si="7"/>
        <v>0</v>
      </c>
      <c r="H68">
        <f t="shared" si="7"/>
        <v>0</v>
      </c>
    </row>
    <row r="70" spans="1:8" x14ac:dyDescent="0.35">
      <c r="A70" t="s">
        <v>76</v>
      </c>
      <c r="B70">
        <f>SUM(B11:B13)-SUM(B14:B58)</f>
        <v>0</v>
      </c>
      <c r="C70">
        <f t="shared" ref="C70:H70" si="8">SUM(C11:C13)-SUM(C14:C58)</f>
        <v>0</v>
      </c>
      <c r="E70">
        <f t="shared" si="8"/>
        <v>0</v>
      </c>
      <c r="F70">
        <f t="shared" si="8"/>
        <v>0</v>
      </c>
      <c r="H70">
        <f t="shared" si="8"/>
        <v>0</v>
      </c>
    </row>
  </sheetData>
  <mergeCells count="2">
    <mergeCell ref="A4:H4"/>
    <mergeCell ref="A61:J6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E7D4A-DB34-45A5-BC19-7B4319F27015}">
  <sheetPr>
    <tabColor rgb="FFC00000"/>
  </sheetPr>
  <dimension ref="A4:J70"/>
  <sheetViews>
    <sheetView workbookViewId="0">
      <selection activeCell="B14" sqref="B14:F58"/>
    </sheetView>
  </sheetViews>
  <sheetFormatPr defaultRowHeight="14.5" x14ac:dyDescent="0.35"/>
  <cols>
    <col min="1" max="1" width="25.54296875" customWidth="1"/>
  </cols>
  <sheetData>
    <row r="4" spans="1:10" x14ac:dyDescent="0.35">
      <c r="A4" s="42" t="s">
        <v>82</v>
      </c>
      <c r="B4" s="42"/>
      <c r="C4" s="42"/>
      <c r="D4" s="42"/>
      <c r="E4" s="42"/>
      <c r="F4" s="42"/>
      <c r="G4" s="42"/>
      <c r="H4" s="42"/>
    </row>
    <row r="6" spans="1:10" x14ac:dyDescent="0.35">
      <c r="B6" t="s">
        <v>54</v>
      </c>
      <c r="E6" t="s">
        <v>55</v>
      </c>
      <c r="H6" t="s">
        <v>59</v>
      </c>
    </row>
    <row r="7" spans="1:10" x14ac:dyDescent="0.35">
      <c r="A7" t="s">
        <v>56</v>
      </c>
      <c r="B7" t="s">
        <v>57</v>
      </c>
      <c r="C7" t="s">
        <v>58</v>
      </c>
      <c r="E7" t="s">
        <v>57</v>
      </c>
      <c r="F7" t="s">
        <v>58</v>
      </c>
    </row>
    <row r="8" spans="1:10" x14ac:dyDescent="0.35">
      <c r="A8" t="s">
        <v>0</v>
      </c>
      <c r="B8">
        <f>SUM(B14:B58)</f>
        <v>770</v>
      </c>
      <c r="C8">
        <f t="shared" ref="C8:H8" si="0">SUM(C14:C58)</f>
        <v>1226</v>
      </c>
      <c r="E8">
        <f t="shared" si="0"/>
        <v>52</v>
      </c>
      <c r="F8">
        <f t="shared" si="0"/>
        <v>704</v>
      </c>
      <c r="H8">
        <f t="shared" si="0"/>
        <v>79</v>
      </c>
    </row>
    <row r="9" spans="1:10" x14ac:dyDescent="0.35">
      <c r="A9" t="s">
        <v>1</v>
      </c>
      <c r="B9">
        <f>SUMIF($J$14:$J$58,$A9,B$14:B$58)</f>
        <v>501</v>
      </c>
      <c r="C9">
        <f t="shared" ref="C9:H10" si="1">SUMIF($J$14:$J$58,$A9,C$14:C$58)</f>
        <v>747</v>
      </c>
      <c r="E9">
        <f t="shared" si="1"/>
        <v>49</v>
      </c>
      <c r="F9">
        <f t="shared" si="1"/>
        <v>580</v>
      </c>
      <c r="H9">
        <f t="shared" si="1"/>
        <v>64</v>
      </c>
    </row>
    <row r="10" spans="1:10" x14ac:dyDescent="0.35">
      <c r="A10" t="s">
        <v>2</v>
      </c>
      <c r="B10">
        <f>SUMIF($J$14:$J$58,$A10,B$14:B$58)</f>
        <v>269</v>
      </c>
      <c r="C10">
        <f t="shared" si="1"/>
        <v>479</v>
      </c>
      <c r="E10">
        <f t="shared" si="1"/>
        <v>3</v>
      </c>
      <c r="F10">
        <f t="shared" si="1"/>
        <v>124</v>
      </c>
      <c r="H10">
        <f t="shared" si="1"/>
        <v>15</v>
      </c>
    </row>
    <row r="11" spans="1:10" x14ac:dyDescent="0.35">
      <c r="A11" t="s">
        <v>3</v>
      </c>
      <c r="B11">
        <f t="shared" ref="B11:H13" si="2">SUMIF($I$14:$I$58,$A11,B$14:B$58)</f>
        <v>392</v>
      </c>
      <c r="C11">
        <f t="shared" si="2"/>
        <v>665</v>
      </c>
      <c r="E11">
        <f t="shared" si="2"/>
        <v>17</v>
      </c>
      <c r="F11">
        <f t="shared" si="2"/>
        <v>208</v>
      </c>
      <c r="H11">
        <f t="shared" si="2"/>
        <v>31</v>
      </c>
    </row>
    <row r="12" spans="1:10" x14ac:dyDescent="0.35">
      <c r="A12" t="s">
        <v>4</v>
      </c>
      <c r="B12">
        <f t="shared" si="2"/>
        <v>209</v>
      </c>
      <c r="C12">
        <f t="shared" si="2"/>
        <v>337</v>
      </c>
      <c r="E12">
        <f t="shared" si="2"/>
        <v>17</v>
      </c>
      <c r="F12">
        <f t="shared" si="2"/>
        <v>334</v>
      </c>
      <c r="H12">
        <f t="shared" si="2"/>
        <v>22</v>
      </c>
    </row>
    <row r="13" spans="1:10" x14ac:dyDescent="0.35">
      <c r="A13" t="s">
        <v>5</v>
      </c>
      <c r="B13">
        <f>SUMIF($I$14:$I$58,$A13,B$14:B$58)</f>
        <v>169</v>
      </c>
      <c r="C13">
        <f t="shared" si="2"/>
        <v>224</v>
      </c>
      <c r="E13">
        <f t="shared" si="2"/>
        <v>18</v>
      </c>
      <c r="F13">
        <f t="shared" si="2"/>
        <v>162</v>
      </c>
      <c r="H13">
        <f t="shared" si="2"/>
        <v>26</v>
      </c>
    </row>
    <row r="14" spans="1:10" x14ac:dyDescent="0.35">
      <c r="A14" t="s">
        <v>6</v>
      </c>
      <c r="B14">
        <v>24</v>
      </c>
      <c r="C14">
        <v>29</v>
      </c>
      <c r="E14">
        <v>3</v>
      </c>
      <c r="F14">
        <v>20</v>
      </c>
      <c r="H14">
        <v>3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7</v>
      </c>
      <c r="B15">
        <v>10</v>
      </c>
      <c r="C15">
        <v>9</v>
      </c>
      <c r="E15">
        <v>0</v>
      </c>
      <c r="F15">
        <v>8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8</v>
      </c>
      <c r="B16">
        <v>5</v>
      </c>
      <c r="C16">
        <v>14</v>
      </c>
      <c r="E16">
        <v>2</v>
      </c>
      <c r="F16">
        <v>5</v>
      </c>
      <c r="H16">
        <v>0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9</v>
      </c>
      <c r="B17">
        <v>8</v>
      </c>
      <c r="C17">
        <v>11</v>
      </c>
      <c r="E17">
        <v>0</v>
      </c>
      <c r="F17">
        <v>9</v>
      </c>
      <c r="H17">
        <v>2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10</v>
      </c>
      <c r="B18">
        <v>3</v>
      </c>
      <c r="C18">
        <v>14</v>
      </c>
      <c r="E18">
        <v>1</v>
      </c>
      <c r="F18">
        <v>16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11</v>
      </c>
      <c r="B19">
        <v>4</v>
      </c>
      <c r="C19">
        <v>9</v>
      </c>
      <c r="E19">
        <v>0</v>
      </c>
      <c r="F19">
        <v>23</v>
      </c>
      <c r="H19">
        <v>0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12</v>
      </c>
      <c r="B20">
        <v>8</v>
      </c>
      <c r="C20">
        <v>25</v>
      </c>
      <c r="E20">
        <v>2</v>
      </c>
      <c r="F20">
        <v>8</v>
      </c>
      <c r="H20">
        <v>1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13</v>
      </c>
      <c r="B21">
        <v>4</v>
      </c>
      <c r="C21">
        <v>3</v>
      </c>
      <c r="E21">
        <v>2</v>
      </c>
      <c r="F21">
        <v>1</v>
      </c>
      <c r="H21">
        <v>2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14</v>
      </c>
      <c r="B22">
        <v>5</v>
      </c>
      <c r="C22">
        <v>7</v>
      </c>
      <c r="E22">
        <v>0</v>
      </c>
      <c r="F22">
        <v>2</v>
      </c>
      <c r="H22"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15</v>
      </c>
      <c r="B23">
        <v>8</v>
      </c>
      <c r="C23">
        <v>23</v>
      </c>
      <c r="E23">
        <v>1</v>
      </c>
      <c r="F23">
        <v>20</v>
      </c>
      <c r="H23">
        <v>3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16</v>
      </c>
      <c r="B24">
        <v>52</v>
      </c>
      <c r="C24">
        <v>66</v>
      </c>
      <c r="E24">
        <v>6</v>
      </c>
      <c r="F24">
        <v>57</v>
      </c>
      <c r="H24">
        <v>4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17</v>
      </c>
      <c r="B25">
        <v>24</v>
      </c>
      <c r="C25">
        <v>36</v>
      </c>
      <c r="E25">
        <v>1</v>
      </c>
      <c r="F25">
        <v>55</v>
      </c>
      <c r="H25">
        <v>2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18</v>
      </c>
      <c r="B26">
        <v>5</v>
      </c>
      <c r="C26">
        <v>8</v>
      </c>
      <c r="E26">
        <v>1</v>
      </c>
      <c r="F26">
        <v>3</v>
      </c>
      <c r="H26"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19</v>
      </c>
      <c r="B27">
        <v>17</v>
      </c>
      <c r="C27">
        <v>33</v>
      </c>
      <c r="E27">
        <v>1</v>
      </c>
      <c r="F27">
        <v>19</v>
      </c>
      <c r="H27">
        <v>1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20</v>
      </c>
      <c r="B28">
        <v>39</v>
      </c>
      <c r="C28">
        <v>49</v>
      </c>
      <c r="E28">
        <v>1</v>
      </c>
      <c r="F28">
        <v>55</v>
      </c>
      <c r="H28">
        <v>4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21</v>
      </c>
      <c r="B29">
        <v>4</v>
      </c>
      <c r="C29">
        <v>18</v>
      </c>
      <c r="E29">
        <v>0</v>
      </c>
      <c r="F29">
        <v>3</v>
      </c>
      <c r="H29">
        <v>2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22</v>
      </c>
      <c r="B30">
        <v>151</v>
      </c>
      <c r="C30">
        <v>289</v>
      </c>
      <c r="E30">
        <v>1</v>
      </c>
      <c r="F30">
        <v>27</v>
      </c>
      <c r="H30">
        <v>9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23</v>
      </c>
      <c r="B31">
        <v>29</v>
      </c>
      <c r="C31">
        <v>41</v>
      </c>
      <c r="E31">
        <v>2</v>
      </c>
      <c r="F31">
        <v>17</v>
      </c>
      <c r="H31">
        <v>0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24</v>
      </c>
      <c r="B32">
        <v>19</v>
      </c>
      <c r="C32">
        <v>30</v>
      </c>
      <c r="E32">
        <v>2</v>
      </c>
      <c r="F32">
        <v>18</v>
      </c>
      <c r="H32">
        <v>5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25</v>
      </c>
      <c r="B33">
        <v>14</v>
      </c>
      <c r="C33">
        <v>14</v>
      </c>
      <c r="E33">
        <v>2</v>
      </c>
      <c r="F33">
        <v>8</v>
      </c>
      <c r="H33"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26</v>
      </c>
      <c r="B34">
        <v>15</v>
      </c>
      <c r="C34">
        <v>17</v>
      </c>
      <c r="E34">
        <v>5</v>
      </c>
      <c r="F34">
        <v>16</v>
      </c>
      <c r="H34">
        <v>1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27</v>
      </c>
      <c r="B35">
        <v>4</v>
      </c>
      <c r="C35">
        <v>12</v>
      </c>
      <c r="E35">
        <v>3</v>
      </c>
      <c r="F35">
        <v>15</v>
      </c>
      <c r="H35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28</v>
      </c>
      <c r="B36">
        <v>2</v>
      </c>
      <c r="C36">
        <v>6</v>
      </c>
      <c r="E36">
        <v>0</v>
      </c>
      <c r="F36">
        <v>1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29</v>
      </c>
      <c r="B37">
        <v>0</v>
      </c>
      <c r="C37">
        <v>0</v>
      </c>
      <c r="E37">
        <v>0</v>
      </c>
      <c r="F37">
        <v>0</v>
      </c>
      <c r="H37"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30</v>
      </c>
      <c r="B38">
        <v>21</v>
      </c>
      <c r="C38">
        <v>26</v>
      </c>
      <c r="E38">
        <v>0</v>
      </c>
      <c r="F38">
        <v>41</v>
      </c>
      <c r="H38">
        <v>0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31</v>
      </c>
      <c r="B39">
        <v>13</v>
      </c>
      <c r="C39">
        <v>20</v>
      </c>
      <c r="E39">
        <v>0</v>
      </c>
      <c r="F39">
        <v>7</v>
      </c>
      <c r="H39">
        <v>1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32</v>
      </c>
      <c r="B40">
        <v>11</v>
      </c>
      <c r="C40">
        <v>29</v>
      </c>
      <c r="E40">
        <v>1</v>
      </c>
      <c r="F40">
        <v>10</v>
      </c>
      <c r="H40">
        <v>4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33</v>
      </c>
      <c r="B41">
        <v>3</v>
      </c>
      <c r="C41">
        <v>11</v>
      </c>
      <c r="E41">
        <v>0</v>
      </c>
      <c r="F41">
        <v>18</v>
      </c>
      <c r="H41">
        <v>0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34</v>
      </c>
      <c r="B42">
        <v>15</v>
      </c>
      <c r="C42">
        <v>43</v>
      </c>
      <c r="E42">
        <v>0</v>
      </c>
      <c r="F42">
        <v>28</v>
      </c>
      <c r="H42">
        <v>0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35</v>
      </c>
      <c r="B43">
        <v>29</v>
      </c>
      <c r="C43">
        <v>27</v>
      </c>
      <c r="E43">
        <v>4</v>
      </c>
      <c r="F43">
        <v>21</v>
      </c>
      <c r="H43">
        <v>11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36</v>
      </c>
      <c r="B44">
        <v>11</v>
      </c>
      <c r="C44">
        <v>32</v>
      </c>
      <c r="E44">
        <v>0</v>
      </c>
      <c r="F44">
        <v>15</v>
      </c>
      <c r="H44">
        <v>2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37</v>
      </c>
      <c r="B45">
        <v>18</v>
      </c>
      <c r="C45">
        <v>10</v>
      </c>
      <c r="E45">
        <v>2</v>
      </c>
      <c r="F45">
        <v>28</v>
      </c>
      <c r="H45">
        <v>0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38</v>
      </c>
      <c r="B46">
        <v>7</v>
      </c>
      <c r="C46">
        <v>10</v>
      </c>
      <c r="E46">
        <v>2</v>
      </c>
      <c r="F46">
        <v>10</v>
      </c>
      <c r="H46">
        <v>2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39</v>
      </c>
      <c r="B47">
        <v>20</v>
      </c>
      <c r="C47">
        <v>22</v>
      </c>
      <c r="E47">
        <v>0</v>
      </c>
      <c r="F47">
        <v>6</v>
      </c>
      <c r="H47">
        <v>0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40</v>
      </c>
      <c r="B48">
        <v>13</v>
      </c>
      <c r="C48">
        <v>24</v>
      </c>
      <c r="E48">
        <v>1</v>
      </c>
      <c r="F48">
        <v>8</v>
      </c>
      <c r="H48">
        <v>3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41</v>
      </c>
      <c r="B49">
        <v>23</v>
      </c>
      <c r="C49">
        <v>7</v>
      </c>
      <c r="E49">
        <v>1</v>
      </c>
      <c r="F49">
        <v>5</v>
      </c>
      <c r="H49">
        <v>1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42</v>
      </c>
      <c r="B50">
        <v>9</v>
      </c>
      <c r="C50">
        <v>15</v>
      </c>
      <c r="E50">
        <v>0</v>
      </c>
      <c r="F50">
        <v>13</v>
      </c>
      <c r="H50">
        <v>0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43</v>
      </c>
      <c r="B51">
        <v>19</v>
      </c>
      <c r="C51">
        <v>27</v>
      </c>
      <c r="E51">
        <v>1</v>
      </c>
      <c r="F51">
        <v>17</v>
      </c>
      <c r="H51">
        <v>0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44</v>
      </c>
      <c r="B52">
        <v>12</v>
      </c>
      <c r="C52">
        <v>9</v>
      </c>
      <c r="E52">
        <v>0</v>
      </c>
      <c r="F52">
        <v>5</v>
      </c>
      <c r="H52">
        <v>1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45</v>
      </c>
      <c r="B53">
        <v>19</v>
      </c>
      <c r="C53">
        <v>29</v>
      </c>
      <c r="E53">
        <v>0</v>
      </c>
      <c r="F53">
        <v>4</v>
      </c>
      <c r="H53">
        <v>5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46</v>
      </c>
      <c r="B54">
        <v>17</v>
      </c>
      <c r="C54">
        <v>22</v>
      </c>
      <c r="E54">
        <v>0</v>
      </c>
      <c r="F54">
        <v>7</v>
      </c>
      <c r="H54">
        <v>0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47</v>
      </c>
      <c r="B55">
        <v>6</v>
      </c>
      <c r="C55">
        <v>10</v>
      </c>
      <c r="E55">
        <v>3</v>
      </c>
      <c r="F55">
        <v>6</v>
      </c>
      <c r="H55">
        <v>4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48</v>
      </c>
      <c r="B56">
        <v>23</v>
      </c>
      <c r="C56">
        <v>32</v>
      </c>
      <c r="E56">
        <v>0</v>
      </c>
      <c r="F56">
        <v>13</v>
      </c>
      <c r="H56">
        <v>5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49</v>
      </c>
      <c r="B57">
        <v>2</v>
      </c>
      <c r="C57">
        <v>21</v>
      </c>
      <c r="E57">
        <v>1</v>
      </c>
      <c r="F57">
        <v>17</v>
      </c>
      <c r="H57"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50</v>
      </c>
      <c r="B58">
        <v>25</v>
      </c>
      <c r="C58">
        <v>37</v>
      </c>
      <c r="E58">
        <v>0</v>
      </c>
      <c r="F58">
        <v>19</v>
      </c>
      <c r="H58">
        <v>1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  <row r="61" spans="1:10" x14ac:dyDescent="0.35">
      <c r="A61" s="43" t="s">
        <v>71</v>
      </c>
      <c r="B61" s="43"/>
      <c r="C61" s="43"/>
      <c r="D61" s="43"/>
      <c r="E61" s="43"/>
      <c r="F61" s="43"/>
      <c r="G61" s="43"/>
      <c r="H61" s="43"/>
      <c r="I61" s="43"/>
      <c r="J61" s="43"/>
    </row>
    <row r="63" spans="1:10" x14ac:dyDescent="0.35">
      <c r="A63" t="s">
        <v>70</v>
      </c>
      <c r="B63">
        <f>B8-B9-B10</f>
        <v>0</v>
      </c>
      <c r="C63">
        <f t="shared" ref="C63:H63" si="3">C8-C9-C10</f>
        <v>0</v>
      </c>
      <c r="E63">
        <f t="shared" si="3"/>
        <v>0</v>
      </c>
      <c r="F63">
        <f t="shared" si="3"/>
        <v>0</v>
      </c>
      <c r="H63">
        <f t="shared" si="3"/>
        <v>0</v>
      </c>
    </row>
    <row r="64" spans="1:10" x14ac:dyDescent="0.35">
      <c r="A64" t="s">
        <v>72</v>
      </c>
      <c r="B64">
        <f>B8-SUM(B11:B13)</f>
        <v>0</v>
      </c>
      <c r="C64">
        <f t="shared" ref="C64:H64" si="4">C8-SUM(C11:C13)</f>
        <v>0</v>
      </c>
      <c r="E64">
        <f t="shared" si="4"/>
        <v>0</v>
      </c>
      <c r="F64">
        <f t="shared" si="4"/>
        <v>0</v>
      </c>
      <c r="H64">
        <f t="shared" si="4"/>
        <v>0</v>
      </c>
    </row>
    <row r="65" spans="1:8" x14ac:dyDescent="0.35">
      <c r="A65" t="s">
        <v>73</v>
      </c>
      <c r="B65">
        <f>B8-SUM(B14:B58)</f>
        <v>0</v>
      </c>
      <c r="C65">
        <f t="shared" ref="C65:H65" si="5">C8-SUM(C14:C58)</f>
        <v>0</v>
      </c>
      <c r="E65">
        <f t="shared" si="5"/>
        <v>0</v>
      </c>
      <c r="F65">
        <f t="shared" si="5"/>
        <v>0</v>
      </c>
      <c r="H65">
        <f t="shared" si="5"/>
        <v>0</v>
      </c>
    </row>
    <row r="67" spans="1:8" x14ac:dyDescent="0.35">
      <c r="A67" t="s">
        <v>74</v>
      </c>
      <c r="B67">
        <f>B9+B10-B11-B12-B13</f>
        <v>0</v>
      </c>
      <c r="C67">
        <f t="shared" ref="C67:H67" si="6">C9+C10-C11-C12-C13</f>
        <v>0</v>
      </c>
      <c r="E67">
        <f t="shared" si="6"/>
        <v>0</v>
      </c>
      <c r="F67">
        <f t="shared" si="6"/>
        <v>0</v>
      </c>
      <c r="H67">
        <f t="shared" si="6"/>
        <v>0</v>
      </c>
    </row>
    <row r="68" spans="1:8" x14ac:dyDescent="0.35">
      <c r="A68" t="s">
        <v>75</v>
      </c>
      <c r="B68">
        <f>B9+B10-SUM(B14:B58)</f>
        <v>0</v>
      </c>
      <c r="C68">
        <f t="shared" ref="C68:H68" si="7">C9+C10-SUM(C14:C58)</f>
        <v>0</v>
      </c>
      <c r="E68">
        <f t="shared" si="7"/>
        <v>0</v>
      </c>
      <c r="F68">
        <f t="shared" si="7"/>
        <v>0</v>
      </c>
      <c r="H68">
        <f t="shared" si="7"/>
        <v>0</v>
      </c>
    </row>
    <row r="70" spans="1:8" x14ac:dyDescent="0.35">
      <c r="A70" t="s">
        <v>76</v>
      </c>
      <c r="B70">
        <f>SUM(B11:B13)-SUM(B14:B58)</f>
        <v>0</v>
      </c>
      <c r="C70">
        <f t="shared" ref="C70:H70" si="8">SUM(C11:C13)-SUM(C14:C58)</f>
        <v>0</v>
      </c>
      <c r="E70">
        <f t="shared" si="8"/>
        <v>0</v>
      </c>
      <c r="F70">
        <f t="shared" si="8"/>
        <v>0</v>
      </c>
      <c r="H70">
        <f t="shared" si="8"/>
        <v>0</v>
      </c>
    </row>
  </sheetData>
  <mergeCells count="2">
    <mergeCell ref="A4:H4"/>
    <mergeCell ref="A61:J6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0296E-5C62-4564-B3BF-CFF6E556010E}">
  <sheetPr>
    <tabColor rgb="FFFF0000"/>
  </sheetPr>
  <dimension ref="A4:J70"/>
  <sheetViews>
    <sheetView workbookViewId="0">
      <selection activeCell="B14" sqref="B14:F58"/>
    </sheetView>
  </sheetViews>
  <sheetFormatPr defaultRowHeight="14.5" x14ac:dyDescent="0.35"/>
  <cols>
    <col min="1" max="1" width="25.54296875" customWidth="1"/>
  </cols>
  <sheetData>
    <row r="4" spans="1:10" x14ac:dyDescent="0.35">
      <c r="A4" s="42" t="s">
        <v>83</v>
      </c>
      <c r="B4" s="42"/>
      <c r="C4" s="42"/>
      <c r="D4" s="42"/>
      <c r="E4" s="42"/>
      <c r="F4" s="42"/>
      <c r="G4" s="42"/>
      <c r="H4" s="42"/>
    </row>
    <row r="6" spans="1:10" x14ac:dyDescent="0.35">
      <c r="B6" t="s">
        <v>54</v>
      </c>
      <c r="E6" t="s">
        <v>55</v>
      </c>
      <c r="H6" t="s">
        <v>59</v>
      </c>
    </row>
    <row r="7" spans="1:10" x14ac:dyDescent="0.35">
      <c r="A7" t="s">
        <v>56</v>
      </c>
      <c r="B7" t="s">
        <v>57</v>
      </c>
      <c r="C7" t="s">
        <v>58</v>
      </c>
      <c r="E7" t="s">
        <v>57</v>
      </c>
      <c r="F7" t="s">
        <v>58</v>
      </c>
    </row>
    <row r="8" spans="1:10" x14ac:dyDescent="0.35">
      <c r="A8" t="s">
        <v>0</v>
      </c>
      <c r="B8">
        <f>SUM(B14:B58)</f>
        <v>808</v>
      </c>
      <c r="C8">
        <f t="shared" ref="C8:H8" si="0">SUM(C14:C58)</f>
        <v>1121</v>
      </c>
      <c r="E8">
        <f t="shared" si="0"/>
        <v>50</v>
      </c>
      <c r="F8">
        <f t="shared" si="0"/>
        <v>685</v>
      </c>
      <c r="H8">
        <f t="shared" si="0"/>
        <v>100</v>
      </c>
    </row>
    <row r="9" spans="1:10" x14ac:dyDescent="0.35">
      <c r="A9" t="s">
        <v>1</v>
      </c>
      <c r="B9">
        <f>SUMIF($J$14:$J$58,$A9,B$14:B$58)</f>
        <v>542</v>
      </c>
      <c r="C9">
        <f t="shared" ref="C9:H10" si="1">SUMIF($J$14:$J$58,$A9,C$14:C$58)</f>
        <v>682</v>
      </c>
      <c r="E9">
        <f t="shared" si="1"/>
        <v>46</v>
      </c>
      <c r="F9">
        <f t="shared" si="1"/>
        <v>550</v>
      </c>
      <c r="H9">
        <f t="shared" si="1"/>
        <v>77</v>
      </c>
    </row>
    <row r="10" spans="1:10" x14ac:dyDescent="0.35">
      <c r="A10" t="s">
        <v>2</v>
      </c>
      <c r="B10">
        <f>SUMIF($J$14:$J$58,$A10,B$14:B$58)</f>
        <v>266</v>
      </c>
      <c r="C10">
        <f t="shared" si="1"/>
        <v>439</v>
      </c>
      <c r="E10">
        <f t="shared" si="1"/>
        <v>4</v>
      </c>
      <c r="F10">
        <f t="shared" si="1"/>
        <v>135</v>
      </c>
      <c r="H10">
        <f t="shared" si="1"/>
        <v>23</v>
      </c>
    </row>
    <row r="11" spans="1:10" x14ac:dyDescent="0.35">
      <c r="A11" t="s">
        <v>3</v>
      </c>
      <c r="B11">
        <f t="shared" ref="B11:H13" si="2">SUMIF($I$14:$I$58,$A11,B$14:B$58)</f>
        <v>409</v>
      </c>
      <c r="C11">
        <f t="shared" si="2"/>
        <v>633</v>
      </c>
      <c r="E11">
        <f t="shared" si="2"/>
        <v>21</v>
      </c>
      <c r="F11">
        <f t="shared" si="2"/>
        <v>225</v>
      </c>
      <c r="H11">
        <f t="shared" si="2"/>
        <v>43</v>
      </c>
    </row>
    <row r="12" spans="1:10" x14ac:dyDescent="0.35">
      <c r="A12" t="s">
        <v>4</v>
      </c>
      <c r="B12">
        <f t="shared" si="2"/>
        <v>263</v>
      </c>
      <c r="C12">
        <f t="shared" si="2"/>
        <v>290</v>
      </c>
      <c r="E12">
        <f t="shared" si="2"/>
        <v>18</v>
      </c>
      <c r="F12">
        <f t="shared" si="2"/>
        <v>295</v>
      </c>
      <c r="H12">
        <f t="shared" si="2"/>
        <v>23</v>
      </c>
    </row>
    <row r="13" spans="1:10" x14ac:dyDescent="0.35">
      <c r="A13" t="s">
        <v>5</v>
      </c>
      <c r="B13">
        <f>SUMIF($I$14:$I$58,$A13,B$14:B$58)</f>
        <v>136</v>
      </c>
      <c r="C13">
        <f t="shared" si="2"/>
        <v>198</v>
      </c>
      <c r="E13">
        <f t="shared" si="2"/>
        <v>11</v>
      </c>
      <c r="F13">
        <f t="shared" si="2"/>
        <v>165</v>
      </c>
      <c r="H13">
        <f t="shared" si="2"/>
        <v>34</v>
      </c>
    </row>
    <row r="14" spans="1:10" x14ac:dyDescent="0.35">
      <c r="A14" t="s">
        <v>6</v>
      </c>
      <c r="B14">
        <v>25</v>
      </c>
      <c r="C14">
        <v>39</v>
      </c>
      <c r="E14">
        <v>3</v>
      </c>
      <c r="F14">
        <v>25</v>
      </c>
      <c r="H14">
        <v>0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7</v>
      </c>
      <c r="B15">
        <v>8</v>
      </c>
      <c r="C15">
        <v>15</v>
      </c>
      <c r="E15">
        <v>0</v>
      </c>
      <c r="F15">
        <v>5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8</v>
      </c>
      <c r="B16">
        <v>15</v>
      </c>
      <c r="C16">
        <v>20</v>
      </c>
      <c r="E16">
        <v>0</v>
      </c>
      <c r="F16">
        <v>6</v>
      </c>
      <c r="H16">
        <v>1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9</v>
      </c>
      <c r="B17">
        <v>10</v>
      </c>
      <c r="C17">
        <v>19</v>
      </c>
      <c r="E17">
        <v>1</v>
      </c>
      <c r="F17">
        <v>7</v>
      </c>
      <c r="H17">
        <v>0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10</v>
      </c>
      <c r="B18">
        <v>3</v>
      </c>
      <c r="C18">
        <v>13</v>
      </c>
      <c r="E18">
        <v>1</v>
      </c>
      <c r="F18">
        <v>16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11</v>
      </c>
      <c r="B19">
        <v>15</v>
      </c>
      <c r="C19">
        <v>21</v>
      </c>
      <c r="E19">
        <v>0</v>
      </c>
      <c r="F19">
        <v>17</v>
      </c>
      <c r="H19">
        <v>0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12</v>
      </c>
      <c r="B20">
        <v>11</v>
      </c>
      <c r="C20">
        <v>20</v>
      </c>
      <c r="E20">
        <v>0</v>
      </c>
      <c r="F20">
        <v>3</v>
      </c>
      <c r="H20">
        <v>1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13</v>
      </c>
      <c r="B21">
        <v>2</v>
      </c>
      <c r="C21">
        <v>6</v>
      </c>
      <c r="E21">
        <v>0</v>
      </c>
      <c r="F21">
        <v>6</v>
      </c>
      <c r="H21">
        <v>1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14</v>
      </c>
      <c r="B22">
        <v>9</v>
      </c>
      <c r="C22">
        <v>9</v>
      </c>
      <c r="E22">
        <v>0</v>
      </c>
      <c r="F22">
        <v>2</v>
      </c>
      <c r="H22"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15</v>
      </c>
      <c r="B23">
        <v>13</v>
      </c>
      <c r="C23">
        <v>18</v>
      </c>
      <c r="E23">
        <v>0</v>
      </c>
      <c r="F23">
        <v>24</v>
      </c>
      <c r="H23">
        <v>4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16</v>
      </c>
      <c r="B24">
        <v>42</v>
      </c>
      <c r="C24">
        <v>51</v>
      </c>
      <c r="E24">
        <v>4</v>
      </c>
      <c r="F24">
        <v>54</v>
      </c>
      <c r="H24">
        <v>10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17</v>
      </c>
      <c r="B25">
        <v>22</v>
      </c>
      <c r="C25">
        <v>36</v>
      </c>
      <c r="E25">
        <v>1</v>
      </c>
      <c r="F25">
        <v>30</v>
      </c>
      <c r="H25">
        <v>8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18</v>
      </c>
      <c r="B26">
        <v>3</v>
      </c>
      <c r="C26">
        <v>15</v>
      </c>
      <c r="E26">
        <v>1</v>
      </c>
      <c r="F26">
        <v>4</v>
      </c>
      <c r="H26"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19</v>
      </c>
      <c r="B27">
        <v>21</v>
      </c>
      <c r="C27">
        <v>23</v>
      </c>
      <c r="E27">
        <v>2</v>
      </c>
      <c r="F27">
        <v>20</v>
      </c>
      <c r="H27">
        <v>2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20</v>
      </c>
      <c r="B28">
        <v>48</v>
      </c>
      <c r="C28">
        <v>26</v>
      </c>
      <c r="E28">
        <v>3</v>
      </c>
      <c r="F28">
        <v>59</v>
      </c>
      <c r="H28">
        <v>2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21</v>
      </c>
      <c r="B29">
        <v>6</v>
      </c>
      <c r="C29">
        <v>13</v>
      </c>
      <c r="E29">
        <v>0</v>
      </c>
      <c r="F29">
        <v>3</v>
      </c>
      <c r="H29">
        <v>0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22</v>
      </c>
      <c r="B30">
        <v>175</v>
      </c>
      <c r="C30">
        <v>269</v>
      </c>
      <c r="E30">
        <v>4</v>
      </c>
      <c r="F30">
        <v>25</v>
      </c>
      <c r="H30">
        <v>8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23</v>
      </c>
      <c r="B31">
        <v>4</v>
      </c>
      <c r="C31">
        <v>0</v>
      </c>
      <c r="E31">
        <v>0</v>
      </c>
      <c r="F31">
        <v>0</v>
      </c>
      <c r="H31">
        <v>1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24</v>
      </c>
      <c r="B32">
        <v>19</v>
      </c>
      <c r="C32">
        <v>33</v>
      </c>
      <c r="E32">
        <v>12</v>
      </c>
      <c r="F32">
        <v>19</v>
      </c>
      <c r="H32">
        <v>0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25</v>
      </c>
      <c r="B33">
        <v>20</v>
      </c>
      <c r="C33">
        <v>15</v>
      </c>
      <c r="E33">
        <v>0</v>
      </c>
      <c r="F33">
        <v>17</v>
      </c>
      <c r="H33"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26</v>
      </c>
      <c r="B34">
        <v>19</v>
      </c>
      <c r="C34">
        <v>17</v>
      </c>
      <c r="E34">
        <v>2</v>
      </c>
      <c r="F34">
        <v>11</v>
      </c>
      <c r="H34">
        <v>13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27</v>
      </c>
      <c r="B35">
        <v>13</v>
      </c>
      <c r="C35">
        <v>14</v>
      </c>
      <c r="E35">
        <v>3</v>
      </c>
      <c r="F35">
        <v>24</v>
      </c>
      <c r="H35">
        <v>3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28</v>
      </c>
      <c r="B36">
        <v>0</v>
      </c>
      <c r="C36">
        <v>3</v>
      </c>
      <c r="E36">
        <v>0</v>
      </c>
      <c r="F36">
        <v>2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29</v>
      </c>
      <c r="B37">
        <v>0</v>
      </c>
      <c r="C37">
        <v>0</v>
      </c>
      <c r="E37">
        <v>0</v>
      </c>
      <c r="F37">
        <v>0</v>
      </c>
      <c r="H37"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30</v>
      </c>
      <c r="B38">
        <v>27</v>
      </c>
      <c r="C38">
        <v>22</v>
      </c>
      <c r="E38">
        <v>1</v>
      </c>
      <c r="F38">
        <v>21</v>
      </c>
      <c r="H38">
        <v>0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31</v>
      </c>
      <c r="B39">
        <v>10</v>
      </c>
      <c r="C39">
        <v>18</v>
      </c>
      <c r="E39">
        <v>0</v>
      </c>
      <c r="F39">
        <v>13</v>
      </c>
      <c r="H39">
        <v>4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32</v>
      </c>
      <c r="B40">
        <v>16</v>
      </c>
      <c r="C40">
        <v>13</v>
      </c>
      <c r="E40">
        <v>1</v>
      </c>
      <c r="F40">
        <v>11</v>
      </c>
      <c r="H40">
        <v>1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33</v>
      </c>
      <c r="B41">
        <v>11</v>
      </c>
      <c r="C41">
        <v>20</v>
      </c>
      <c r="E41">
        <v>2</v>
      </c>
      <c r="F41">
        <v>19</v>
      </c>
      <c r="H41">
        <v>4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34</v>
      </c>
      <c r="B42">
        <v>20</v>
      </c>
      <c r="C42">
        <v>55</v>
      </c>
      <c r="E42">
        <v>0</v>
      </c>
      <c r="F42">
        <v>39</v>
      </c>
      <c r="H42">
        <v>2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35</v>
      </c>
      <c r="B43">
        <v>14</v>
      </c>
      <c r="C43">
        <v>18</v>
      </c>
      <c r="E43">
        <v>2</v>
      </c>
      <c r="F43">
        <v>19</v>
      </c>
      <c r="H43">
        <v>17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36</v>
      </c>
      <c r="B44">
        <v>10</v>
      </c>
      <c r="C44">
        <v>30</v>
      </c>
      <c r="E44">
        <v>0</v>
      </c>
      <c r="F44">
        <v>11</v>
      </c>
      <c r="H44">
        <v>0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37</v>
      </c>
      <c r="B45">
        <v>18</v>
      </c>
      <c r="C45">
        <v>10</v>
      </c>
      <c r="E45">
        <v>5</v>
      </c>
      <c r="F45">
        <v>32</v>
      </c>
      <c r="H45">
        <v>0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38</v>
      </c>
      <c r="B46">
        <v>13</v>
      </c>
      <c r="C46">
        <v>4</v>
      </c>
      <c r="E46">
        <v>1</v>
      </c>
      <c r="F46">
        <v>4</v>
      </c>
      <c r="H46">
        <v>0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39</v>
      </c>
      <c r="B47">
        <v>25</v>
      </c>
      <c r="C47">
        <v>26</v>
      </c>
      <c r="E47">
        <v>0</v>
      </c>
      <c r="F47">
        <v>5</v>
      </c>
      <c r="H47">
        <v>1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40</v>
      </c>
      <c r="B48">
        <v>9</v>
      </c>
      <c r="C48">
        <v>17</v>
      </c>
      <c r="E48">
        <v>0</v>
      </c>
      <c r="F48">
        <v>8</v>
      </c>
      <c r="H48">
        <v>0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41</v>
      </c>
      <c r="B49">
        <v>16</v>
      </c>
      <c r="C49">
        <v>5</v>
      </c>
      <c r="E49">
        <v>0</v>
      </c>
      <c r="F49">
        <v>13</v>
      </c>
      <c r="H49">
        <v>2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42</v>
      </c>
      <c r="B50">
        <v>4</v>
      </c>
      <c r="C50">
        <v>18</v>
      </c>
      <c r="E50">
        <v>0</v>
      </c>
      <c r="F50">
        <v>11</v>
      </c>
      <c r="H50">
        <v>2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43</v>
      </c>
      <c r="B51">
        <v>12</v>
      </c>
      <c r="C51">
        <v>25</v>
      </c>
      <c r="E51">
        <v>0</v>
      </c>
      <c r="F51">
        <v>9</v>
      </c>
      <c r="H51">
        <v>0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44</v>
      </c>
      <c r="B52">
        <v>4</v>
      </c>
      <c r="C52">
        <v>7</v>
      </c>
      <c r="E52">
        <v>0</v>
      </c>
      <c r="F52">
        <v>7</v>
      </c>
      <c r="H52">
        <v>0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45</v>
      </c>
      <c r="B53">
        <v>19</v>
      </c>
      <c r="C53">
        <v>21</v>
      </c>
      <c r="E53">
        <v>0</v>
      </c>
      <c r="F53">
        <v>8</v>
      </c>
      <c r="H53">
        <v>0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46</v>
      </c>
      <c r="B54">
        <v>17</v>
      </c>
      <c r="C54">
        <v>14</v>
      </c>
      <c r="E54">
        <v>0</v>
      </c>
      <c r="F54">
        <v>10</v>
      </c>
      <c r="H54">
        <v>0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47</v>
      </c>
      <c r="B55">
        <v>9</v>
      </c>
      <c r="C55">
        <v>14</v>
      </c>
      <c r="E55">
        <v>1</v>
      </c>
      <c r="F55">
        <v>4</v>
      </c>
      <c r="H55">
        <v>3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48</v>
      </c>
      <c r="B56">
        <v>22</v>
      </c>
      <c r="C56">
        <v>45</v>
      </c>
      <c r="E56">
        <v>0</v>
      </c>
      <c r="F56">
        <v>26</v>
      </c>
      <c r="H56">
        <v>10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49</v>
      </c>
      <c r="B57">
        <v>5</v>
      </c>
      <c r="C57">
        <v>6</v>
      </c>
      <c r="E57">
        <v>0</v>
      </c>
      <c r="F57">
        <v>12</v>
      </c>
      <c r="H57"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50</v>
      </c>
      <c r="B58">
        <v>24</v>
      </c>
      <c r="C58">
        <v>38</v>
      </c>
      <c r="E58">
        <v>0</v>
      </c>
      <c r="F58">
        <v>24</v>
      </c>
      <c r="H58">
        <v>0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  <row r="61" spans="1:10" x14ac:dyDescent="0.35">
      <c r="A61" s="43" t="s">
        <v>71</v>
      </c>
      <c r="B61" s="43"/>
      <c r="C61" s="43"/>
      <c r="D61" s="43"/>
      <c r="E61" s="43"/>
      <c r="F61" s="43"/>
      <c r="G61" s="43"/>
      <c r="H61" s="43"/>
      <c r="I61" s="43"/>
      <c r="J61" s="43"/>
    </row>
    <row r="63" spans="1:10" x14ac:dyDescent="0.35">
      <c r="A63" t="s">
        <v>70</v>
      </c>
      <c r="B63">
        <f>B8-B9-B10</f>
        <v>0</v>
      </c>
      <c r="C63">
        <f t="shared" ref="C63:H63" si="3">C8-C9-C10</f>
        <v>0</v>
      </c>
      <c r="E63">
        <f t="shared" si="3"/>
        <v>0</v>
      </c>
      <c r="F63">
        <f t="shared" si="3"/>
        <v>0</v>
      </c>
      <c r="H63">
        <f t="shared" si="3"/>
        <v>0</v>
      </c>
    </row>
    <row r="64" spans="1:10" x14ac:dyDescent="0.35">
      <c r="A64" t="s">
        <v>72</v>
      </c>
      <c r="B64">
        <f>B8-SUM(B11:B13)</f>
        <v>0</v>
      </c>
      <c r="C64">
        <f t="shared" ref="C64:H64" si="4">C8-SUM(C11:C13)</f>
        <v>0</v>
      </c>
      <c r="E64">
        <f t="shared" si="4"/>
        <v>0</v>
      </c>
      <c r="F64">
        <f t="shared" si="4"/>
        <v>0</v>
      </c>
      <c r="H64">
        <f t="shared" si="4"/>
        <v>0</v>
      </c>
    </row>
    <row r="65" spans="1:8" x14ac:dyDescent="0.35">
      <c r="A65" t="s">
        <v>73</v>
      </c>
      <c r="B65">
        <f>B8-SUM(B14:B58)</f>
        <v>0</v>
      </c>
      <c r="C65">
        <f t="shared" ref="C65:H65" si="5">C8-SUM(C14:C58)</f>
        <v>0</v>
      </c>
      <c r="E65">
        <f t="shared" si="5"/>
        <v>0</v>
      </c>
      <c r="F65">
        <f t="shared" si="5"/>
        <v>0</v>
      </c>
      <c r="H65">
        <f t="shared" si="5"/>
        <v>0</v>
      </c>
    </row>
    <row r="67" spans="1:8" x14ac:dyDescent="0.35">
      <c r="A67" t="s">
        <v>74</v>
      </c>
      <c r="B67">
        <f>B9+B10-B11-B12-B13</f>
        <v>0</v>
      </c>
      <c r="C67">
        <f t="shared" ref="C67:H67" si="6">C9+C10-C11-C12-C13</f>
        <v>0</v>
      </c>
      <c r="E67">
        <f t="shared" si="6"/>
        <v>0</v>
      </c>
      <c r="F67">
        <f t="shared" si="6"/>
        <v>0</v>
      </c>
      <c r="H67">
        <f t="shared" si="6"/>
        <v>0</v>
      </c>
    </row>
    <row r="68" spans="1:8" x14ac:dyDescent="0.35">
      <c r="A68" t="s">
        <v>75</v>
      </c>
      <c r="B68">
        <f>B9+B10-SUM(B14:B58)</f>
        <v>0</v>
      </c>
      <c r="C68">
        <f t="shared" ref="C68:H68" si="7">C9+C10-SUM(C14:C58)</f>
        <v>0</v>
      </c>
      <c r="E68">
        <f t="shared" si="7"/>
        <v>0</v>
      </c>
      <c r="F68">
        <f t="shared" si="7"/>
        <v>0</v>
      </c>
      <c r="H68">
        <f t="shared" si="7"/>
        <v>0</v>
      </c>
    </row>
    <row r="70" spans="1:8" x14ac:dyDescent="0.35">
      <c r="A70" t="s">
        <v>76</v>
      </c>
      <c r="B70">
        <f>SUM(B11:B13)-SUM(B14:B58)</f>
        <v>0</v>
      </c>
      <c r="C70">
        <f t="shared" ref="C70:H70" si="8">SUM(C11:C13)-SUM(C14:C58)</f>
        <v>0</v>
      </c>
      <c r="E70">
        <f t="shared" si="8"/>
        <v>0</v>
      </c>
      <c r="F70">
        <f t="shared" si="8"/>
        <v>0</v>
      </c>
      <c r="H70">
        <f t="shared" si="8"/>
        <v>0</v>
      </c>
    </row>
  </sheetData>
  <mergeCells count="2">
    <mergeCell ref="A4:H4"/>
    <mergeCell ref="A61:J6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CA043-F365-4EEE-9659-02FB1167F4D9}">
  <sheetPr>
    <tabColor rgb="FFFF0000"/>
  </sheetPr>
  <dimension ref="A4:J70"/>
  <sheetViews>
    <sheetView workbookViewId="0">
      <selection activeCell="B14" sqref="B14:F58"/>
    </sheetView>
  </sheetViews>
  <sheetFormatPr defaultRowHeight="14.5" x14ac:dyDescent="0.35"/>
  <cols>
    <col min="1" max="1" width="25.54296875" customWidth="1"/>
  </cols>
  <sheetData>
    <row r="4" spans="1:10" x14ac:dyDescent="0.35">
      <c r="A4" s="42" t="s">
        <v>104</v>
      </c>
      <c r="B4" s="42"/>
      <c r="C4" s="42"/>
      <c r="D4" s="42"/>
      <c r="E4" s="42"/>
      <c r="F4" s="42"/>
      <c r="G4" s="42"/>
      <c r="H4" s="42"/>
    </row>
    <row r="6" spans="1:10" x14ac:dyDescent="0.35">
      <c r="B6" t="s">
        <v>54</v>
      </c>
      <c r="E6" t="s">
        <v>55</v>
      </c>
      <c r="H6" t="s">
        <v>59</v>
      </c>
    </row>
    <row r="7" spans="1:10" x14ac:dyDescent="0.35">
      <c r="A7" t="s">
        <v>56</v>
      </c>
      <c r="B7" t="s">
        <v>57</v>
      </c>
      <c r="C7" t="s">
        <v>58</v>
      </c>
      <c r="E7" t="s">
        <v>57</v>
      </c>
      <c r="F7" t="s">
        <v>58</v>
      </c>
    </row>
    <row r="8" spans="1:10" x14ac:dyDescent="0.35">
      <c r="A8" t="s">
        <v>0</v>
      </c>
      <c r="B8">
        <f>SUM(B14:B58)</f>
        <v>902</v>
      </c>
      <c r="C8">
        <f t="shared" ref="C8:H8" si="0">SUM(C14:C58)</f>
        <v>1204</v>
      </c>
      <c r="E8">
        <f t="shared" si="0"/>
        <v>52</v>
      </c>
      <c r="F8">
        <f t="shared" si="0"/>
        <v>717</v>
      </c>
      <c r="H8">
        <f t="shared" si="0"/>
        <v>75</v>
      </c>
    </row>
    <row r="9" spans="1:10" x14ac:dyDescent="0.35">
      <c r="A9" t="s">
        <v>1</v>
      </c>
      <c r="B9">
        <f>SUMIF($J$14:$J$58,$A9,B$14:B$58)</f>
        <v>598</v>
      </c>
      <c r="C9">
        <f t="shared" ref="C9:H10" si="1">SUMIF($J$14:$J$58,$A9,C$14:C$58)</f>
        <v>693</v>
      </c>
      <c r="E9">
        <f t="shared" si="1"/>
        <v>37</v>
      </c>
      <c r="F9">
        <f t="shared" si="1"/>
        <v>574</v>
      </c>
      <c r="H9">
        <f t="shared" si="1"/>
        <v>67</v>
      </c>
    </row>
    <row r="10" spans="1:10" x14ac:dyDescent="0.35">
      <c r="A10" t="s">
        <v>2</v>
      </c>
      <c r="B10">
        <f>SUMIF($J$14:$J$58,$A10,B$14:B$58)</f>
        <v>304</v>
      </c>
      <c r="C10">
        <f t="shared" si="1"/>
        <v>511</v>
      </c>
      <c r="E10">
        <f t="shared" si="1"/>
        <v>15</v>
      </c>
      <c r="F10">
        <f t="shared" si="1"/>
        <v>143</v>
      </c>
      <c r="H10">
        <f t="shared" si="1"/>
        <v>8</v>
      </c>
    </row>
    <row r="11" spans="1:10" x14ac:dyDescent="0.35">
      <c r="A11" t="s">
        <v>3</v>
      </c>
      <c r="B11">
        <f t="shared" ref="B11:H13" si="2">SUMIF($I$14:$I$58,$A11,B$14:B$58)</f>
        <v>481</v>
      </c>
      <c r="C11">
        <f t="shared" si="2"/>
        <v>713</v>
      </c>
      <c r="E11">
        <f t="shared" si="2"/>
        <v>25</v>
      </c>
      <c r="F11">
        <f t="shared" si="2"/>
        <v>252</v>
      </c>
      <c r="H11">
        <f t="shared" si="2"/>
        <v>18</v>
      </c>
    </row>
    <row r="12" spans="1:10" x14ac:dyDescent="0.35">
      <c r="A12" t="s">
        <v>4</v>
      </c>
      <c r="B12">
        <f t="shared" si="2"/>
        <v>256</v>
      </c>
      <c r="C12">
        <f t="shared" si="2"/>
        <v>327</v>
      </c>
      <c r="E12">
        <f t="shared" si="2"/>
        <v>12</v>
      </c>
      <c r="F12">
        <f t="shared" si="2"/>
        <v>302</v>
      </c>
      <c r="H12">
        <f t="shared" si="2"/>
        <v>31</v>
      </c>
    </row>
    <row r="13" spans="1:10" x14ac:dyDescent="0.35">
      <c r="A13" t="s">
        <v>5</v>
      </c>
      <c r="B13">
        <f>SUMIF($I$14:$I$58,$A13,B$14:B$58)</f>
        <v>165</v>
      </c>
      <c r="C13">
        <f t="shared" si="2"/>
        <v>164</v>
      </c>
      <c r="E13">
        <f t="shared" si="2"/>
        <v>15</v>
      </c>
      <c r="F13">
        <f t="shared" si="2"/>
        <v>163</v>
      </c>
      <c r="H13">
        <f t="shared" si="2"/>
        <v>26</v>
      </c>
    </row>
    <row r="14" spans="1:10" x14ac:dyDescent="0.35">
      <c r="A14" t="s">
        <v>6</v>
      </c>
      <c r="B14">
        <v>27</v>
      </c>
      <c r="C14">
        <v>29</v>
      </c>
      <c r="E14">
        <v>3</v>
      </c>
      <c r="F14">
        <v>25</v>
      </c>
      <c r="H14">
        <v>0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7</v>
      </c>
      <c r="B15">
        <v>18</v>
      </c>
      <c r="C15">
        <v>18</v>
      </c>
      <c r="E15">
        <v>0</v>
      </c>
      <c r="F15">
        <v>4</v>
      </c>
      <c r="H15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8</v>
      </c>
      <c r="B16">
        <v>12</v>
      </c>
      <c r="C16">
        <v>21</v>
      </c>
      <c r="E16">
        <v>0</v>
      </c>
      <c r="F16">
        <v>4</v>
      </c>
      <c r="H16">
        <v>0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9</v>
      </c>
      <c r="B17">
        <v>10</v>
      </c>
      <c r="C17">
        <v>13</v>
      </c>
      <c r="E17">
        <v>0</v>
      </c>
      <c r="F17">
        <v>8</v>
      </c>
      <c r="H17">
        <v>4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10</v>
      </c>
      <c r="B18">
        <v>3</v>
      </c>
      <c r="C18">
        <v>21</v>
      </c>
      <c r="E18">
        <v>1</v>
      </c>
      <c r="F18">
        <v>21</v>
      </c>
      <c r="H18">
        <v>0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11</v>
      </c>
      <c r="B19">
        <v>19</v>
      </c>
      <c r="C19">
        <v>22</v>
      </c>
      <c r="E19">
        <v>1</v>
      </c>
      <c r="F19">
        <v>36</v>
      </c>
      <c r="H19">
        <v>2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12</v>
      </c>
      <c r="B20">
        <v>13</v>
      </c>
      <c r="C20">
        <v>21</v>
      </c>
      <c r="E20">
        <v>0</v>
      </c>
      <c r="F20">
        <v>7</v>
      </c>
      <c r="H20">
        <v>0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13</v>
      </c>
      <c r="B21">
        <v>1</v>
      </c>
      <c r="C21">
        <v>12</v>
      </c>
      <c r="E21">
        <v>0</v>
      </c>
      <c r="F21">
        <v>8</v>
      </c>
      <c r="H21">
        <v>1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14</v>
      </c>
      <c r="B22">
        <v>15</v>
      </c>
      <c r="C22">
        <v>11</v>
      </c>
      <c r="E22">
        <v>3</v>
      </c>
      <c r="F22">
        <v>5</v>
      </c>
      <c r="H22">
        <v>0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15</v>
      </c>
      <c r="B23">
        <v>18</v>
      </c>
      <c r="C23">
        <v>34</v>
      </c>
      <c r="E23">
        <v>2</v>
      </c>
      <c r="F23">
        <v>24</v>
      </c>
      <c r="H23">
        <v>1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16</v>
      </c>
      <c r="B24">
        <v>39</v>
      </c>
      <c r="C24">
        <v>37</v>
      </c>
      <c r="E24">
        <v>2</v>
      </c>
      <c r="F24">
        <v>35</v>
      </c>
      <c r="H24">
        <v>10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17</v>
      </c>
      <c r="B25">
        <v>14</v>
      </c>
      <c r="C25">
        <v>27</v>
      </c>
      <c r="E25">
        <v>0</v>
      </c>
      <c r="F25">
        <v>34</v>
      </c>
      <c r="H25">
        <v>9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18</v>
      </c>
      <c r="B26">
        <v>4</v>
      </c>
      <c r="C26">
        <v>7</v>
      </c>
      <c r="E26">
        <v>1</v>
      </c>
      <c r="F26">
        <v>6</v>
      </c>
      <c r="H26"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19</v>
      </c>
      <c r="B27">
        <v>17</v>
      </c>
      <c r="C27">
        <v>36</v>
      </c>
      <c r="E27">
        <v>0</v>
      </c>
      <c r="F27">
        <v>10</v>
      </c>
      <c r="H27">
        <v>1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20</v>
      </c>
      <c r="B28">
        <v>49</v>
      </c>
      <c r="C28">
        <v>25</v>
      </c>
      <c r="E28">
        <v>2</v>
      </c>
      <c r="F28">
        <v>57</v>
      </c>
      <c r="H28">
        <v>8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21</v>
      </c>
      <c r="B29">
        <v>5</v>
      </c>
      <c r="C29">
        <v>17</v>
      </c>
      <c r="E29">
        <v>0</v>
      </c>
      <c r="F29">
        <v>3</v>
      </c>
      <c r="H29">
        <v>1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22</v>
      </c>
      <c r="B30">
        <v>163</v>
      </c>
      <c r="C30">
        <v>300</v>
      </c>
      <c r="E30">
        <v>5</v>
      </c>
      <c r="F30">
        <v>24</v>
      </c>
      <c r="H30">
        <v>0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23</v>
      </c>
      <c r="B31">
        <v>34</v>
      </c>
      <c r="C31">
        <v>39</v>
      </c>
      <c r="E31">
        <v>2</v>
      </c>
      <c r="F31">
        <v>8</v>
      </c>
      <c r="H31">
        <v>0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24</v>
      </c>
      <c r="B32">
        <v>36</v>
      </c>
      <c r="C32">
        <v>46</v>
      </c>
      <c r="E32">
        <v>1</v>
      </c>
      <c r="F32">
        <v>19</v>
      </c>
      <c r="H32">
        <v>0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25</v>
      </c>
      <c r="B33">
        <v>11</v>
      </c>
      <c r="C33">
        <v>16</v>
      </c>
      <c r="E33">
        <v>1</v>
      </c>
      <c r="F33">
        <v>14</v>
      </c>
      <c r="H33">
        <v>0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26</v>
      </c>
      <c r="B34">
        <v>21</v>
      </c>
      <c r="C34">
        <v>11</v>
      </c>
      <c r="E34">
        <v>4</v>
      </c>
      <c r="F34">
        <v>22</v>
      </c>
      <c r="H34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27</v>
      </c>
      <c r="B35">
        <v>6</v>
      </c>
      <c r="C35">
        <v>12</v>
      </c>
      <c r="E35">
        <v>1</v>
      </c>
      <c r="F35">
        <v>17</v>
      </c>
      <c r="H35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28</v>
      </c>
      <c r="B36">
        <v>4</v>
      </c>
      <c r="C36">
        <v>2</v>
      </c>
      <c r="E36">
        <v>0</v>
      </c>
      <c r="F36">
        <v>0</v>
      </c>
      <c r="H3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29</v>
      </c>
      <c r="B37">
        <v>0</v>
      </c>
      <c r="C37">
        <v>0</v>
      </c>
      <c r="E37">
        <v>0</v>
      </c>
      <c r="F37">
        <v>0</v>
      </c>
      <c r="H37"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30</v>
      </c>
      <c r="B38">
        <v>23</v>
      </c>
      <c r="C38">
        <v>33</v>
      </c>
      <c r="E38">
        <v>0</v>
      </c>
      <c r="F38">
        <v>40</v>
      </c>
      <c r="H38">
        <v>3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31</v>
      </c>
      <c r="B39">
        <v>14</v>
      </c>
      <c r="C39">
        <v>33</v>
      </c>
      <c r="E39">
        <v>1</v>
      </c>
      <c r="F39">
        <v>17</v>
      </c>
      <c r="H39">
        <v>2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32</v>
      </c>
      <c r="B40">
        <v>33</v>
      </c>
      <c r="C40">
        <v>35</v>
      </c>
      <c r="E40">
        <v>1</v>
      </c>
      <c r="F40">
        <v>14</v>
      </c>
      <c r="H40">
        <v>1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33</v>
      </c>
      <c r="B41">
        <v>8</v>
      </c>
      <c r="C41">
        <v>6</v>
      </c>
      <c r="E41">
        <v>1</v>
      </c>
      <c r="F41">
        <v>6</v>
      </c>
      <c r="H41">
        <v>1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34</v>
      </c>
      <c r="B42">
        <v>27</v>
      </c>
      <c r="C42">
        <v>38</v>
      </c>
      <c r="E42">
        <v>0</v>
      </c>
      <c r="F42">
        <v>25</v>
      </c>
      <c r="H42">
        <v>1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35</v>
      </c>
      <c r="B43">
        <v>30</v>
      </c>
      <c r="C43">
        <v>13</v>
      </c>
      <c r="E43">
        <v>6</v>
      </c>
      <c r="F43">
        <v>25</v>
      </c>
      <c r="H43">
        <v>1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36</v>
      </c>
      <c r="B44">
        <v>13</v>
      </c>
      <c r="C44">
        <v>15</v>
      </c>
      <c r="E44">
        <v>1</v>
      </c>
      <c r="F44">
        <v>11</v>
      </c>
      <c r="H44">
        <v>1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37</v>
      </c>
      <c r="B45">
        <v>7</v>
      </c>
      <c r="C45">
        <v>6</v>
      </c>
      <c r="E45">
        <v>4</v>
      </c>
      <c r="F45">
        <v>18</v>
      </c>
      <c r="H45">
        <v>0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38</v>
      </c>
      <c r="B46">
        <v>9</v>
      </c>
      <c r="C46">
        <v>11</v>
      </c>
      <c r="E46">
        <v>0</v>
      </c>
      <c r="F46">
        <v>13</v>
      </c>
      <c r="H46">
        <v>2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39</v>
      </c>
      <c r="B47">
        <v>29</v>
      </c>
      <c r="C47">
        <v>25</v>
      </c>
      <c r="E47">
        <v>0</v>
      </c>
      <c r="F47">
        <v>9</v>
      </c>
      <c r="H47">
        <v>1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40</v>
      </c>
      <c r="B48">
        <v>16</v>
      </c>
      <c r="C48">
        <v>15</v>
      </c>
      <c r="E48">
        <v>0</v>
      </c>
      <c r="F48">
        <v>15</v>
      </c>
      <c r="H48">
        <v>1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41</v>
      </c>
      <c r="B49">
        <v>14</v>
      </c>
      <c r="C49">
        <v>9</v>
      </c>
      <c r="E49">
        <v>0</v>
      </c>
      <c r="F49">
        <v>14</v>
      </c>
      <c r="H49">
        <v>5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42</v>
      </c>
      <c r="B50">
        <v>7</v>
      </c>
      <c r="C50">
        <v>9</v>
      </c>
      <c r="E50">
        <v>0</v>
      </c>
      <c r="F50">
        <v>10</v>
      </c>
      <c r="H50">
        <v>0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43</v>
      </c>
      <c r="B51">
        <v>21</v>
      </c>
      <c r="C51">
        <v>21</v>
      </c>
      <c r="E51">
        <v>0</v>
      </c>
      <c r="F51">
        <v>15</v>
      </c>
      <c r="H51">
        <v>0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44</v>
      </c>
      <c r="B52">
        <v>9</v>
      </c>
      <c r="C52">
        <v>5</v>
      </c>
      <c r="E52">
        <v>0</v>
      </c>
      <c r="F52">
        <v>4</v>
      </c>
      <c r="H52">
        <v>4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45</v>
      </c>
      <c r="B53">
        <v>25</v>
      </c>
      <c r="C53">
        <v>16</v>
      </c>
      <c r="E53">
        <v>1</v>
      </c>
      <c r="F53">
        <v>6</v>
      </c>
      <c r="H53">
        <v>7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46</v>
      </c>
      <c r="B54">
        <v>20</v>
      </c>
      <c r="C54">
        <v>36</v>
      </c>
      <c r="E54">
        <v>5</v>
      </c>
      <c r="F54">
        <v>9</v>
      </c>
      <c r="H54">
        <v>1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47</v>
      </c>
      <c r="B55">
        <v>5</v>
      </c>
      <c r="C55">
        <v>6</v>
      </c>
      <c r="E55">
        <v>0</v>
      </c>
      <c r="F55">
        <v>4</v>
      </c>
      <c r="H55">
        <v>1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48</v>
      </c>
      <c r="B56">
        <v>29</v>
      </c>
      <c r="C56">
        <v>44</v>
      </c>
      <c r="E56">
        <v>2</v>
      </c>
      <c r="F56">
        <v>20</v>
      </c>
      <c r="H56">
        <v>4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49</v>
      </c>
      <c r="B57">
        <v>0</v>
      </c>
      <c r="C57">
        <v>6</v>
      </c>
      <c r="E57">
        <v>0</v>
      </c>
      <c r="F57">
        <v>4</v>
      </c>
      <c r="H57"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50</v>
      </c>
      <c r="B58">
        <v>24</v>
      </c>
      <c r="C58">
        <v>45</v>
      </c>
      <c r="E58">
        <v>1</v>
      </c>
      <c r="F58">
        <v>47</v>
      </c>
      <c r="H58">
        <v>2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  <row r="61" spans="1:10" x14ac:dyDescent="0.35">
      <c r="A61" s="43" t="s">
        <v>71</v>
      </c>
      <c r="B61" s="43"/>
      <c r="C61" s="43"/>
      <c r="D61" s="43"/>
      <c r="E61" s="43"/>
      <c r="F61" s="43"/>
      <c r="G61" s="43"/>
      <c r="H61" s="43"/>
      <c r="I61" s="43"/>
      <c r="J61" s="43"/>
    </row>
    <row r="63" spans="1:10" x14ac:dyDescent="0.35">
      <c r="A63" t="s">
        <v>70</v>
      </c>
      <c r="B63">
        <f>B8-B9-B10</f>
        <v>0</v>
      </c>
      <c r="C63">
        <f t="shared" ref="C63:H63" si="3">C8-C9-C10</f>
        <v>0</v>
      </c>
      <c r="E63">
        <f t="shared" si="3"/>
        <v>0</v>
      </c>
      <c r="F63">
        <f t="shared" si="3"/>
        <v>0</v>
      </c>
      <c r="H63">
        <f t="shared" si="3"/>
        <v>0</v>
      </c>
    </row>
    <row r="64" spans="1:10" x14ac:dyDescent="0.35">
      <c r="A64" t="s">
        <v>72</v>
      </c>
      <c r="B64">
        <f>B8-SUM(B11:B13)</f>
        <v>0</v>
      </c>
      <c r="C64">
        <f t="shared" ref="C64:H64" si="4">C8-SUM(C11:C13)</f>
        <v>0</v>
      </c>
      <c r="E64">
        <f t="shared" si="4"/>
        <v>0</v>
      </c>
      <c r="F64">
        <f t="shared" si="4"/>
        <v>0</v>
      </c>
      <c r="H64">
        <f t="shared" si="4"/>
        <v>0</v>
      </c>
    </row>
    <row r="65" spans="1:8" x14ac:dyDescent="0.35">
      <c r="A65" t="s">
        <v>73</v>
      </c>
      <c r="B65">
        <f>B8-SUM(B14:B58)</f>
        <v>0</v>
      </c>
      <c r="C65">
        <f t="shared" ref="C65:H65" si="5">C8-SUM(C14:C58)</f>
        <v>0</v>
      </c>
      <c r="E65">
        <f t="shared" si="5"/>
        <v>0</v>
      </c>
      <c r="F65">
        <f t="shared" si="5"/>
        <v>0</v>
      </c>
      <c r="H65">
        <f t="shared" si="5"/>
        <v>0</v>
      </c>
    </row>
    <row r="67" spans="1:8" x14ac:dyDescent="0.35">
      <c r="A67" t="s">
        <v>74</v>
      </c>
      <c r="B67">
        <f>B9+B10-B11-B12-B13</f>
        <v>0</v>
      </c>
      <c r="C67">
        <f t="shared" ref="C67:H67" si="6">C9+C10-C11-C12-C13</f>
        <v>0</v>
      </c>
      <c r="E67">
        <f t="shared" si="6"/>
        <v>0</v>
      </c>
      <c r="F67">
        <f t="shared" si="6"/>
        <v>0</v>
      </c>
      <c r="H67">
        <f t="shared" si="6"/>
        <v>0</v>
      </c>
    </row>
    <row r="68" spans="1:8" x14ac:dyDescent="0.35">
      <c r="A68" t="s">
        <v>75</v>
      </c>
      <c r="B68">
        <f>B9+B10-SUM(B14:B58)</f>
        <v>0</v>
      </c>
      <c r="C68">
        <f t="shared" ref="C68:H68" si="7">C9+C10-SUM(C14:C58)</f>
        <v>0</v>
      </c>
      <c r="E68">
        <f t="shared" si="7"/>
        <v>0</v>
      </c>
      <c r="F68">
        <f t="shared" si="7"/>
        <v>0</v>
      </c>
      <c r="H68">
        <f t="shared" si="7"/>
        <v>0</v>
      </c>
    </row>
    <row r="70" spans="1:8" x14ac:dyDescent="0.35">
      <c r="A70" t="s">
        <v>76</v>
      </c>
      <c r="B70">
        <f>SUM(B11:B13)-SUM(B14:B58)</f>
        <v>0</v>
      </c>
      <c r="C70">
        <f t="shared" ref="C70:H70" si="8">SUM(C11:C13)-SUM(C14:C58)</f>
        <v>0</v>
      </c>
      <c r="E70">
        <f t="shared" si="8"/>
        <v>0</v>
      </c>
      <c r="F70">
        <f t="shared" si="8"/>
        <v>0</v>
      </c>
      <c r="H70">
        <f t="shared" si="8"/>
        <v>0</v>
      </c>
    </row>
  </sheetData>
  <mergeCells count="2">
    <mergeCell ref="A4:H4"/>
    <mergeCell ref="A61:J6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1DB46-DBB6-41FA-941E-8F0E6A6B3B4F}">
  <sheetPr>
    <tabColor rgb="FFFF0000"/>
  </sheetPr>
  <dimension ref="A4:J70"/>
  <sheetViews>
    <sheetView topLeftCell="A6" workbookViewId="0">
      <selection activeCell="B14" sqref="B14"/>
    </sheetView>
  </sheetViews>
  <sheetFormatPr defaultRowHeight="14.5" x14ac:dyDescent="0.35"/>
  <cols>
    <col min="1" max="1" width="25.54296875" customWidth="1"/>
  </cols>
  <sheetData>
    <row r="4" spans="1:10" x14ac:dyDescent="0.35">
      <c r="A4" s="42" t="s">
        <v>103</v>
      </c>
      <c r="B4" s="42"/>
      <c r="C4" s="42"/>
      <c r="D4" s="42"/>
      <c r="E4" s="42"/>
      <c r="F4" s="42"/>
      <c r="G4" s="42"/>
      <c r="H4" s="42"/>
    </row>
    <row r="6" spans="1:10" x14ac:dyDescent="0.35">
      <c r="B6" t="s">
        <v>54</v>
      </c>
      <c r="E6" t="s">
        <v>55</v>
      </c>
      <c r="H6" t="s">
        <v>59</v>
      </c>
    </row>
    <row r="7" spans="1:10" x14ac:dyDescent="0.35">
      <c r="A7" t="s">
        <v>56</v>
      </c>
      <c r="B7" t="s">
        <v>57</v>
      </c>
      <c r="C7" t="s">
        <v>58</v>
      </c>
      <c r="E7" t="s">
        <v>57</v>
      </c>
      <c r="F7" t="s">
        <v>58</v>
      </c>
    </row>
    <row r="8" spans="1:10" x14ac:dyDescent="0.35">
      <c r="A8" t="s">
        <v>0</v>
      </c>
      <c r="B8">
        <f>SUM(B14:B58)</f>
        <v>850</v>
      </c>
      <c r="C8">
        <f t="shared" ref="C8:H8" si="0">SUM(C14:C58)</f>
        <v>1149</v>
      </c>
      <c r="E8">
        <f t="shared" si="0"/>
        <v>50</v>
      </c>
      <c r="F8">
        <f t="shared" si="0"/>
        <v>630</v>
      </c>
      <c r="H8">
        <f t="shared" si="0"/>
        <v>77</v>
      </c>
    </row>
    <row r="9" spans="1:10" x14ac:dyDescent="0.35">
      <c r="A9" t="s">
        <v>1</v>
      </c>
      <c r="B9">
        <f>SUMIF($J$14:$J$58,$A9,B$14:B$58)</f>
        <v>544</v>
      </c>
      <c r="C9">
        <f t="shared" ref="C9:H10" si="1">SUMIF($J$14:$J$58,$A9,C$14:C$58)</f>
        <v>714</v>
      </c>
      <c r="E9">
        <f t="shared" si="1"/>
        <v>41</v>
      </c>
      <c r="F9">
        <f t="shared" si="1"/>
        <v>500</v>
      </c>
      <c r="H9">
        <f t="shared" si="1"/>
        <v>66</v>
      </c>
    </row>
    <row r="10" spans="1:10" x14ac:dyDescent="0.35">
      <c r="A10" t="s">
        <v>2</v>
      </c>
      <c r="B10">
        <f>SUMIF($J$14:$J$58,$A10,B$14:B$58)</f>
        <v>306</v>
      </c>
      <c r="C10">
        <f t="shared" si="1"/>
        <v>435</v>
      </c>
      <c r="E10">
        <f t="shared" si="1"/>
        <v>9</v>
      </c>
      <c r="F10">
        <f t="shared" si="1"/>
        <v>130</v>
      </c>
      <c r="H10">
        <f t="shared" si="1"/>
        <v>11</v>
      </c>
    </row>
    <row r="11" spans="1:10" x14ac:dyDescent="0.35">
      <c r="A11" t="s">
        <v>3</v>
      </c>
      <c r="B11">
        <f t="shared" ref="B11:H13" si="2">SUMIF($I$14:$I$58,$A11,B$14:B$58)</f>
        <v>440</v>
      </c>
      <c r="C11">
        <f t="shared" si="2"/>
        <v>624</v>
      </c>
      <c r="E11">
        <f t="shared" si="2"/>
        <v>19</v>
      </c>
      <c r="F11">
        <f t="shared" si="2"/>
        <v>248</v>
      </c>
      <c r="H11">
        <f t="shared" si="2"/>
        <v>34</v>
      </c>
    </row>
    <row r="12" spans="1:10" x14ac:dyDescent="0.35">
      <c r="A12" t="s">
        <v>4</v>
      </c>
      <c r="B12">
        <f t="shared" si="2"/>
        <v>240</v>
      </c>
      <c r="C12">
        <f t="shared" si="2"/>
        <v>302</v>
      </c>
      <c r="E12">
        <f t="shared" si="2"/>
        <v>17</v>
      </c>
      <c r="F12">
        <f t="shared" si="2"/>
        <v>232</v>
      </c>
      <c r="H12">
        <f t="shared" si="2"/>
        <v>14</v>
      </c>
    </row>
    <row r="13" spans="1:10" x14ac:dyDescent="0.35">
      <c r="A13" t="s">
        <v>5</v>
      </c>
      <c r="B13">
        <f>SUMIF($I$14:$I$58,$A13,B$14:B$58)</f>
        <v>170</v>
      </c>
      <c r="C13">
        <f t="shared" si="2"/>
        <v>223</v>
      </c>
      <c r="E13">
        <f t="shared" si="2"/>
        <v>14</v>
      </c>
      <c r="F13">
        <f t="shared" si="2"/>
        <v>150</v>
      </c>
      <c r="H13">
        <f t="shared" si="2"/>
        <v>29</v>
      </c>
    </row>
    <row r="14" spans="1:10" x14ac:dyDescent="0.35">
      <c r="A14" t="s">
        <v>6</v>
      </c>
      <c r="B14" s="26">
        <v>22</v>
      </c>
      <c r="C14" s="26">
        <v>31</v>
      </c>
      <c r="D14" s="26"/>
      <c r="E14" s="26">
        <v>3</v>
      </c>
      <c r="F14" s="26">
        <v>21</v>
      </c>
      <c r="G14" s="26"/>
      <c r="H14" s="26">
        <v>4</v>
      </c>
      <c r="I14" t="str">
        <f>VLOOKUP(A14,'FRS geographical categories'!A:J,2,FALSE)</f>
        <v>Predominantly Urban</v>
      </c>
      <c r="J14" t="str">
        <f>VLOOKUP(A14,'FRS geographical categories'!A:J,3,FALSE)</f>
        <v>Non-metropolitan</v>
      </c>
    </row>
    <row r="15" spans="1:10" x14ac:dyDescent="0.35">
      <c r="A15" t="s">
        <v>7</v>
      </c>
      <c r="B15" s="26">
        <v>10</v>
      </c>
      <c r="C15" s="26">
        <v>15</v>
      </c>
      <c r="D15" s="26"/>
      <c r="E15" s="26">
        <v>0</v>
      </c>
      <c r="F15" s="26">
        <v>13</v>
      </c>
      <c r="G15" s="26"/>
      <c r="H15" s="26">
        <v>0</v>
      </c>
      <c r="I15" t="str">
        <f>VLOOKUP(A15,'FRS geographical categories'!A:J,2,FALSE)</f>
        <v>Significantly Rural</v>
      </c>
      <c r="J15" t="str">
        <f>VLOOKUP(A15,'FRS geographical categories'!A:J,3,FALSE)</f>
        <v>Non-metropolitan</v>
      </c>
    </row>
    <row r="16" spans="1:10" x14ac:dyDescent="0.35">
      <c r="A16" t="s">
        <v>8</v>
      </c>
      <c r="B16" s="26">
        <v>10</v>
      </c>
      <c r="C16" s="26">
        <v>13</v>
      </c>
      <c r="D16" s="26"/>
      <c r="E16" s="26">
        <v>1</v>
      </c>
      <c r="F16" s="26">
        <v>13</v>
      </c>
      <c r="G16" s="26"/>
      <c r="H16" s="26">
        <v>0</v>
      </c>
      <c r="I16" t="str">
        <f>VLOOKUP(A16,'FRS geographical categories'!A:J,2,FALSE)</f>
        <v>Predominantly Urban</v>
      </c>
      <c r="J16" t="str">
        <f>VLOOKUP(A16,'FRS geographical categories'!A:J,3,FALSE)</f>
        <v>Non-metropolitan</v>
      </c>
    </row>
    <row r="17" spans="1:10" x14ac:dyDescent="0.35">
      <c r="A17" t="s">
        <v>9</v>
      </c>
      <c r="B17" s="26">
        <v>17</v>
      </c>
      <c r="C17" s="26">
        <v>9</v>
      </c>
      <c r="D17" s="26"/>
      <c r="E17" s="26">
        <v>1</v>
      </c>
      <c r="F17" s="26">
        <v>6</v>
      </c>
      <c r="G17" s="26"/>
      <c r="H17" s="26">
        <v>1</v>
      </c>
      <c r="I17" t="str">
        <f>VLOOKUP(A17,'FRS geographical categories'!A:J,2,FALSE)</f>
        <v>Significantly Rural</v>
      </c>
      <c r="J17" t="str">
        <f>VLOOKUP(A17,'FRS geographical categories'!A:J,3,FALSE)</f>
        <v>Non-metropolitan</v>
      </c>
    </row>
    <row r="18" spans="1:10" x14ac:dyDescent="0.35">
      <c r="A18" t="s">
        <v>10</v>
      </c>
      <c r="B18" s="26">
        <v>8</v>
      </c>
      <c r="C18" s="26">
        <v>15</v>
      </c>
      <c r="D18" s="26"/>
      <c r="E18" s="26">
        <v>3</v>
      </c>
      <c r="F18" s="26">
        <v>11</v>
      </c>
      <c r="G18" s="26"/>
      <c r="H18" s="26">
        <v>5</v>
      </c>
      <c r="I18" t="str">
        <f>VLOOKUP(A18,'FRS geographical categories'!A:J,2,FALSE)</f>
        <v>Predominantly Rural</v>
      </c>
      <c r="J18" t="str">
        <f>VLOOKUP(A18,'FRS geographical categories'!A:J,3,FALSE)</f>
        <v>Non-metropolitan</v>
      </c>
    </row>
    <row r="19" spans="1:10" x14ac:dyDescent="0.35">
      <c r="A19" t="s">
        <v>11</v>
      </c>
      <c r="B19" s="26">
        <v>15</v>
      </c>
      <c r="C19" s="26">
        <v>12</v>
      </c>
      <c r="D19" s="26"/>
      <c r="E19" s="26">
        <v>1</v>
      </c>
      <c r="F19" s="26">
        <v>0</v>
      </c>
      <c r="G19" s="26"/>
      <c r="H19" s="26">
        <v>0</v>
      </c>
      <c r="I19" t="str">
        <f>VLOOKUP(A19,'FRS geographical categories'!A:J,2,FALSE)</f>
        <v>Significantly Rural</v>
      </c>
      <c r="J19" t="str">
        <f>VLOOKUP(A19,'FRS geographical categories'!A:J,3,FALSE)</f>
        <v>Non-metropolitan</v>
      </c>
    </row>
    <row r="20" spans="1:10" x14ac:dyDescent="0.35">
      <c r="A20" t="s">
        <v>12</v>
      </c>
      <c r="B20" s="26">
        <v>8</v>
      </c>
      <c r="C20" s="26">
        <v>18</v>
      </c>
      <c r="D20" s="26"/>
      <c r="E20" s="26">
        <v>0</v>
      </c>
      <c r="F20" s="26">
        <v>13</v>
      </c>
      <c r="G20" s="26"/>
      <c r="H20" s="26">
        <v>0</v>
      </c>
      <c r="I20" t="str">
        <f>VLOOKUP(A20,'FRS geographical categories'!A:J,2,FALSE)</f>
        <v>Predominantly Urban</v>
      </c>
      <c r="J20" t="str">
        <f>VLOOKUP(A20,'FRS geographical categories'!A:J,3,FALSE)</f>
        <v>Non-metropolitan</v>
      </c>
    </row>
    <row r="21" spans="1:10" x14ac:dyDescent="0.35">
      <c r="A21" t="s">
        <v>13</v>
      </c>
      <c r="B21" s="26">
        <v>7</v>
      </c>
      <c r="C21" s="26">
        <v>14</v>
      </c>
      <c r="D21" s="26"/>
      <c r="E21" s="26">
        <v>1</v>
      </c>
      <c r="F21" s="26">
        <v>11</v>
      </c>
      <c r="G21" s="26"/>
      <c r="H21" s="26">
        <v>0</v>
      </c>
      <c r="I21" t="str">
        <f>VLOOKUP(A21,'FRS geographical categories'!A:J,2,FALSE)</f>
        <v>Predominantly Rural</v>
      </c>
      <c r="J21" t="str">
        <f>VLOOKUP(A21,'FRS geographical categories'!A:J,3,FALSE)</f>
        <v>Non-metropolitan</v>
      </c>
    </row>
    <row r="22" spans="1:10" x14ac:dyDescent="0.35">
      <c r="A22" t="s">
        <v>14</v>
      </c>
      <c r="B22" s="26">
        <v>7</v>
      </c>
      <c r="C22" s="26">
        <v>6</v>
      </c>
      <c r="D22" s="26"/>
      <c r="E22" s="26">
        <v>0</v>
      </c>
      <c r="F22" s="26">
        <v>5</v>
      </c>
      <c r="G22" s="26"/>
      <c r="H22" s="26">
        <v>1</v>
      </c>
      <c r="I22" t="str">
        <f>VLOOKUP(A22,'FRS geographical categories'!A:J,2,FALSE)</f>
        <v>Predominantly Rural</v>
      </c>
      <c r="J22" t="str">
        <f>VLOOKUP(A22,'FRS geographical categories'!A:J,3,FALSE)</f>
        <v>Non-metropolitan</v>
      </c>
    </row>
    <row r="23" spans="1:10" x14ac:dyDescent="0.35">
      <c r="A23" t="s">
        <v>15</v>
      </c>
      <c r="B23" s="26">
        <v>19</v>
      </c>
      <c r="C23" s="26">
        <v>25</v>
      </c>
      <c r="D23" s="26"/>
      <c r="E23" s="26">
        <v>1</v>
      </c>
      <c r="F23" s="26">
        <v>32</v>
      </c>
      <c r="G23" s="26"/>
      <c r="H23" s="26">
        <v>0</v>
      </c>
      <c r="I23" t="str">
        <f>VLOOKUP(A23,'FRS geographical categories'!A:J,2,FALSE)</f>
        <v>Significantly Rural</v>
      </c>
      <c r="J23" t="str">
        <f>VLOOKUP(A23,'FRS geographical categories'!A:J,3,FALSE)</f>
        <v>Non-metropolitan</v>
      </c>
    </row>
    <row r="24" spans="1:10" x14ac:dyDescent="0.35">
      <c r="A24" t="s">
        <v>16</v>
      </c>
      <c r="B24" s="26">
        <v>49</v>
      </c>
      <c r="C24" s="26">
        <v>58</v>
      </c>
      <c r="D24" s="26"/>
      <c r="E24" s="26">
        <v>4</v>
      </c>
      <c r="F24" s="26">
        <v>43</v>
      </c>
      <c r="G24" s="26"/>
      <c r="H24" s="26">
        <v>6</v>
      </c>
      <c r="I24" t="str">
        <f>VLOOKUP(A24,'FRS geographical categories'!A:J,2,FALSE)</f>
        <v>Predominantly Rural</v>
      </c>
      <c r="J24" t="str">
        <f>VLOOKUP(A24,'FRS geographical categories'!A:J,3,FALSE)</f>
        <v>Non-metropolitan</v>
      </c>
    </row>
    <row r="25" spans="1:10" x14ac:dyDescent="0.35">
      <c r="A25" t="s">
        <v>17</v>
      </c>
      <c r="B25" s="26">
        <v>7</v>
      </c>
      <c r="C25" s="26">
        <v>16</v>
      </c>
      <c r="D25" s="26"/>
      <c r="E25" s="26">
        <v>0</v>
      </c>
      <c r="F25" s="26">
        <v>10</v>
      </c>
      <c r="G25" s="26"/>
      <c r="H25" s="26">
        <v>0</v>
      </c>
      <c r="I25" t="str">
        <f>VLOOKUP(A25,'FRS geographical categories'!A:J,2,FALSE)</f>
        <v>Significantly Rural</v>
      </c>
      <c r="J25" t="str">
        <f>VLOOKUP(A25,'FRS geographical categories'!A:J,3,FALSE)</f>
        <v>Non-metropolitan</v>
      </c>
    </row>
    <row r="26" spans="1:10" x14ac:dyDescent="0.35">
      <c r="A26" t="s">
        <v>18</v>
      </c>
      <c r="B26" s="26">
        <v>5</v>
      </c>
      <c r="C26" s="26">
        <v>12</v>
      </c>
      <c r="D26" s="26"/>
      <c r="E26" s="26">
        <v>0</v>
      </c>
      <c r="F26" s="26">
        <v>6</v>
      </c>
      <c r="G26" s="26"/>
      <c r="H26" s="26">
        <v>0</v>
      </c>
      <c r="I26" t="str">
        <f>VLOOKUP(A26,'FRS geographical categories'!A:J,2,FALSE)</f>
        <v>Predominantly Rural</v>
      </c>
      <c r="J26" t="str">
        <f>VLOOKUP(A26,'FRS geographical categories'!A:J,3,FALSE)</f>
        <v>Non-metropolitan</v>
      </c>
    </row>
    <row r="27" spans="1:10" x14ac:dyDescent="0.35">
      <c r="A27" t="s">
        <v>19</v>
      </c>
      <c r="B27" s="26">
        <v>4</v>
      </c>
      <c r="C27" s="26">
        <v>28</v>
      </c>
      <c r="D27" s="26"/>
      <c r="E27" s="26">
        <v>0</v>
      </c>
      <c r="F27" s="26">
        <v>8</v>
      </c>
      <c r="G27" s="26"/>
      <c r="H27" s="26">
        <v>0</v>
      </c>
      <c r="I27" t="str">
        <f>VLOOKUP(A27,'FRS geographical categories'!A:J,2,FALSE)</f>
        <v>Significantly Rural</v>
      </c>
      <c r="J27" t="str">
        <f>VLOOKUP(A27,'FRS geographical categories'!A:J,3,FALSE)</f>
        <v>Non-metropolitan</v>
      </c>
    </row>
    <row r="28" spans="1:10" x14ac:dyDescent="0.35">
      <c r="A28" t="s">
        <v>20</v>
      </c>
      <c r="B28" s="26">
        <v>39</v>
      </c>
      <c r="C28" s="26">
        <v>53</v>
      </c>
      <c r="D28" s="26"/>
      <c r="E28" s="26">
        <v>1</v>
      </c>
      <c r="F28" s="26">
        <v>42</v>
      </c>
      <c r="G28" s="26"/>
      <c r="H28" s="26">
        <v>1</v>
      </c>
      <c r="I28" t="str">
        <f>VLOOKUP(A28,'FRS geographical categories'!A:J,2,FALSE)</f>
        <v>Significantly Rural</v>
      </c>
      <c r="J28" t="str">
        <f>VLOOKUP(A28,'FRS geographical categories'!A:J,3,FALSE)</f>
        <v>Non-metropolitan</v>
      </c>
    </row>
    <row r="29" spans="1:10" x14ac:dyDescent="0.35">
      <c r="A29" t="s">
        <v>21</v>
      </c>
      <c r="B29" s="26">
        <v>16</v>
      </c>
      <c r="C29" s="26">
        <v>12</v>
      </c>
      <c r="D29" s="26"/>
      <c r="E29" s="26">
        <v>0</v>
      </c>
      <c r="F29" s="26">
        <v>5</v>
      </c>
      <c r="G29" s="26"/>
      <c r="H29" s="26">
        <v>0</v>
      </c>
      <c r="I29" t="str">
        <f>VLOOKUP(A29,'FRS geographical categories'!A:J,2,FALSE)</f>
        <v>Significantly Rural</v>
      </c>
      <c r="J29" t="str">
        <f>VLOOKUP(A29,'FRS geographical categories'!A:J,3,FALSE)</f>
        <v>Non-metropolitan</v>
      </c>
    </row>
    <row r="30" spans="1:10" x14ac:dyDescent="0.35">
      <c r="A30" t="s">
        <v>22</v>
      </c>
      <c r="B30" s="26">
        <v>165</v>
      </c>
      <c r="C30" s="26">
        <v>266</v>
      </c>
      <c r="D30" s="26"/>
      <c r="E30" s="26">
        <v>2</v>
      </c>
      <c r="F30" s="26">
        <v>27</v>
      </c>
      <c r="G30" s="26"/>
      <c r="H30" s="26">
        <v>3</v>
      </c>
      <c r="I30" t="str">
        <f>VLOOKUP(A30,'FRS geographical categories'!A:J,2,FALSE)</f>
        <v>Predominantly Urban</v>
      </c>
      <c r="J30" t="str">
        <f>VLOOKUP(A30,'FRS geographical categories'!A:J,3,FALSE)</f>
        <v>Metropolitan</v>
      </c>
    </row>
    <row r="31" spans="1:10" x14ac:dyDescent="0.35">
      <c r="A31" t="s">
        <v>23</v>
      </c>
      <c r="B31" s="26">
        <v>43</v>
      </c>
      <c r="C31" s="26">
        <v>15</v>
      </c>
      <c r="D31" s="26"/>
      <c r="E31" s="26">
        <v>2</v>
      </c>
      <c r="F31" s="26">
        <v>2</v>
      </c>
      <c r="G31" s="26"/>
      <c r="H31" s="26">
        <v>0</v>
      </c>
      <c r="I31" t="str">
        <f>VLOOKUP(A31,'FRS geographical categories'!A:J,2,FALSE)</f>
        <v>Predominantly Urban</v>
      </c>
      <c r="J31" t="str">
        <f>VLOOKUP(A31,'FRS geographical categories'!A:J,3,FALSE)</f>
        <v>Metropolitan</v>
      </c>
    </row>
    <row r="32" spans="1:10" x14ac:dyDescent="0.35">
      <c r="A32" t="s">
        <v>24</v>
      </c>
      <c r="B32" s="26">
        <v>19</v>
      </c>
      <c r="C32" s="26">
        <v>35</v>
      </c>
      <c r="D32" s="26"/>
      <c r="E32" s="26">
        <v>4</v>
      </c>
      <c r="F32" s="26">
        <v>25</v>
      </c>
      <c r="G32" s="26"/>
      <c r="H32" s="26">
        <v>0</v>
      </c>
      <c r="I32" t="str">
        <f>VLOOKUP(A32,'FRS geographical categories'!A:J,2,FALSE)</f>
        <v>Predominantly Urban</v>
      </c>
      <c r="J32" t="str">
        <f>VLOOKUP(A32,'FRS geographical categories'!A:J,3,FALSE)</f>
        <v>Non-metropolitan</v>
      </c>
    </row>
    <row r="33" spans="1:10" x14ac:dyDescent="0.35">
      <c r="A33" t="s">
        <v>25</v>
      </c>
      <c r="B33" s="26">
        <v>12</v>
      </c>
      <c r="C33" s="26">
        <v>13</v>
      </c>
      <c r="D33" s="26"/>
      <c r="E33" s="26">
        <v>2</v>
      </c>
      <c r="F33" s="26">
        <v>22</v>
      </c>
      <c r="G33" s="26"/>
      <c r="H33" s="26">
        <v>1</v>
      </c>
      <c r="I33" t="str">
        <f>VLOOKUP(A33,'FRS geographical categories'!A:J,2,FALSE)</f>
        <v>Significantly Rural</v>
      </c>
      <c r="J33" t="str">
        <f>VLOOKUP(A33,'FRS geographical categories'!A:J,3,FALSE)</f>
        <v>Non-metropolitan</v>
      </c>
    </row>
    <row r="34" spans="1:10" x14ac:dyDescent="0.35">
      <c r="A34" t="s">
        <v>26</v>
      </c>
      <c r="B34" s="26">
        <v>23</v>
      </c>
      <c r="C34" s="26">
        <v>20</v>
      </c>
      <c r="D34" s="26"/>
      <c r="E34" s="26">
        <v>1</v>
      </c>
      <c r="F34" s="26">
        <v>18</v>
      </c>
      <c r="G34" s="26"/>
      <c r="H34" s="26">
        <v>0</v>
      </c>
      <c r="I34" t="str">
        <f>VLOOKUP(A34,'FRS geographical categories'!A:J,2,FALSE)</f>
        <v>Predominantly Urban</v>
      </c>
      <c r="J34" t="str">
        <f>VLOOKUP(A34,'FRS geographical categories'!A:J,3,FALSE)</f>
        <v>Non-metropolitan</v>
      </c>
    </row>
    <row r="35" spans="1:10" x14ac:dyDescent="0.35">
      <c r="A35" t="s">
        <v>27</v>
      </c>
      <c r="B35" s="26">
        <v>5</v>
      </c>
      <c r="C35" s="26">
        <v>9</v>
      </c>
      <c r="D35" s="26"/>
      <c r="E35" s="26">
        <v>1</v>
      </c>
      <c r="F35" s="26">
        <v>10</v>
      </c>
      <c r="G35" s="26"/>
      <c r="H35" s="26">
        <v>0</v>
      </c>
      <c r="I35" t="str">
        <f>VLOOKUP(A35,'FRS geographical categories'!A:J,2,FALSE)</f>
        <v>Significantly Rural</v>
      </c>
      <c r="J35" t="str">
        <f>VLOOKUP(A35,'FRS geographical categories'!A:J,3,FALSE)</f>
        <v>Non-metropolitan</v>
      </c>
    </row>
    <row r="36" spans="1:10" x14ac:dyDescent="0.35">
      <c r="A36" t="s">
        <v>28</v>
      </c>
      <c r="B36" s="26">
        <v>1</v>
      </c>
      <c r="C36" s="26">
        <v>2</v>
      </c>
      <c r="D36" s="26"/>
      <c r="E36" s="26">
        <v>0</v>
      </c>
      <c r="F36" s="26">
        <v>0</v>
      </c>
      <c r="G36" s="26"/>
      <c r="H36" s="26">
        <v>0</v>
      </c>
      <c r="I36" t="str">
        <f>VLOOKUP(A36,'FRS geographical categories'!A:J,2,FALSE)</f>
        <v>Predominantly Rural</v>
      </c>
      <c r="J36" t="str">
        <f>VLOOKUP(A36,'FRS geographical categories'!A:J,3,FALSE)</f>
        <v>Non-metropolitan</v>
      </c>
    </row>
    <row r="37" spans="1:10" x14ac:dyDescent="0.35">
      <c r="A37" t="s">
        <v>29</v>
      </c>
      <c r="B37" s="26">
        <v>0</v>
      </c>
      <c r="C37" s="26">
        <v>0</v>
      </c>
      <c r="D37" s="26"/>
      <c r="E37" s="26">
        <v>0</v>
      </c>
      <c r="F37" s="26">
        <v>0</v>
      </c>
      <c r="G37" s="26"/>
      <c r="H37" s="26">
        <v>0</v>
      </c>
      <c r="I37" t="str">
        <f>VLOOKUP(A37,'FRS geographical categories'!A:J,2,FALSE)</f>
        <v>Predominantly Rural</v>
      </c>
      <c r="J37" t="str">
        <f>VLOOKUP(A37,'FRS geographical categories'!A:J,3,FALSE)</f>
        <v>Non-metropolitan</v>
      </c>
    </row>
    <row r="38" spans="1:10" x14ac:dyDescent="0.35">
      <c r="A38" t="s">
        <v>30</v>
      </c>
      <c r="B38" s="26">
        <v>32</v>
      </c>
      <c r="C38" s="26">
        <v>36</v>
      </c>
      <c r="D38" s="26"/>
      <c r="E38" s="26">
        <v>5</v>
      </c>
      <c r="F38" s="26">
        <v>34</v>
      </c>
      <c r="G38" s="26"/>
      <c r="H38" s="26">
        <v>0</v>
      </c>
      <c r="I38" t="str">
        <f>VLOOKUP(A38,'FRS geographical categories'!A:J,2,FALSE)</f>
        <v>Significantly Rural</v>
      </c>
      <c r="J38" t="str">
        <f>VLOOKUP(A38,'FRS geographical categories'!A:J,3,FALSE)</f>
        <v>Non-metropolitan</v>
      </c>
    </row>
    <row r="39" spans="1:10" x14ac:dyDescent="0.35">
      <c r="A39" t="s">
        <v>31</v>
      </c>
      <c r="B39" s="26">
        <v>11</v>
      </c>
      <c r="C39" s="26">
        <v>28</v>
      </c>
      <c r="D39" s="26"/>
      <c r="E39" s="26">
        <v>0</v>
      </c>
      <c r="F39" s="26">
        <v>17</v>
      </c>
      <c r="G39" s="26"/>
      <c r="H39" s="26">
        <v>19</v>
      </c>
      <c r="I39" t="str">
        <f>VLOOKUP(A39,'FRS geographical categories'!A:J,2,FALSE)</f>
        <v>Predominantly Urban</v>
      </c>
      <c r="J39" t="str">
        <f>VLOOKUP(A39,'FRS geographical categories'!A:J,3,FALSE)</f>
        <v>Non-metropolitan</v>
      </c>
    </row>
    <row r="40" spans="1:10" x14ac:dyDescent="0.35">
      <c r="A40" t="s">
        <v>32</v>
      </c>
      <c r="B40" s="26">
        <v>13</v>
      </c>
      <c r="C40" s="26">
        <v>18</v>
      </c>
      <c r="D40" s="26"/>
      <c r="E40" s="26">
        <v>1</v>
      </c>
      <c r="F40" s="26">
        <v>1</v>
      </c>
      <c r="G40" s="26"/>
      <c r="H40" s="26">
        <v>8</v>
      </c>
      <c r="I40" t="str">
        <f>VLOOKUP(A40,'FRS geographical categories'!A:J,2,FALSE)</f>
        <v>Significantly Rural</v>
      </c>
      <c r="J40" t="str">
        <f>VLOOKUP(A40,'FRS geographical categories'!A:J,3,FALSE)</f>
        <v>Non-metropolitan</v>
      </c>
    </row>
    <row r="41" spans="1:10" x14ac:dyDescent="0.35">
      <c r="A41" t="s">
        <v>33</v>
      </c>
      <c r="B41" s="26">
        <v>11</v>
      </c>
      <c r="C41" s="26">
        <v>20</v>
      </c>
      <c r="D41" s="26"/>
      <c r="E41" s="26">
        <v>1</v>
      </c>
      <c r="F41" s="26">
        <v>12</v>
      </c>
      <c r="G41" s="26"/>
      <c r="H41" s="26">
        <v>2</v>
      </c>
      <c r="I41" t="str">
        <f>VLOOKUP(A41,'FRS geographical categories'!A:J,2,FALSE)</f>
        <v>Predominantly Rural</v>
      </c>
      <c r="J41" t="str">
        <f>VLOOKUP(A41,'FRS geographical categories'!A:J,3,FALSE)</f>
        <v>Non-metropolitan</v>
      </c>
    </row>
    <row r="42" spans="1:10" x14ac:dyDescent="0.35">
      <c r="A42" t="s">
        <v>34</v>
      </c>
      <c r="B42" s="26">
        <v>18</v>
      </c>
      <c r="C42" s="26">
        <v>40</v>
      </c>
      <c r="D42" s="26"/>
      <c r="E42" s="26">
        <v>0</v>
      </c>
      <c r="F42" s="26">
        <v>25</v>
      </c>
      <c r="G42" s="26"/>
      <c r="H42" s="26">
        <v>2</v>
      </c>
      <c r="I42" t="str">
        <f>VLOOKUP(A42,'FRS geographical categories'!A:J,2,FALSE)</f>
        <v>Predominantly Urban</v>
      </c>
      <c r="J42" t="str">
        <f>VLOOKUP(A42,'FRS geographical categories'!A:J,3,FALSE)</f>
        <v>Metropolitan</v>
      </c>
    </row>
    <row r="43" spans="1:10" x14ac:dyDescent="0.35">
      <c r="A43" t="s">
        <v>35</v>
      </c>
      <c r="B43" s="26">
        <v>27</v>
      </c>
      <c r="C43" s="26">
        <v>28</v>
      </c>
      <c r="D43" s="26"/>
      <c r="E43" s="26">
        <v>4</v>
      </c>
      <c r="F43" s="26">
        <v>19</v>
      </c>
      <c r="G43" s="26"/>
      <c r="H43" s="26">
        <v>3</v>
      </c>
      <c r="I43" t="str">
        <f>VLOOKUP(A43,'FRS geographical categories'!A:J,2,FALSE)</f>
        <v>Predominantly Rural</v>
      </c>
      <c r="J43" t="str">
        <f>VLOOKUP(A43,'FRS geographical categories'!A:J,3,FALSE)</f>
        <v>Non-metropolitan</v>
      </c>
    </row>
    <row r="44" spans="1:10" x14ac:dyDescent="0.35">
      <c r="A44" t="s">
        <v>36</v>
      </c>
      <c r="B44" s="26">
        <v>9</v>
      </c>
      <c r="C44" s="26">
        <v>20</v>
      </c>
      <c r="D44" s="26"/>
      <c r="E44" s="26">
        <v>1</v>
      </c>
      <c r="F44" s="26">
        <v>12</v>
      </c>
      <c r="G44" s="26"/>
      <c r="H44" s="26">
        <v>1</v>
      </c>
      <c r="I44" t="str">
        <f>VLOOKUP(A44,'FRS geographical categories'!A:J,2,FALSE)</f>
        <v>Predominantly Rural</v>
      </c>
      <c r="J44" t="str">
        <f>VLOOKUP(A44,'FRS geographical categories'!A:J,3,FALSE)</f>
        <v>Non-metropolitan</v>
      </c>
    </row>
    <row r="45" spans="1:10" x14ac:dyDescent="0.35">
      <c r="A45" t="s">
        <v>37</v>
      </c>
      <c r="B45" s="26">
        <v>7</v>
      </c>
      <c r="C45" s="26">
        <v>15</v>
      </c>
      <c r="D45" s="26"/>
      <c r="E45" s="26">
        <v>1</v>
      </c>
      <c r="F45" s="26">
        <v>9</v>
      </c>
      <c r="G45" s="26"/>
      <c r="H45" s="26">
        <v>1</v>
      </c>
      <c r="I45" t="str">
        <f>VLOOKUP(A45,'FRS geographical categories'!A:J,2,FALSE)</f>
        <v>Significantly Rural</v>
      </c>
      <c r="J45" t="str">
        <f>VLOOKUP(A45,'FRS geographical categories'!A:J,3,FALSE)</f>
        <v>Non-metropolitan</v>
      </c>
    </row>
    <row r="46" spans="1:10" x14ac:dyDescent="0.35">
      <c r="A46" t="s">
        <v>38</v>
      </c>
      <c r="B46" s="26">
        <v>17</v>
      </c>
      <c r="C46" s="26">
        <v>9</v>
      </c>
      <c r="D46" s="26"/>
      <c r="E46" s="26">
        <v>0</v>
      </c>
      <c r="F46" s="26">
        <v>10</v>
      </c>
      <c r="G46" s="26"/>
      <c r="H46" s="26">
        <v>0</v>
      </c>
      <c r="I46" t="str">
        <f>VLOOKUP(A46,'FRS geographical categories'!A:J,2,FALSE)</f>
        <v>Predominantly Rural</v>
      </c>
      <c r="J46" t="str">
        <f>VLOOKUP(A46,'FRS geographical categories'!A:J,3,FALSE)</f>
        <v>Non-metropolitan</v>
      </c>
    </row>
    <row r="47" spans="1:10" x14ac:dyDescent="0.35">
      <c r="A47" t="s">
        <v>39</v>
      </c>
      <c r="B47" s="26">
        <v>26</v>
      </c>
      <c r="C47" s="26">
        <v>18</v>
      </c>
      <c r="D47" s="26"/>
      <c r="E47" s="26">
        <v>0</v>
      </c>
      <c r="F47" s="26">
        <v>9</v>
      </c>
      <c r="G47" s="26"/>
      <c r="H47" s="26">
        <v>0</v>
      </c>
      <c r="I47" t="str">
        <f>VLOOKUP(A47,'FRS geographical categories'!A:J,2,FALSE)</f>
        <v>Predominantly Urban</v>
      </c>
      <c r="J47" t="str">
        <f>VLOOKUP(A47,'FRS geographical categories'!A:J,3,FALSE)</f>
        <v>Non-metropolitan</v>
      </c>
    </row>
    <row r="48" spans="1:10" x14ac:dyDescent="0.35">
      <c r="A48" t="s">
        <v>40</v>
      </c>
      <c r="B48" s="26">
        <v>13</v>
      </c>
      <c r="C48" s="26">
        <v>24</v>
      </c>
      <c r="D48" s="26"/>
      <c r="E48" s="26">
        <v>0</v>
      </c>
      <c r="F48" s="26">
        <v>10</v>
      </c>
      <c r="G48" s="26"/>
      <c r="H48" s="26">
        <v>0</v>
      </c>
      <c r="I48" t="str">
        <f>VLOOKUP(A48,'FRS geographical categories'!A:J,2,FALSE)</f>
        <v>Predominantly Rural</v>
      </c>
      <c r="J48" t="str">
        <f>VLOOKUP(A48,'FRS geographical categories'!A:J,3,FALSE)</f>
        <v>Non-metropolitan</v>
      </c>
    </row>
    <row r="49" spans="1:10" x14ac:dyDescent="0.35">
      <c r="A49" t="s">
        <v>41</v>
      </c>
      <c r="B49" s="26">
        <v>9</v>
      </c>
      <c r="C49" s="26">
        <v>5</v>
      </c>
      <c r="D49" s="26"/>
      <c r="E49" s="26">
        <v>0</v>
      </c>
      <c r="F49" s="26">
        <v>6</v>
      </c>
      <c r="G49" s="26"/>
      <c r="H49" s="26">
        <v>11</v>
      </c>
      <c r="I49" t="str">
        <f>VLOOKUP(A49,'FRS geographical categories'!A:J,2,FALSE)</f>
        <v>Predominantly Rural</v>
      </c>
      <c r="J49" t="str">
        <f>VLOOKUP(A49,'FRS geographical categories'!A:J,3,FALSE)</f>
        <v>Non-metropolitan</v>
      </c>
    </row>
    <row r="50" spans="1:10" x14ac:dyDescent="0.35">
      <c r="A50" t="s">
        <v>42</v>
      </c>
      <c r="B50" s="26">
        <v>12</v>
      </c>
      <c r="C50" s="26">
        <v>14</v>
      </c>
      <c r="D50" s="26"/>
      <c r="E50" s="26">
        <v>1</v>
      </c>
      <c r="F50" s="26">
        <v>21</v>
      </c>
      <c r="G50" s="26"/>
      <c r="H50" s="26">
        <v>0</v>
      </c>
      <c r="I50" t="str">
        <f>VLOOKUP(A50,'FRS geographical categories'!A:J,2,FALSE)</f>
        <v>Predominantly Urban</v>
      </c>
      <c r="J50" t="str">
        <f>VLOOKUP(A50,'FRS geographical categories'!A:J,3,FALSE)</f>
        <v>Metropolitan</v>
      </c>
    </row>
    <row r="51" spans="1:10" x14ac:dyDescent="0.35">
      <c r="A51" t="s">
        <v>43</v>
      </c>
      <c r="B51" s="26">
        <v>30</v>
      </c>
      <c r="C51" s="26">
        <v>20</v>
      </c>
      <c r="D51" s="26"/>
      <c r="E51" s="26">
        <v>0</v>
      </c>
      <c r="F51" s="26">
        <v>19</v>
      </c>
      <c r="G51" s="26"/>
      <c r="H51" s="26">
        <v>0</v>
      </c>
      <c r="I51" t="str">
        <f>VLOOKUP(A51,'FRS geographical categories'!A:J,2,FALSE)</f>
        <v>Significantly Rural</v>
      </c>
      <c r="J51" t="str">
        <f>VLOOKUP(A51,'FRS geographical categories'!A:J,3,FALSE)</f>
        <v>Non-metropolitan</v>
      </c>
    </row>
    <row r="52" spans="1:10" x14ac:dyDescent="0.35">
      <c r="A52" t="s">
        <v>44</v>
      </c>
      <c r="B52" s="26">
        <v>7</v>
      </c>
      <c r="C52" s="26">
        <v>10</v>
      </c>
      <c r="D52" s="26"/>
      <c r="E52" s="26">
        <v>0</v>
      </c>
      <c r="F52" s="26">
        <v>5</v>
      </c>
      <c r="G52" s="26"/>
      <c r="H52" s="26">
        <v>0</v>
      </c>
      <c r="I52" t="str">
        <f>VLOOKUP(A52,'FRS geographical categories'!A:J,2,FALSE)</f>
        <v>Predominantly Rural</v>
      </c>
      <c r="J52" t="str">
        <f>VLOOKUP(A52,'FRS geographical categories'!A:J,3,FALSE)</f>
        <v>Non-metropolitan</v>
      </c>
    </row>
    <row r="53" spans="1:10" x14ac:dyDescent="0.35">
      <c r="A53" t="s">
        <v>45</v>
      </c>
      <c r="B53" s="26">
        <v>15</v>
      </c>
      <c r="C53" s="26">
        <v>26</v>
      </c>
      <c r="D53" s="26"/>
      <c r="E53" s="26">
        <v>1</v>
      </c>
      <c r="F53" s="26">
        <v>2</v>
      </c>
      <c r="G53" s="26"/>
      <c r="H53" s="26">
        <v>0</v>
      </c>
      <c r="I53" t="str">
        <f>VLOOKUP(A53,'FRS geographical categories'!A:J,2,FALSE)</f>
        <v>Predominantly Urban</v>
      </c>
      <c r="J53" t="str">
        <f>VLOOKUP(A53,'FRS geographical categories'!A:J,3,FALSE)</f>
        <v>Non-metropolitan</v>
      </c>
    </row>
    <row r="54" spans="1:10" x14ac:dyDescent="0.35">
      <c r="A54" t="s">
        <v>46</v>
      </c>
      <c r="B54" s="26">
        <v>16</v>
      </c>
      <c r="C54" s="26">
        <v>26</v>
      </c>
      <c r="D54" s="26"/>
      <c r="E54" s="26">
        <v>0</v>
      </c>
      <c r="F54" s="26">
        <v>9</v>
      </c>
      <c r="G54" s="26"/>
      <c r="H54" s="26">
        <v>3</v>
      </c>
      <c r="I54" t="str">
        <f>VLOOKUP(A54,'FRS geographical categories'!A:J,2,FALSE)</f>
        <v>Predominantly Urban</v>
      </c>
      <c r="J54" t="str">
        <f>VLOOKUP(A54,'FRS geographical categories'!A:J,3,FALSE)</f>
        <v>Metropolitan</v>
      </c>
    </row>
    <row r="55" spans="1:10" x14ac:dyDescent="0.35">
      <c r="A55" t="s">
        <v>47</v>
      </c>
      <c r="B55" s="26">
        <v>10</v>
      </c>
      <c r="C55" s="26">
        <v>10</v>
      </c>
      <c r="D55" s="26"/>
      <c r="E55" s="26">
        <v>1</v>
      </c>
      <c r="F55" s="26">
        <v>6</v>
      </c>
      <c r="G55" s="26"/>
      <c r="H55" s="26">
        <v>2</v>
      </c>
      <c r="I55" t="str">
        <f>VLOOKUP(A55,'FRS geographical categories'!A:J,2,FALSE)</f>
        <v>Significantly Rural</v>
      </c>
      <c r="J55" t="str">
        <f>VLOOKUP(A55,'FRS geographical categories'!A:J,3,FALSE)</f>
        <v>Non-metropolitan</v>
      </c>
    </row>
    <row r="56" spans="1:10" x14ac:dyDescent="0.35">
      <c r="A56" t="s">
        <v>48</v>
      </c>
      <c r="B56" s="26">
        <v>23</v>
      </c>
      <c r="C56" s="26">
        <v>41</v>
      </c>
      <c r="D56" s="26"/>
      <c r="E56" s="26">
        <v>2</v>
      </c>
      <c r="F56" s="26">
        <v>16</v>
      </c>
      <c r="G56" s="26"/>
      <c r="H56" s="26">
        <v>1</v>
      </c>
      <c r="I56" t="str">
        <f>VLOOKUP(A56,'FRS geographical categories'!A:J,2,FALSE)</f>
        <v>Predominantly Urban</v>
      </c>
      <c r="J56" t="str">
        <f>VLOOKUP(A56,'FRS geographical categories'!A:J,3,FALSE)</f>
        <v>Metropolitan</v>
      </c>
    </row>
    <row r="57" spans="1:10" x14ac:dyDescent="0.35">
      <c r="A57" t="s">
        <v>49</v>
      </c>
      <c r="B57" s="26">
        <v>4</v>
      </c>
      <c r="C57" s="26">
        <v>11</v>
      </c>
      <c r="D57" s="26"/>
      <c r="E57" s="26">
        <v>2</v>
      </c>
      <c r="F57" s="26">
        <v>15</v>
      </c>
      <c r="G57" s="26"/>
      <c r="H57" s="26">
        <v>0</v>
      </c>
      <c r="I57" t="str">
        <f>VLOOKUP(A57,'FRS geographical categories'!A:J,2,FALSE)</f>
        <v>Significantly Rural</v>
      </c>
      <c r="J57" t="str">
        <f>VLOOKUP(A57,'FRS geographical categories'!A:J,3,FALSE)</f>
        <v>Non-metropolitan</v>
      </c>
    </row>
    <row r="58" spans="1:10" x14ac:dyDescent="0.35">
      <c r="A58" t="s">
        <v>50</v>
      </c>
      <c r="B58" s="26">
        <v>29</v>
      </c>
      <c r="C58" s="26">
        <v>33</v>
      </c>
      <c r="D58" s="26"/>
      <c r="E58" s="26">
        <v>2</v>
      </c>
      <c r="F58" s="26">
        <v>30</v>
      </c>
      <c r="G58" s="26"/>
      <c r="H58" s="26">
        <v>2</v>
      </c>
      <c r="I58" t="str">
        <f>VLOOKUP(A58,'FRS geographical categories'!A:J,2,FALSE)</f>
        <v>Predominantly Urban</v>
      </c>
      <c r="J58" t="str">
        <f>VLOOKUP(A58,'FRS geographical categories'!A:J,3,FALSE)</f>
        <v>Metropolitan</v>
      </c>
    </row>
    <row r="61" spans="1:10" x14ac:dyDescent="0.35">
      <c r="A61" s="43" t="s">
        <v>71</v>
      </c>
      <c r="B61" s="43"/>
      <c r="C61" s="43"/>
      <c r="D61" s="43"/>
      <c r="E61" s="43"/>
      <c r="F61" s="43"/>
      <c r="G61" s="43"/>
      <c r="H61" s="43"/>
      <c r="I61" s="43"/>
      <c r="J61" s="43"/>
    </row>
    <row r="63" spans="1:10" x14ac:dyDescent="0.35">
      <c r="A63" t="s">
        <v>70</v>
      </c>
      <c r="B63">
        <f>B8-B9-B10</f>
        <v>0</v>
      </c>
      <c r="C63">
        <f t="shared" ref="C63:H63" si="3">C8-C9-C10</f>
        <v>0</v>
      </c>
      <c r="E63">
        <f t="shared" si="3"/>
        <v>0</v>
      </c>
      <c r="F63">
        <f t="shared" si="3"/>
        <v>0</v>
      </c>
      <c r="H63">
        <f t="shared" si="3"/>
        <v>0</v>
      </c>
    </row>
    <row r="64" spans="1:10" x14ac:dyDescent="0.35">
      <c r="A64" t="s">
        <v>72</v>
      </c>
      <c r="B64">
        <f>B8-SUM(B11:B13)</f>
        <v>0</v>
      </c>
      <c r="C64">
        <f t="shared" ref="C64:H64" si="4">C8-SUM(C11:C13)</f>
        <v>0</v>
      </c>
      <c r="E64">
        <f t="shared" si="4"/>
        <v>0</v>
      </c>
      <c r="F64">
        <f t="shared" si="4"/>
        <v>0</v>
      </c>
      <c r="H64">
        <f t="shared" si="4"/>
        <v>0</v>
      </c>
    </row>
    <row r="65" spans="1:8" x14ac:dyDescent="0.35">
      <c r="A65" t="s">
        <v>73</v>
      </c>
      <c r="B65">
        <f>B8-SUM(B14:B58)</f>
        <v>0</v>
      </c>
      <c r="C65">
        <f t="shared" ref="C65:H65" si="5">C8-SUM(C14:C58)</f>
        <v>0</v>
      </c>
      <c r="E65">
        <f t="shared" si="5"/>
        <v>0</v>
      </c>
      <c r="F65">
        <f t="shared" si="5"/>
        <v>0</v>
      </c>
      <c r="H65">
        <f t="shared" si="5"/>
        <v>0</v>
      </c>
    </row>
    <row r="67" spans="1:8" x14ac:dyDescent="0.35">
      <c r="A67" t="s">
        <v>74</v>
      </c>
      <c r="B67">
        <f>B9+B10-B11-B12-B13</f>
        <v>0</v>
      </c>
      <c r="C67">
        <f t="shared" ref="C67:H67" si="6">C9+C10-C11-C12-C13</f>
        <v>0</v>
      </c>
      <c r="E67">
        <f t="shared" si="6"/>
        <v>0</v>
      </c>
      <c r="F67">
        <f t="shared" si="6"/>
        <v>0</v>
      </c>
      <c r="H67">
        <f t="shared" si="6"/>
        <v>0</v>
      </c>
    </row>
    <row r="68" spans="1:8" x14ac:dyDescent="0.35">
      <c r="A68" t="s">
        <v>75</v>
      </c>
      <c r="B68">
        <f>B9+B10-SUM(B14:B58)</f>
        <v>0</v>
      </c>
      <c r="C68">
        <f t="shared" ref="C68:H68" si="7">C9+C10-SUM(C14:C58)</f>
        <v>0</v>
      </c>
      <c r="E68">
        <f t="shared" si="7"/>
        <v>0</v>
      </c>
      <c r="F68">
        <f t="shared" si="7"/>
        <v>0</v>
      </c>
      <c r="H68">
        <f t="shared" si="7"/>
        <v>0</v>
      </c>
    </row>
    <row r="70" spans="1:8" x14ac:dyDescent="0.35">
      <c r="A70" t="s">
        <v>76</v>
      </c>
      <c r="B70">
        <f>SUM(B11:B13)-SUM(B14:B58)</f>
        <v>0</v>
      </c>
      <c r="C70">
        <f t="shared" ref="C70:H70" si="8">SUM(C11:C13)-SUM(C14:C58)</f>
        <v>0</v>
      </c>
      <c r="E70">
        <f t="shared" si="8"/>
        <v>0</v>
      </c>
      <c r="F70">
        <f t="shared" si="8"/>
        <v>0</v>
      </c>
      <c r="H70">
        <f t="shared" si="8"/>
        <v>0</v>
      </c>
    </row>
  </sheetData>
  <mergeCells count="2">
    <mergeCell ref="A4:H4"/>
    <mergeCell ref="A61:J6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9F25-E9A7-425F-BEC1-668C6A823503}">
  <sheetPr>
    <tabColor rgb="FFFF0000"/>
  </sheetPr>
  <dimension ref="A4:H58"/>
  <sheetViews>
    <sheetView workbookViewId="0">
      <selection activeCell="G24" sqref="G24"/>
    </sheetView>
  </sheetViews>
  <sheetFormatPr defaultRowHeight="14.5" x14ac:dyDescent="0.35"/>
  <cols>
    <col min="1" max="1" width="21" bestFit="1" customWidth="1"/>
  </cols>
  <sheetData>
    <row r="4" spans="1:8" x14ac:dyDescent="0.35">
      <c r="A4" s="22" t="str">
        <f>FIRE1402!A4</f>
        <v>2017-18</v>
      </c>
    </row>
    <row r="6" spans="1:8" x14ac:dyDescent="0.35">
      <c r="B6" t="s">
        <v>54</v>
      </c>
      <c r="E6" t="s">
        <v>55</v>
      </c>
      <c r="H6" t="s">
        <v>59</v>
      </c>
    </row>
    <row r="7" spans="1:8" x14ac:dyDescent="0.35">
      <c r="A7" t="s">
        <v>56</v>
      </c>
      <c r="B7" t="s">
        <v>57</v>
      </c>
      <c r="C7" t="s">
        <v>58</v>
      </c>
      <c r="E7" t="s">
        <v>57</v>
      </c>
      <c r="F7" t="s">
        <v>58</v>
      </c>
    </row>
    <row r="8" spans="1:8" x14ac:dyDescent="0.35">
      <c r="A8" t="s">
        <v>0</v>
      </c>
      <c r="B8">
        <f ca="1">INDIRECT("'("&amp;$A$4&amp;")'!b8")</f>
        <v>850</v>
      </c>
      <c r="C8">
        <f ca="1">INDIRECT("'("&amp;$A$4&amp;")'!c8")</f>
        <v>1149</v>
      </c>
      <c r="E8">
        <f ca="1">INDIRECT("'("&amp;$A$4&amp;")'!e8")</f>
        <v>50</v>
      </c>
      <c r="F8">
        <f ca="1">INDIRECT("'("&amp;$A$4&amp;")'!f8")</f>
        <v>630</v>
      </c>
      <c r="H8">
        <f ca="1">INDIRECT("'("&amp;$A$4&amp;")'!h8")</f>
        <v>77</v>
      </c>
    </row>
    <row r="9" spans="1:8" x14ac:dyDescent="0.35">
      <c r="A9" t="s">
        <v>1</v>
      </c>
      <c r="B9">
        <f ca="1">INDIRECT("'("&amp;$A$4&amp;")'!b9")</f>
        <v>544</v>
      </c>
      <c r="C9">
        <f ca="1">INDIRECT("'("&amp;$A$4&amp;")'!c9")</f>
        <v>714</v>
      </c>
      <c r="E9">
        <f ca="1">INDIRECT("'("&amp;$A$4&amp;")'!e9")</f>
        <v>41</v>
      </c>
      <c r="F9">
        <f ca="1">INDIRECT("'("&amp;$A$4&amp;")'!f9")</f>
        <v>500</v>
      </c>
      <c r="H9">
        <f ca="1">INDIRECT("'("&amp;$A$4&amp;")'!h9")</f>
        <v>66</v>
      </c>
    </row>
    <row r="10" spans="1:8" x14ac:dyDescent="0.35">
      <c r="A10" t="s">
        <v>2</v>
      </c>
      <c r="B10">
        <f ca="1">INDIRECT("'("&amp;$A$4&amp;")'!b10")</f>
        <v>306</v>
      </c>
      <c r="C10">
        <f ca="1">INDIRECT("'("&amp;$A$4&amp;")'!c10")</f>
        <v>435</v>
      </c>
      <c r="E10">
        <f ca="1">INDIRECT("'("&amp;$A$4&amp;")'!e10")</f>
        <v>9</v>
      </c>
      <c r="F10">
        <f ca="1">INDIRECT("'("&amp;$A$4&amp;")'!f10")</f>
        <v>130</v>
      </c>
      <c r="H10">
        <f ca="1">INDIRECT("'("&amp;$A$4&amp;")'!h10")</f>
        <v>11</v>
      </c>
    </row>
    <row r="11" spans="1:8" x14ac:dyDescent="0.35">
      <c r="A11" t="s">
        <v>3</v>
      </c>
      <c r="B11">
        <f ca="1">INDIRECT("'("&amp;$A$4&amp;")'!b11")</f>
        <v>440</v>
      </c>
      <c r="C11">
        <f ca="1">INDIRECT("'("&amp;$A$4&amp;")'!c11")</f>
        <v>624</v>
      </c>
      <c r="E11">
        <f ca="1">INDIRECT("'("&amp;$A$4&amp;")'!e11")</f>
        <v>19</v>
      </c>
      <c r="F11">
        <f ca="1">INDIRECT("'("&amp;$A$4&amp;")'!f11")</f>
        <v>248</v>
      </c>
      <c r="H11">
        <f ca="1">INDIRECT("'("&amp;$A$4&amp;")'!h11")</f>
        <v>34</v>
      </c>
    </row>
    <row r="12" spans="1:8" x14ac:dyDescent="0.35">
      <c r="A12" t="s">
        <v>4</v>
      </c>
      <c r="B12">
        <f ca="1">INDIRECT("'("&amp;$A$4&amp;")'!b12")</f>
        <v>240</v>
      </c>
      <c r="C12">
        <f ca="1">INDIRECT("'("&amp;$A$4&amp;")'!c12")</f>
        <v>302</v>
      </c>
      <c r="E12">
        <f ca="1">INDIRECT("'("&amp;$A$4&amp;")'!e12")</f>
        <v>17</v>
      </c>
      <c r="F12">
        <f ca="1">INDIRECT("'("&amp;$A$4&amp;")'!f12")</f>
        <v>232</v>
      </c>
      <c r="H12">
        <f ca="1">INDIRECT("'("&amp;$A$4&amp;")'!h12")</f>
        <v>14</v>
      </c>
    </row>
    <row r="13" spans="1:8" x14ac:dyDescent="0.35">
      <c r="A13" t="s">
        <v>5</v>
      </c>
      <c r="B13">
        <f ca="1">INDIRECT("'("&amp;$A$4&amp;")'!b13")</f>
        <v>170</v>
      </c>
      <c r="C13">
        <f ca="1">INDIRECT("'("&amp;$A$4&amp;")'!c13")</f>
        <v>223</v>
      </c>
      <c r="E13">
        <f ca="1">INDIRECT("'("&amp;$A$4&amp;")'!e13")</f>
        <v>14</v>
      </c>
      <c r="F13">
        <f ca="1">INDIRECT("'("&amp;$A$4&amp;")'!f13")</f>
        <v>150</v>
      </c>
      <c r="H13">
        <f ca="1">INDIRECT("'("&amp;$A$4&amp;")'!h13")</f>
        <v>29</v>
      </c>
    </row>
    <row r="14" spans="1:8" ht="35" customHeight="1" x14ac:dyDescent="0.35">
      <c r="A14" t="s">
        <v>6</v>
      </c>
      <c r="B14">
        <f ca="1">INDIRECT("'("&amp;$A$4&amp;")'!b14")</f>
        <v>22</v>
      </c>
      <c r="C14">
        <f ca="1">INDIRECT("'("&amp;$A$4&amp;")'!c14")</f>
        <v>31</v>
      </c>
      <c r="E14">
        <f ca="1">INDIRECT("'("&amp;$A$4&amp;")'!e14")</f>
        <v>3</v>
      </c>
      <c r="F14">
        <f ca="1">INDIRECT("'("&amp;$A$4&amp;")'!f14")</f>
        <v>21</v>
      </c>
      <c r="H14">
        <f ca="1">INDIRECT("'("&amp;$A$4&amp;")'!h14")</f>
        <v>4</v>
      </c>
    </row>
    <row r="15" spans="1:8" x14ac:dyDescent="0.35">
      <c r="A15" t="s">
        <v>7</v>
      </c>
      <c r="B15">
        <f ca="1">INDIRECT("'("&amp;$A$4&amp;")'!b15")</f>
        <v>10</v>
      </c>
      <c r="C15">
        <f ca="1">INDIRECT("'("&amp;$A$4&amp;")'!c15")</f>
        <v>15</v>
      </c>
      <c r="E15">
        <f ca="1">INDIRECT("'("&amp;$A$4&amp;")'!e15")</f>
        <v>0</v>
      </c>
      <c r="F15">
        <f ca="1">INDIRECT("'("&amp;$A$4&amp;")'!f15")</f>
        <v>13</v>
      </c>
      <c r="H15">
        <f ca="1">INDIRECT("'("&amp;$A$4&amp;")'!h15")</f>
        <v>0</v>
      </c>
    </row>
    <row r="16" spans="1:8" x14ac:dyDescent="0.35">
      <c r="A16" t="s">
        <v>8</v>
      </c>
      <c r="B16">
        <f ca="1">INDIRECT("'("&amp;$A$4&amp;")'!b16")</f>
        <v>10</v>
      </c>
      <c r="C16">
        <f ca="1">INDIRECT("'("&amp;$A$4&amp;")'!c16")</f>
        <v>13</v>
      </c>
      <c r="E16">
        <f ca="1">INDIRECT("'("&amp;$A$4&amp;")'!e16")</f>
        <v>1</v>
      </c>
      <c r="F16">
        <f ca="1">INDIRECT("'("&amp;$A$4&amp;")'!f16")</f>
        <v>13</v>
      </c>
      <c r="H16">
        <f ca="1">INDIRECT("'("&amp;$A$4&amp;")'!h16")</f>
        <v>0</v>
      </c>
    </row>
    <row r="17" spans="1:8" x14ac:dyDescent="0.35">
      <c r="A17" t="s">
        <v>9</v>
      </c>
      <c r="B17">
        <f ca="1">INDIRECT("'("&amp;$A$4&amp;")'!b17")</f>
        <v>17</v>
      </c>
      <c r="C17">
        <f ca="1">INDIRECT("'("&amp;$A$4&amp;")'!c17")</f>
        <v>9</v>
      </c>
      <c r="E17">
        <f ca="1">INDIRECT("'("&amp;$A$4&amp;")'!e17")</f>
        <v>1</v>
      </c>
      <c r="F17">
        <f ca="1">INDIRECT("'("&amp;$A$4&amp;")'!f17")</f>
        <v>6</v>
      </c>
      <c r="H17">
        <f ca="1">INDIRECT("'("&amp;$A$4&amp;")'!h17")</f>
        <v>1</v>
      </c>
    </row>
    <row r="18" spans="1:8" x14ac:dyDescent="0.35">
      <c r="A18" t="s">
        <v>10</v>
      </c>
      <c r="B18">
        <f ca="1">INDIRECT("'("&amp;$A$4&amp;")'!b18")</f>
        <v>8</v>
      </c>
      <c r="C18">
        <f ca="1">INDIRECT("'("&amp;$A$4&amp;")'!c18")</f>
        <v>15</v>
      </c>
      <c r="E18">
        <f ca="1">INDIRECT("'("&amp;$A$4&amp;")'!e18")</f>
        <v>3</v>
      </c>
      <c r="F18">
        <f ca="1">INDIRECT("'("&amp;$A$4&amp;")'!f18")</f>
        <v>11</v>
      </c>
      <c r="H18">
        <f ca="1">INDIRECT("'("&amp;$A$4&amp;")'!h18")</f>
        <v>5</v>
      </c>
    </row>
    <row r="19" spans="1:8" x14ac:dyDescent="0.35">
      <c r="A19" t="s">
        <v>11</v>
      </c>
      <c r="B19">
        <f ca="1">INDIRECT("'("&amp;$A$4&amp;")'!b19")</f>
        <v>15</v>
      </c>
      <c r="C19">
        <f ca="1">INDIRECT("'("&amp;$A$4&amp;")'!c19")</f>
        <v>12</v>
      </c>
      <c r="E19">
        <f ca="1">INDIRECT("'("&amp;$A$4&amp;")'!e19")</f>
        <v>1</v>
      </c>
      <c r="F19">
        <f ca="1">INDIRECT("'("&amp;$A$4&amp;")'!f19")</f>
        <v>0</v>
      </c>
      <c r="H19">
        <f ca="1">INDIRECT("'("&amp;$A$4&amp;")'!h19")</f>
        <v>0</v>
      </c>
    </row>
    <row r="20" spans="1:8" x14ac:dyDescent="0.35">
      <c r="A20" t="s">
        <v>12</v>
      </c>
      <c r="B20">
        <f ca="1">INDIRECT("'("&amp;$A$4&amp;")'!b20")</f>
        <v>8</v>
      </c>
      <c r="C20">
        <f ca="1">INDIRECT("'("&amp;$A$4&amp;")'!c20")</f>
        <v>18</v>
      </c>
      <c r="E20">
        <f ca="1">INDIRECT("'("&amp;$A$4&amp;")'!e20")</f>
        <v>0</v>
      </c>
      <c r="F20">
        <f ca="1">INDIRECT("'("&amp;$A$4&amp;")'!f20")</f>
        <v>13</v>
      </c>
      <c r="H20">
        <f ca="1">INDIRECT("'("&amp;$A$4&amp;")'!h20")</f>
        <v>0</v>
      </c>
    </row>
    <row r="21" spans="1:8" x14ac:dyDescent="0.35">
      <c r="A21" t="s">
        <v>13</v>
      </c>
      <c r="B21">
        <f ca="1">INDIRECT("'("&amp;$A$4&amp;")'!b21")</f>
        <v>7</v>
      </c>
      <c r="C21">
        <f ca="1">INDIRECT("'("&amp;$A$4&amp;")'!c21")</f>
        <v>14</v>
      </c>
      <c r="E21">
        <f ca="1">INDIRECT("'("&amp;$A$4&amp;")'!e21")</f>
        <v>1</v>
      </c>
      <c r="F21">
        <f ca="1">INDIRECT("'("&amp;$A$4&amp;")'!f21")</f>
        <v>11</v>
      </c>
      <c r="H21">
        <f ca="1">INDIRECT("'("&amp;$A$4&amp;")'!h21")</f>
        <v>0</v>
      </c>
    </row>
    <row r="22" spans="1:8" x14ac:dyDescent="0.35">
      <c r="A22" t="s">
        <v>14</v>
      </c>
      <c r="B22">
        <f ca="1">INDIRECT("'("&amp;$A$4&amp;")'!b22")</f>
        <v>7</v>
      </c>
      <c r="C22">
        <f ca="1">INDIRECT("'("&amp;$A$4&amp;")'!c22")</f>
        <v>6</v>
      </c>
      <c r="E22">
        <f ca="1">INDIRECT("'("&amp;$A$4&amp;")'!e22")</f>
        <v>0</v>
      </c>
      <c r="F22">
        <f ca="1">INDIRECT("'("&amp;$A$4&amp;")'!f22")</f>
        <v>5</v>
      </c>
      <c r="H22">
        <f ca="1">INDIRECT("'("&amp;$A$4&amp;")'!h22")</f>
        <v>1</v>
      </c>
    </row>
    <row r="23" spans="1:8" x14ac:dyDescent="0.35">
      <c r="A23" t="s">
        <v>15</v>
      </c>
      <c r="B23">
        <f ca="1">INDIRECT("'("&amp;$A$4&amp;")'!b23")</f>
        <v>19</v>
      </c>
      <c r="C23">
        <f ca="1">INDIRECT("'("&amp;$A$4&amp;")'!c23")</f>
        <v>25</v>
      </c>
      <c r="E23">
        <f ca="1">INDIRECT("'("&amp;$A$4&amp;")'!e23")</f>
        <v>1</v>
      </c>
      <c r="F23">
        <f ca="1">INDIRECT("'("&amp;$A$4&amp;")'!f23")</f>
        <v>32</v>
      </c>
      <c r="H23">
        <f ca="1">INDIRECT("'("&amp;$A$4&amp;")'!h23")</f>
        <v>0</v>
      </c>
    </row>
    <row r="24" spans="1:8" x14ac:dyDescent="0.35">
      <c r="A24" t="s">
        <v>16</v>
      </c>
      <c r="B24">
        <f ca="1">INDIRECT("'("&amp;$A$4&amp;")'!b24")</f>
        <v>49</v>
      </c>
      <c r="C24">
        <f ca="1">INDIRECT("'("&amp;$A$4&amp;")'!c24")</f>
        <v>58</v>
      </c>
      <c r="E24">
        <f ca="1">INDIRECT("'("&amp;$A$4&amp;")'!e24")</f>
        <v>4</v>
      </c>
      <c r="F24">
        <f ca="1">INDIRECT("'("&amp;$A$4&amp;")'!f24")</f>
        <v>43</v>
      </c>
      <c r="H24">
        <f ca="1">INDIRECT("'("&amp;$A$4&amp;")'!h24")</f>
        <v>6</v>
      </c>
    </row>
    <row r="25" spans="1:8" x14ac:dyDescent="0.35">
      <c r="A25" t="s">
        <v>17</v>
      </c>
      <c r="B25">
        <f ca="1">INDIRECT("'("&amp;$A$4&amp;")'!b25")</f>
        <v>7</v>
      </c>
      <c r="C25">
        <f ca="1">INDIRECT("'("&amp;$A$4&amp;")'!c25")</f>
        <v>16</v>
      </c>
      <c r="E25">
        <f ca="1">INDIRECT("'("&amp;$A$4&amp;")'!e25")</f>
        <v>0</v>
      </c>
      <c r="F25">
        <f ca="1">INDIRECT("'("&amp;$A$4&amp;")'!f25")</f>
        <v>10</v>
      </c>
      <c r="H25">
        <f ca="1">INDIRECT("'("&amp;$A$4&amp;")'!h25")</f>
        <v>0</v>
      </c>
    </row>
    <row r="26" spans="1:8" x14ac:dyDescent="0.35">
      <c r="A26" t="s">
        <v>18</v>
      </c>
      <c r="B26">
        <f ca="1">INDIRECT("'("&amp;$A$4&amp;")'!b26")</f>
        <v>5</v>
      </c>
      <c r="C26">
        <f ca="1">INDIRECT("'("&amp;$A$4&amp;")'!c26")</f>
        <v>12</v>
      </c>
      <c r="E26">
        <f ca="1">INDIRECT("'("&amp;$A$4&amp;")'!e26")</f>
        <v>0</v>
      </c>
      <c r="F26">
        <f ca="1">INDIRECT("'("&amp;$A$4&amp;")'!f26")</f>
        <v>6</v>
      </c>
      <c r="H26">
        <f ca="1">INDIRECT("'("&amp;$A$4&amp;")'!h26")</f>
        <v>0</v>
      </c>
    </row>
    <row r="27" spans="1:8" x14ac:dyDescent="0.35">
      <c r="A27" t="s">
        <v>19</v>
      </c>
      <c r="B27">
        <f ca="1">INDIRECT("'("&amp;$A$4&amp;")'!b27")</f>
        <v>4</v>
      </c>
      <c r="C27">
        <f ca="1">INDIRECT("'("&amp;$A$4&amp;")'!c27")</f>
        <v>28</v>
      </c>
      <c r="E27">
        <f ca="1">INDIRECT("'("&amp;$A$4&amp;")'!e27")</f>
        <v>0</v>
      </c>
      <c r="F27">
        <f ca="1">INDIRECT("'("&amp;$A$4&amp;")'!f27")</f>
        <v>8</v>
      </c>
      <c r="H27">
        <f ca="1">INDIRECT("'("&amp;$A$4&amp;")'!h27")</f>
        <v>0</v>
      </c>
    </row>
    <row r="28" spans="1:8" x14ac:dyDescent="0.35">
      <c r="A28" t="s">
        <v>20</v>
      </c>
      <c r="B28">
        <f ca="1">INDIRECT("'("&amp;$A$4&amp;")'!b28")</f>
        <v>39</v>
      </c>
      <c r="C28">
        <f ca="1">INDIRECT("'("&amp;$A$4&amp;")'!c28")</f>
        <v>53</v>
      </c>
      <c r="E28">
        <f ca="1">INDIRECT("'("&amp;$A$4&amp;")'!e28")</f>
        <v>1</v>
      </c>
      <c r="F28">
        <f ca="1">INDIRECT("'("&amp;$A$4&amp;")'!f28")</f>
        <v>42</v>
      </c>
      <c r="H28">
        <f ca="1">INDIRECT("'("&amp;$A$4&amp;")'!h28")</f>
        <v>1</v>
      </c>
    </row>
    <row r="29" spans="1:8" x14ac:dyDescent="0.35">
      <c r="A29" t="s">
        <v>21</v>
      </c>
      <c r="B29">
        <f ca="1">INDIRECT("'("&amp;$A$4&amp;")'!b29")</f>
        <v>16</v>
      </c>
      <c r="C29">
        <f ca="1">INDIRECT("'("&amp;$A$4&amp;")'!c29")</f>
        <v>12</v>
      </c>
      <c r="E29">
        <f ca="1">INDIRECT("'("&amp;$A$4&amp;")'!e29")</f>
        <v>0</v>
      </c>
      <c r="F29">
        <f ca="1">INDIRECT("'("&amp;$A$4&amp;")'!f29")</f>
        <v>5</v>
      </c>
      <c r="H29">
        <f ca="1">INDIRECT("'("&amp;$A$4&amp;")'!h29")</f>
        <v>0</v>
      </c>
    </row>
    <row r="30" spans="1:8" x14ac:dyDescent="0.35">
      <c r="A30" t="s">
        <v>22</v>
      </c>
      <c r="B30">
        <f ca="1">INDIRECT("'("&amp;$A$4&amp;")'!b30")</f>
        <v>165</v>
      </c>
      <c r="C30">
        <f ca="1">INDIRECT("'("&amp;$A$4&amp;")'!c30")</f>
        <v>266</v>
      </c>
      <c r="E30">
        <f ca="1">INDIRECT("'("&amp;$A$4&amp;")'!e30")</f>
        <v>2</v>
      </c>
      <c r="F30">
        <f ca="1">INDIRECT("'("&amp;$A$4&amp;")'!f30")</f>
        <v>27</v>
      </c>
      <c r="H30">
        <f ca="1">INDIRECT("'("&amp;$A$4&amp;")'!h30")</f>
        <v>3</v>
      </c>
    </row>
    <row r="31" spans="1:8" x14ac:dyDescent="0.35">
      <c r="A31" t="s">
        <v>23</v>
      </c>
      <c r="B31">
        <f ca="1">INDIRECT("'("&amp;$A$4&amp;")'!b31")</f>
        <v>43</v>
      </c>
      <c r="C31">
        <f ca="1">INDIRECT("'("&amp;$A$4&amp;")'!c31")</f>
        <v>15</v>
      </c>
      <c r="E31">
        <f ca="1">INDIRECT("'("&amp;$A$4&amp;")'!e31")</f>
        <v>2</v>
      </c>
      <c r="F31">
        <f ca="1">INDIRECT("'("&amp;$A$4&amp;")'!f31")</f>
        <v>2</v>
      </c>
      <c r="H31">
        <f ca="1">INDIRECT("'("&amp;$A$4&amp;")'!h31")</f>
        <v>0</v>
      </c>
    </row>
    <row r="32" spans="1:8" x14ac:dyDescent="0.35">
      <c r="A32" t="s">
        <v>24</v>
      </c>
      <c r="B32">
        <f ca="1">INDIRECT("'("&amp;$A$4&amp;")'!b32")</f>
        <v>19</v>
      </c>
      <c r="C32">
        <f ca="1">INDIRECT("'("&amp;$A$4&amp;")'!c32")</f>
        <v>35</v>
      </c>
      <c r="E32">
        <f ca="1">INDIRECT("'("&amp;$A$4&amp;")'!e32")</f>
        <v>4</v>
      </c>
      <c r="F32">
        <f ca="1">INDIRECT("'("&amp;$A$4&amp;")'!f32")</f>
        <v>25</v>
      </c>
      <c r="H32">
        <f ca="1">INDIRECT("'("&amp;$A$4&amp;")'!h32")</f>
        <v>0</v>
      </c>
    </row>
    <row r="33" spans="1:8" x14ac:dyDescent="0.35">
      <c r="A33" t="s">
        <v>25</v>
      </c>
      <c r="B33">
        <f ca="1">INDIRECT("'("&amp;$A$4&amp;")'!b33")</f>
        <v>12</v>
      </c>
      <c r="C33">
        <f ca="1">INDIRECT("'("&amp;$A$4&amp;")'!c33")</f>
        <v>13</v>
      </c>
      <c r="E33">
        <f ca="1">INDIRECT("'("&amp;$A$4&amp;")'!e33")</f>
        <v>2</v>
      </c>
      <c r="F33">
        <f ca="1">INDIRECT("'("&amp;$A$4&amp;")'!f33")</f>
        <v>22</v>
      </c>
      <c r="H33">
        <f ca="1">INDIRECT("'("&amp;$A$4&amp;")'!h33")</f>
        <v>1</v>
      </c>
    </row>
    <row r="34" spans="1:8" x14ac:dyDescent="0.35">
      <c r="A34" t="s">
        <v>26</v>
      </c>
      <c r="B34">
        <f ca="1">INDIRECT("'("&amp;$A$4&amp;")'!b34")</f>
        <v>23</v>
      </c>
      <c r="C34">
        <f ca="1">INDIRECT("'("&amp;$A$4&amp;")'!c34")</f>
        <v>20</v>
      </c>
      <c r="E34">
        <f ca="1">INDIRECT("'("&amp;$A$4&amp;")'!e34")</f>
        <v>1</v>
      </c>
      <c r="F34">
        <f ca="1">INDIRECT("'("&amp;$A$4&amp;")'!f34")</f>
        <v>18</v>
      </c>
      <c r="H34">
        <f ca="1">INDIRECT("'("&amp;$A$4&amp;")'!h34")</f>
        <v>0</v>
      </c>
    </row>
    <row r="35" spans="1:8" x14ac:dyDescent="0.35">
      <c r="A35" t="s">
        <v>27</v>
      </c>
      <c r="B35">
        <f ca="1">INDIRECT("'("&amp;$A$4&amp;")'!b35")</f>
        <v>5</v>
      </c>
      <c r="C35">
        <f ca="1">INDIRECT("'("&amp;$A$4&amp;")'!c35")</f>
        <v>9</v>
      </c>
      <c r="E35">
        <f ca="1">INDIRECT("'("&amp;$A$4&amp;")'!e35")</f>
        <v>1</v>
      </c>
      <c r="F35">
        <f ca="1">INDIRECT("'("&amp;$A$4&amp;")'!f35")</f>
        <v>10</v>
      </c>
      <c r="H35">
        <f ca="1">INDIRECT("'("&amp;$A$4&amp;")'!h35")</f>
        <v>0</v>
      </c>
    </row>
    <row r="36" spans="1:8" x14ac:dyDescent="0.35">
      <c r="A36" t="s">
        <v>28</v>
      </c>
      <c r="B36">
        <f ca="1">INDIRECT("'("&amp;$A$4&amp;")'!b36")</f>
        <v>1</v>
      </c>
      <c r="C36">
        <f ca="1">INDIRECT("'("&amp;$A$4&amp;")'!c36")</f>
        <v>2</v>
      </c>
      <c r="E36">
        <f ca="1">INDIRECT("'("&amp;$A$4&amp;")'!e36")</f>
        <v>0</v>
      </c>
      <c r="F36">
        <f ca="1">INDIRECT("'("&amp;$A$4&amp;")'!f36")</f>
        <v>0</v>
      </c>
      <c r="H36">
        <f ca="1">INDIRECT("'("&amp;$A$4&amp;")'!h36")</f>
        <v>0</v>
      </c>
    </row>
    <row r="37" spans="1:8" x14ac:dyDescent="0.35">
      <c r="A37" t="s">
        <v>29</v>
      </c>
      <c r="B37">
        <f ca="1">INDIRECT("'("&amp;$A$4&amp;")'!b37")</f>
        <v>0</v>
      </c>
      <c r="C37">
        <f ca="1">INDIRECT("'("&amp;$A$4&amp;")'!c37")</f>
        <v>0</v>
      </c>
      <c r="E37">
        <f ca="1">INDIRECT("'("&amp;$A$4&amp;")'!e37")</f>
        <v>0</v>
      </c>
      <c r="F37">
        <f ca="1">INDIRECT("'("&amp;$A$4&amp;")'!f37")</f>
        <v>0</v>
      </c>
      <c r="H37">
        <f ca="1">INDIRECT("'("&amp;$A$4&amp;")'!h37")</f>
        <v>0</v>
      </c>
    </row>
    <row r="38" spans="1:8" x14ac:dyDescent="0.35">
      <c r="A38" t="s">
        <v>30</v>
      </c>
      <c r="B38">
        <f ca="1">INDIRECT("'("&amp;$A$4&amp;")'!b38")</f>
        <v>32</v>
      </c>
      <c r="C38">
        <f ca="1">INDIRECT("'("&amp;$A$4&amp;")'!c38")</f>
        <v>36</v>
      </c>
      <c r="E38">
        <f ca="1">INDIRECT("'("&amp;$A$4&amp;")'!e38")</f>
        <v>5</v>
      </c>
      <c r="F38">
        <f ca="1">INDIRECT("'("&amp;$A$4&amp;")'!f38")</f>
        <v>34</v>
      </c>
      <c r="H38">
        <f ca="1">INDIRECT("'("&amp;$A$4&amp;")'!h38")</f>
        <v>0</v>
      </c>
    </row>
    <row r="39" spans="1:8" x14ac:dyDescent="0.35">
      <c r="A39" t="s">
        <v>31</v>
      </c>
      <c r="B39">
        <f ca="1">INDIRECT("'("&amp;$A$4&amp;")'!b39")</f>
        <v>11</v>
      </c>
      <c r="C39">
        <f ca="1">INDIRECT("'("&amp;$A$4&amp;")'!c39")</f>
        <v>28</v>
      </c>
      <c r="E39">
        <f ca="1">INDIRECT("'("&amp;$A$4&amp;")'!e39")</f>
        <v>0</v>
      </c>
      <c r="F39">
        <f ca="1">INDIRECT("'("&amp;$A$4&amp;")'!f39")</f>
        <v>17</v>
      </c>
      <c r="H39">
        <f ca="1">INDIRECT("'("&amp;$A$4&amp;")'!h39")</f>
        <v>19</v>
      </c>
    </row>
    <row r="40" spans="1:8" x14ac:dyDescent="0.35">
      <c r="A40" t="s">
        <v>32</v>
      </c>
      <c r="B40">
        <f ca="1">INDIRECT("'("&amp;$A$4&amp;")'!b40")</f>
        <v>13</v>
      </c>
      <c r="C40">
        <f ca="1">INDIRECT("'("&amp;$A$4&amp;")'!c40")</f>
        <v>18</v>
      </c>
      <c r="E40">
        <f ca="1">INDIRECT("'("&amp;$A$4&amp;")'!e40")</f>
        <v>1</v>
      </c>
      <c r="F40">
        <f ca="1">INDIRECT("'("&amp;$A$4&amp;")'!f40")</f>
        <v>1</v>
      </c>
      <c r="H40">
        <f ca="1">INDIRECT("'("&amp;$A$4&amp;")'!h40")</f>
        <v>8</v>
      </c>
    </row>
    <row r="41" spans="1:8" x14ac:dyDescent="0.35">
      <c r="A41" t="s">
        <v>33</v>
      </c>
      <c r="B41">
        <f ca="1">INDIRECT("'("&amp;$A$4&amp;")'!b41")</f>
        <v>11</v>
      </c>
      <c r="C41">
        <f ca="1">INDIRECT("'("&amp;$A$4&amp;")'!c41")</f>
        <v>20</v>
      </c>
      <c r="E41">
        <f ca="1">INDIRECT("'("&amp;$A$4&amp;")'!e41")</f>
        <v>1</v>
      </c>
      <c r="F41">
        <f ca="1">INDIRECT("'("&amp;$A$4&amp;")'!f41")</f>
        <v>12</v>
      </c>
      <c r="H41">
        <f ca="1">INDIRECT("'("&amp;$A$4&amp;")'!h41")</f>
        <v>2</v>
      </c>
    </row>
    <row r="42" spans="1:8" x14ac:dyDescent="0.35">
      <c r="A42" t="s">
        <v>34</v>
      </c>
      <c r="B42">
        <f ca="1">INDIRECT("'("&amp;$A$4&amp;")'!b42")</f>
        <v>18</v>
      </c>
      <c r="C42">
        <f ca="1">INDIRECT("'("&amp;$A$4&amp;")'!c42")</f>
        <v>40</v>
      </c>
      <c r="E42">
        <f ca="1">INDIRECT("'("&amp;$A$4&amp;")'!e42")</f>
        <v>0</v>
      </c>
      <c r="F42">
        <f ca="1">INDIRECT("'("&amp;$A$4&amp;")'!f42")</f>
        <v>25</v>
      </c>
      <c r="H42">
        <f ca="1">INDIRECT("'("&amp;$A$4&amp;")'!h42")</f>
        <v>2</v>
      </c>
    </row>
    <row r="43" spans="1:8" x14ac:dyDescent="0.35">
      <c r="A43" t="s">
        <v>35</v>
      </c>
      <c r="B43">
        <f ca="1">INDIRECT("'("&amp;$A$4&amp;")'!b43")</f>
        <v>27</v>
      </c>
      <c r="C43">
        <f ca="1">INDIRECT("'("&amp;$A$4&amp;")'!c43")</f>
        <v>28</v>
      </c>
      <c r="E43">
        <f ca="1">INDIRECT("'("&amp;$A$4&amp;")'!e43")</f>
        <v>4</v>
      </c>
      <c r="F43">
        <f ca="1">INDIRECT("'("&amp;$A$4&amp;")'!f43")</f>
        <v>19</v>
      </c>
      <c r="H43">
        <f ca="1">INDIRECT("'("&amp;$A$4&amp;")'!h43")</f>
        <v>3</v>
      </c>
    </row>
    <row r="44" spans="1:8" x14ac:dyDescent="0.35">
      <c r="A44" t="s">
        <v>36</v>
      </c>
      <c r="B44">
        <f ca="1">INDIRECT("'("&amp;$A$4&amp;")'!b44")</f>
        <v>9</v>
      </c>
      <c r="C44">
        <f ca="1">INDIRECT("'("&amp;$A$4&amp;")'!c44")</f>
        <v>20</v>
      </c>
      <c r="E44">
        <f ca="1">INDIRECT("'("&amp;$A$4&amp;")'!e44")</f>
        <v>1</v>
      </c>
      <c r="F44">
        <f ca="1">INDIRECT("'("&amp;$A$4&amp;")'!f44")</f>
        <v>12</v>
      </c>
      <c r="H44">
        <f ca="1">INDIRECT("'("&amp;$A$4&amp;")'!h44")</f>
        <v>1</v>
      </c>
    </row>
    <row r="45" spans="1:8" x14ac:dyDescent="0.35">
      <c r="A45" t="s">
        <v>37</v>
      </c>
      <c r="B45">
        <f ca="1">INDIRECT("'("&amp;$A$4&amp;")'!b45")</f>
        <v>7</v>
      </c>
      <c r="C45">
        <f ca="1">INDIRECT("'("&amp;$A$4&amp;")'!c45")</f>
        <v>15</v>
      </c>
      <c r="E45">
        <f ca="1">INDIRECT("'("&amp;$A$4&amp;")'!e45")</f>
        <v>1</v>
      </c>
      <c r="F45">
        <f ca="1">INDIRECT("'("&amp;$A$4&amp;")'!f45")</f>
        <v>9</v>
      </c>
      <c r="H45">
        <f ca="1">INDIRECT("'("&amp;$A$4&amp;")'!h45")</f>
        <v>1</v>
      </c>
    </row>
    <row r="46" spans="1:8" x14ac:dyDescent="0.35">
      <c r="A46" t="s">
        <v>38</v>
      </c>
      <c r="B46">
        <f ca="1">INDIRECT("'("&amp;$A$4&amp;")'!b46")</f>
        <v>17</v>
      </c>
      <c r="C46">
        <f ca="1">INDIRECT("'("&amp;$A$4&amp;")'!c46")</f>
        <v>9</v>
      </c>
      <c r="E46">
        <f ca="1">INDIRECT("'("&amp;$A$4&amp;")'!e46")</f>
        <v>0</v>
      </c>
      <c r="F46">
        <f ca="1">INDIRECT("'("&amp;$A$4&amp;")'!f46")</f>
        <v>10</v>
      </c>
      <c r="H46">
        <f ca="1">INDIRECT("'("&amp;$A$4&amp;")'!h46")</f>
        <v>0</v>
      </c>
    </row>
    <row r="47" spans="1:8" x14ac:dyDescent="0.35">
      <c r="A47" t="s">
        <v>39</v>
      </c>
      <c r="B47">
        <f ca="1">INDIRECT("'("&amp;$A$4&amp;")'!b47")</f>
        <v>26</v>
      </c>
      <c r="C47">
        <f ca="1">INDIRECT("'("&amp;$A$4&amp;")'!c47")</f>
        <v>18</v>
      </c>
      <c r="E47">
        <f ca="1">INDIRECT("'("&amp;$A$4&amp;")'!e47")</f>
        <v>0</v>
      </c>
      <c r="F47">
        <f ca="1">INDIRECT("'("&amp;$A$4&amp;")'!f47")</f>
        <v>9</v>
      </c>
      <c r="H47">
        <f ca="1">INDIRECT("'("&amp;$A$4&amp;")'!h47")</f>
        <v>0</v>
      </c>
    </row>
    <row r="48" spans="1:8" x14ac:dyDescent="0.35">
      <c r="A48" t="s">
        <v>40</v>
      </c>
      <c r="B48">
        <f ca="1">INDIRECT("'("&amp;$A$4&amp;")'!b48")</f>
        <v>13</v>
      </c>
      <c r="C48">
        <f ca="1">INDIRECT("'("&amp;$A$4&amp;")'!c48")</f>
        <v>24</v>
      </c>
      <c r="E48">
        <f ca="1">INDIRECT("'("&amp;$A$4&amp;")'!e48")</f>
        <v>0</v>
      </c>
      <c r="F48">
        <f ca="1">INDIRECT("'("&amp;$A$4&amp;")'!f48")</f>
        <v>10</v>
      </c>
      <c r="H48">
        <f ca="1">INDIRECT("'("&amp;$A$4&amp;")'!h48")</f>
        <v>0</v>
      </c>
    </row>
    <row r="49" spans="1:8" x14ac:dyDescent="0.35">
      <c r="A49" t="s">
        <v>41</v>
      </c>
      <c r="B49">
        <f ca="1">INDIRECT("'("&amp;$A$4&amp;")'!b49")</f>
        <v>9</v>
      </c>
      <c r="C49">
        <f ca="1">INDIRECT("'("&amp;$A$4&amp;")'!c49")</f>
        <v>5</v>
      </c>
      <c r="E49">
        <f ca="1">INDIRECT("'("&amp;$A$4&amp;")'!e49")</f>
        <v>0</v>
      </c>
      <c r="F49">
        <f ca="1">INDIRECT("'("&amp;$A$4&amp;")'!f49")</f>
        <v>6</v>
      </c>
      <c r="H49">
        <f ca="1">INDIRECT("'("&amp;$A$4&amp;")'!h49")</f>
        <v>11</v>
      </c>
    </row>
    <row r="50" spans="1:8" x14ac:dyDescent="0.35">
      <c r="A50" t="s">
        <v>42</v>
      </c>
      <c r="B50">
        <f ca="1">INDIRECT("'("&amp;$A$4&amp;")'!b50")</f>
        <v>12</v>
      </c>
      <c r="C50">
        <f ca="1">INDIRECT("'("&amp;$A$4&amp;")'!c50")</f>
        <v>14</v>
      </c>
      <c r="E50">
        <f ca="1">INDIRECT("'("&amp;$A$4&amp;")'!e50")</f>
        <v>1</v>
      </c>
      <c r="F50">
        <f ca="1">INDIRECT("'("&amp;$A$4&amp;")'!f50")</f>
        <v>21</v>
      </c>
      <c r="H50">
        <f ca="1">INDIRECT("'("&amp;$A$4&amp;")'!h50")</f>
        <v>0</v>
      </c>
    </row>
    <row r="51" spans="1:8" x14ac:dyDescent="0.35">
      <c r="A51" t="s">
        <v>43</v>
      </c>
      <c r="B51">
        <f ca="1">INDIRECT("'("&amp;$A$4&amp;")'!b51")</f>
        <v>30</v>
      </c>
      <c r="C51">
        <f ca="1">INDIRECT("'("&amp;$A$4&amp;")'!c51")</f>
        <v>20</v>
      </c>
      <c r="E51">
        <f ca="1">INDIRECT("'("&amp;$A$4&amp;")'!e51")</f>
        <v>0</v>
      </c>
      <c r="F51">
        <f ca="1">INDIRECT("'("&amp;$A$4&amp;")'!f51")</f>
        <v>19</v>
      </c>
      <c r="H51">
        <f ca="1">INDIRECT("'("&amp;$A$4&amp;")'!h51")</f>
        <v>0</v>
      </c>
    </row>
    <row r="52" spans="1:8" x14ac:dyDescent="0.35">
      <c r="A52" t="s">
        <v>44</v>
      </c>
      <c r="B52">
        <f ca="1">INDIRECT("'("&amp;$A$4&amp;")'!b52")</f>
        <v>7</v>
      </c>
      <c r="C52">
        <f ca="1">INDIRECT("'("&amp;$A$4&amp;")'!c52")</f>
        <v>10</v>
      </c>
      <c r="E52">
        <f ca="1">INDIRECT("'("&amp;$A$4&amp;")'!e52")</f>
        <v>0</v>
      </c>
      <c r="F52">
        <f ca="1">INDIRECT("'("&amp;$A$4&amp;")'!f52")</f>
        <v>5</v>
      </c>
      <c r="H52">
        <f ca="1">INDIRECT("'("&amp;$A$4&amp;")'!h52")</f>
        <v>0</v>
      </c>
    </row>
    <row r="53" spans="1:8" x14ac:dyDescent="0.35">
      <c r="A53" t="s">
        <v>45</v>
      </c>
      <c r="B53">
        <f ca="1">INDIRECT("'("&amp;$A$4&amp;")'!b53")</f>
        <v>15</v>
      </c>
      <c r="C53">
        <f ca="1">INDIRECT("'("&amp;$A$4&amp;")'!c53")</f>
        <v>26</v>
      </c>
      <c r="E53">
        <f ca="1">INDIRECT("'("&amp;$A$4&amp;")'!e53")</f>
        <v>1</v>
      </c>
      <c r="F53">
        <f ca="1">INDIRECT("'("&amp;$A$4&amp;")'!f53")</f>
        <v>2</v>
      </c>
      <c r="H53">
        <f ca="1">INDIRECT("'("&amp;$A$4&amp;")'!h53")</f>
        <v>0</v>
      </c>
    </row>
    <row r="54" spans="1:8" x14ac:dyDescent="0.35">
      <c r="A54" t="s">
        <v>46</v>
      </c>
      <c r="B54">
        <f ca="1">INDIRECT("'("&amp;$A$4&amp;")'!b54")</f>
        <v>16</v>
      </c>
      <c r="C54">
        <f ca="1">INDIRECT("'("&amp;$A$4&amp;")'!c54")</f>
        <v>26</v>
      </c>
      <c r="E54">
        <f ca="1">INDIRECT("'("&amp;$A$4&amp;")'!e54")</f>
        <v>0</v>
      </c>
      <c r="F54">
        <f ca="1">INDIRECT("'("&amp;$A$4&amp;")'!f54")</f>
        <v>9</v>
      </c>
      <c r="H54">
        <f ca="1">INDIRECT("'("&amp;$A$4&amp;")'!h54")</f>
        <v>3</v>
      </c>
    </row>
    <row r="55" spans="1:8" x14ac:dyDescent="0.35">
      <c r="A55" t="s">
        <v>47</v>
      </c>
      <c r="B55">
        <f ca="1">INDIRECT("'("&amp;$A$4&amp;")'!b55")</f>
        <v>10</v>
      </c>
      <c r="C55">
        <f ca="1">INDIRECT("'("&amp;$A$4&amp;")'!c55")</f>
        <v>10</v>
      </c>
      <c r="E55">
        <f ca="1">INDIRECT("'("&amp;$A$4&amp;")'!e55")</f>
        <v>1</v>
      </c>
      <c r="F55">
        <f ca="1">INDIRECT("'("&amp;$A$4&amp;")'!f55")</f>
        <v>6</v>
      </c>
      <c r="H55">
        <f ca="1">INDIRECT("'("&amp;$A$4&amp;")'!h55")</f>
        <v>2</v>
      </c>
    </row>
    <row r="56" spans="1:8" x14ac:dyDescent="0.35">
      <c r="A56" t="s">
        <v>48</v>
      </c>
      <c r="B56">
        <f ca="1">INDIRECT("'("&amp;$A$4&amp;")'!b56")</f>
        <v>23</v>
      </c>
      <c r="C56">
        <f ca="1">INDIRECT("'("&amp;$A$4&amp;")'!c56")</f>
        <v>41</v>
      </c>
      <c r="E56">
        <f ca="1">INDIRECT("'("&amp;$A$4&amp;")'!e56")</f>
        <v>2</v>
      </c>
      <c r="F56">
        <f ca="1">INDIRECT("'("&amp;$A$4&amp;")'!f56")</f>
        <v>16</v>
      </c>
      <c r="H56">
        <f ca="1">INDIRECT("'("&amp;$A$4&amp;")'!h56")</f>
        <v>1</v>
      </c>
    </row>
    <row r="57" spans="1:8" x14ac:dyDescent="0.35">
      <c r="A57" t="s">
        <v>49</v>
      </c>
      <c r="B57">
        <f ca="1">INDIRECT("'("&amp;$A$4&amp;")'!b57")</f>
        <v>4</v>
      </c>
      <c r="C57">
        <f ca="1">INDIRECT("'("&amp;$A$4&amp;")'!c57")</f>
        <v>11</v>
      </c>
      <c r="E57">
        <f ca="1">INDIRECT("'("&amp;$A$4&amp;")'!e57")</f>
        <v>2</v>
      </c>
      <c r="F57">
        <f ca="1">INDIRECT("'("&amp;$A$4&amp;")'!f57")</f>
        <v>15</v>
      </c>
      <c r="H57">
        <f ca="1">INDIRECT("'("&amp;$A$4&amp;")'!h57")</f>
        <v>0</v>
      </c>
    </row>
    <row r="58" spans="1:8" x14ac:dyDescent="0.35">
      <c r="A58" t="s">
        <v>50</v>
      </c>
      <c r="B58">
        <f ca="1">INDIRECT("'("&amp;$A$4&amp;")'!b58")</f>
        <v>29</v>
      </c>
      <c r="C58">
        <f ca="1">INDIRECT("'("&amp;$A$4&amp;")'!c58")</f>
        <v>33</v>
      </c>
      <c r="E58">
        <f ca="1">INDIRECT("'("&amp;$A$4&amp;")'!e58")</f>
        <v>2</v>
      </c>
      <c r="F58">
        <f ca="1">INDIRECT("'("&amp;$A$4&amp;")'!f58")</f>
        <v>30</v>
      </c>
      <c r="H58">
        <f ca="1">INDIRECT("'("&amp;$A$4&amp;")'!h58")</f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(2010-11)</vt:lpstr>
      <vt:lpstr>(2011-12)</vt:lpstr>
      <vt:lpstr>(2012-13)</vt:lpstr>
      <vt:lpstr>(2013-14)</vt:lpstr>
      <vt:lpstr>(2014-15)</vt:lpstr>
      <vt:lpstr>(2015-16)</vt:lpstr>
      <vt:lpstr>(2016-17)</vt:lpstr>
      <vt:lpstr>(2017-18)</vt:lpstr>
      <vt:lpstr>FIRE1402_working</vt:lpstr>
      <vt:lpstr>FIRE1402</vt:lpstr>
      <vt:lpstr>FRS geographical categories</vt:lpstr>
      <vt:lpstr>FRS_geog_cats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FIRE1402: Accidents occurring to fire and rescue authority vehicles, by fire and rescue authority</dc:title>
  <dc:creator/>
  <cp:lastModifiedBy/>
  <dcterms:created xsi:type="dcterms:W3CDTF">2019-01-29T15:44:24Z</dcterms:created>
  <dcterms:modified xsi:type="dcterms:W3CDTF">2019-01-29T15:46:22Z</dcterms:modified>
  <cp:category>data tables, fire station, fire appliances, fire and rescue authority, 2018, 2019</cp:category>
</cp:coreProperties>
</file>