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tables/table3.xml" ContentType="application/vnd.openxmlformats-officedocument.spreadsheetml.table+xml"/>
  <Override PartName="/xl/queryTables/queryTable3.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filterPrivacy="1" codeName="ThisWorkbook" defaultThemeVersion="124226"/>
  <xr:revisionPtr revIDLastSave="0" documentId="13_ncr:1_{163CF74B-E9CC-48F1-B8E2-7C66CDC5D4E5}" xr6:coauthVersionLast="36" xr6:coauthVersionMax="36" xr10:uidLastSave="{00000000-0000-0000-0000-000000000000}"/>
  <bookViews>
    <workbookView xWindow="0" yWindow="0" windowWidth="28800" windowHeight="11760" tabRatio="934" xr2:uid="{00000000-000D-0000-FFFF-FFFF00000000}"/>
  </bookViews>
  <sheets>
    <sheet name="Cover" sheetId="2" r:id="rId1"/>
    <sheet name="Contents" sheetId="3" r:id="rId2"/>
    <sheet name="Data dictionary" sheetId="12" r:id="rId3"/>
    <sheet name="T1 In-year inspections" sheetId="5" r:id="rId4"/>
    <sheet name="T2 In-year standards" sheetId="9" r:id="rId5"/>
    <sheet name="T3 In-year monitoring" sheetId="10" r:id="rId6"/>
    <sheet name="T4 Most recent inspections" sheetId="6" r:id="rId7"/>
    <sheet name="D1 In-year standard inspections" sheetId="13" r:id="rId8"/>
    <sheet name="D2 In-year monitoring" sheetId="15" r:id="rId9"/>
    <sheet name="D3 Most recent inspections" sheetId="16" r:id="rId10"/>
  </sheets>
  <definedNames>
    <definedName name="_xlnm._FilterDatabase" localSheetId="2" hidden="1">'Data dictionary'!$A$1:$D$1</definedName>
    <definedName name="clu7sql1_ssdb_REPORT_vw_IE_External_MI_InYear" localSheetId="7" hidden="1">'D1 In-year standard inspections'!$A$4:$JQ$146</definedName>
    <definedName name="clu7sql1_ssdb_REPORT_vw_IE_External_MI_InYear_Monitoring_Only" localSheetId="8" hidden="1">'D2 In-year monitoring'!$A$4:$JQ$34</definedName>
    <definedName name="clu7sql1_ssdb_REPORT_vw_IE_External_MI_SON" localSheetId="9" hidden="1">'D3 Most recent inspections'!$A$4:$AA$1100</definedName>
    <definedName name="InYear">'D1 In-year standard inspections'!$A$4:$JQ$1048576</definedName>
    <definedName name="Monitoring">'D2 In-year monitoring'!$A$4:$JQ$1048576</definedName>
    <definedName name="SoN">'D3 Most recent inspections'!$A$4:$AH$1048576</definedName>
  </definedNames>
  <calcPr calcId="191029"/>
  <fileRecoveryPr autoRecover="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5" i="16" l="1"/>
  <c r="A6" i="16"/>
  <c r="A7" i="16"/>
  <c r="A8" i="16"/>
  <c r="A9" i="16"/>
  <c r="A10" i="16"/>
  <c r="A11" i="16"/>
  <c r="A12" i="16"/>
  <c r="A13" i="16"/>
  <c r="A14" i="16"/>
  <c r="A15" i="16"/>
  <c r="A16" i="16"/>
  <c r="A17" i="16"/>
  <c r="A18" i="16"/>
  <c r="A19" i="16"/>
  <c r="A20" i="16"/>
  <c r="A21" i="16"/>
  <c r="A22" i="16"/>
  <c r="A23" i="16"/>
  <c r="A24" i="16"/>
  <c r="A25" i="16"/>
  <c r="A26" i="16"/>
  <c r="A27" i="16"/>
  <c r="A28" i="16"/>
  <c r="A29" i="16"/>
  <c r="A30" i="16"/>
  <c r="A31" i="16"/>
  <c r="A32" i="16"/>
  <c r="A33" i="16"/>
  <c r="A34" i="16"/>
  <c r="A35" i="16"/>
  <c r="A36" i="16"/>
  <c r="A37" i="16"/>
  <c r="A38" i="16"/>
  <c r="A39" i="16"/>
  <c r="A40" i="16"/>
  <c r="A41" i="16"/>
  <c r="A42" i="16"/>
  <c r="A43" i="16"/>
  <c r="A44" i="16"/>
  <c r="A45" i="16"/>
  <c r="A46" i="16"/>
  <c r="A47" i="16"/>
  <c r="A48" i="16"/>
  <c r="A49" i="16"/>
  <c r="A50" i="16"/>
  <c r="A51" i="16"/>
  <c r="A52" i="16"/>
  <c r="A53" i="16"/>
  <c r="A54" i="16"/>
  <c r="A55" i="16"/>
  <c r="A56" i="16"/>
  <c r="A57" i="16"/>
  <c r="A58" i="16"/>
  <c r="A59" i="16"/>
  <c r="A60" i="16"/>
  <c r="A61" i="16"/>
  <c r="A62" i="16"/>
  <c r="A63" i="16"/>
  <c r="A64" i="16"/>
  <c r="A65" i="16"/>
  <c r="A66" i="16"/>
  <c r="A67" i="16"/>
  <c r="A68" i="16"/>
  <c r="A69" i="16"/>
  <c r="A70" i="16"/>
  <c r="A71" i="16"/>
  <c r="A72" i="16"/>
  <c r="A73" i="16"/>
  <c r="A74" i="16"/>
  <c r="A75" i="16"/>
  <c r="A76" i="16"/>
  <c r="A77" i="16"/>
  <c r="A78" i="16"/>
  <c r="A79" i="16"/>
  <c r="A80" i="16"/>
  <c r="A81" i="16"/>
  <c r="A82" i="16"/>
  <c r="A83" i="16"/>
  <c r="A84" i="16"/>
  <c r="A85" i="16"/>
  <c r="A86" i="16"/>
  <c r="A87" i="16"/>
  <c r="A88" i="16"/>
  <c r="A89" i="16"/>
  <c r="A90" i="16"/>
  <c r="A91" i="16"/>
  <c r="A92" i="16"/>
  <c r="A93" i="16"/>
  <c r="A94" i="16"/>
  <c r="A95" i="16"/>
  <c r="A96" i="16"/>
  <c r="A97" i="16"/>
  <c r="A98" i="16"/>
  <c r="A99" i="16"/>
  <c r="A100" i="16"/>
  <c r="A101" i="16"/>
  <c r="A102" i="16"/>
  <c r="A103" i="16"/>
  <c r="A104" i="16"/>
  <c r="A105" i="16"/>
  <c r="A106" i="16"/>
  <c r="A107" i="16"/>
  <c r="A108" i="16"/>
  <c r="A109" i="16"/>
  <c r="A110" i="16"/>
  <c r="A111" i="16"/>
  <c r="A112" i="16"/>
  <c r="A113" i="16"/>
  <c r="A114" i="16"/>
  <c r="A115" i="16"/>
  <c r="A116" i="16"/>
  <c r="A117" i="16"/>
  <c r="A118" i="16"/>
  <c r="A119" i="16"/>
  <c r="A120" i="16"/>
  <c r="A121" i="16"/>
  <c r="A122" i="16"/>
  <c r="A123" i="16"/>
  <c r="A124" i="16"/>
  <c r="A125" i="16"/>
  <c r="A126" i="16"/>
  <c r="A127" i="16"/>
  <c r="A128" i="16"/>
  <c r="A129" i="16"/>
  <c r="A130" i="16"/>
  <c r="A131" i="16"/>
  <c r="A132" i="16"/>
  <c r="A133" i="16"/>
  <c r="A134" i="16"/>
  <c r="A135" i="16"/>
  <c r="A136" i="16"/>
  <c r="A137" i="16"/>
  <c r="A138" i="16"/>
  <c r="A139" i="16"/>
  <c r="A140" i="16"/>
  <c r="A141" i="16"/>
  <c r="A142" i="16"/>
  <c r="A143" i="16"/>
  <c r="A144" i="16"/>
  <c r="A145" i="16"/>
  <c r="A146" i="16"/>
  <c r="A147" i="16"/>
  <c r="A148" i="16"/>
  <c r="A149" i="16"/>
  <c r="A150" i="16"/>
  <c r="A151" i="16"/>
  <c r="A152" i="16"/>
  <c r="A153" i="16"/>
  <c r="A154" i="16"/>
  <c r="A155" i="16"/>
  <c r="A156" i="16"/>
  <c r="A157" i="16"/>
  <c r="A158" i="16"/>
  <c r="A159" i="16"/>
  <c r="A160" i="16"/>
  <c r="A161" i="16"/>
  <c r="A162" i="16"/>
  <c r="A163" i="16"/>
  <c r="A164" i="16"/>
  <c r="A165" i="16"/>
  <c r="A166" i="16"/>
  <c r="A167" i="16"/>
  <c r="A168" i="16"/>
  <c r="A169" i="16"/>
  <c r="A170" i="16"/>
  <c r="A171" i="16"/>
  <c r="A172" i="16"/>
  <c r="A173" i="16"/>
  <c r="A174" i="16"/>
  <c r="A175" i="16"/>
  <c r="A176" i="16"/>
  <c r="A177" i="16"/>
  <c r="A178" i="16"/>
  <c r="A179" i="16"/>
  <c r="A180" i="16"/>
  <c r="A181" i="16"/>
  <c r="A182" i="16"/>
  <c r="A183" i="16"/>
  <c r="A184" i="16"/>
  <c r="A185" i="16"/>
  <c r="A186" i="16"/>
  <c r="A187" i="16"/>
  <c r="A188" i="16"/>
  <c r="A189" i="16"/>
  <c r="A190" i="16"/>
  <c r="A191" i="16"/>
  <c r="A192" i="16"/>
  <c r="A193" i="16"/>
  <c r="A194" i="16"/>
  <c r="A195" i="16"/>
  <c r="A196" i="16"/>
  <c r="A197" i="16"/>
  <c r="A198" i="16"/>
  <c r="A199" i="16"/>
  <c r="A200" i="16"/>
  <c r="A201" i="16"/>
  <c r="A202" i="16"/>
  <c r="A203" i="16"/>
  <c r="A204" i="16"/>
  <c r="A205" i="16"/>
  <c r="A206" i="16"/>
  <c r="A207" i="16"/>
  <c r="A208" i="16"/>
  <c r="A209" i="16"/>
  <c r="A210" i="16"/>
  <c r="A211" i="16"/>
  <c r="A212" i="16"/>
  <c r="A213" i="16"/>
  <c r="A214" i="16"/>
  <c r="A215" i="16"/>
  <c r="A216" i="16"/>
  <c r="A217" i="16"/>
  <c r="A218" i="16"/>
  <c r="A219" i="16"/>
  <c r="A220" i="16"/>
  <c r="A221" i="16"/>
  <c r="A222" i="16"/>
  <c r="A223" i="16"/>
  <c r="A224" i="16"/>
  <c r="A225" i="16"/>
  <c r="A226" i="16"/>
  <c r="A227" i="16"/>
  <c r="A228" i="16"/>
  <c r="A229" i="16"/>
  <c r="A230" i="16"/>
  <c r="A231" i="16"/>
  <c r="A232" i="16"/>
  <c r="A233" i="16"/>
  <c r="A234" i="16"/>
  <c r="A235" i="16"/>
  <c r="A236" i="16"/>
  <c r="A237" i="16"/>
  <c r="A238" i="16"/>
  <c r="A239" i="16"/>
  <c r="A240" i="16"/>
  <c r="A241" i="16"/>
  <c r="A242" i="16"/>
  <c r="A243" i="16"/>
  <c r="A244" i="16"/>
  <c r="A245" i="16"/>
  <c r="A246" i="16"/>
  <c r="A247" i="16"/>
  <c r="A248" i="16"/>
  <c r="A249" i="16"/>
  <c r="A250" i="16"/>
  <c r="A251" i="16"/>
  <c r="A252" i="16"/>
  <c r="A253" i="16"/>
  <c r="A254" i="16"/>
  <c r="A255" i="16"/>
  <c r="A256" i="16"/>
  <c r="A257" i="16"/>
  <c r="A258" i="16"/>
  <c r="A259" i="16"/>
  <c r="A260" i="16"/>
  <c r="A261" i="16"/>
  <c r="A262" i="16"/>
  <c r="A263" i="16"/>
  <c r="A264" i="16"/>
  <c r="A265" i="16"/>
  <c r="A266" i="16"/>
  <c r="A267" i="16"/>
  <c r="A268" i="16"/>
  <c r="A269" i="16"/>
  <c r="A270" i="16"/>
  <c r="A271" i="16"/>
  <c r="A272" i="16"/>
  <c r="A273" i="16"/>
  <c r="A274" i="16"/>
  <c r="A275" i="16"/>
  <c r="A276" i="16"/>
  <c r="A277" i="16"/>
  <c r="A278" i="16"/>
  <c r="A279" i="16"/>
  <c r="A280" i="16"/>
  <c r="A281" i="16"/>
  <c r="A282" i="16"/>
  <c r="A283" i="16"/>
  <c r="A284" i="16"/>
  <c r="A285" i="16"/>
  <c r="A286" i="16"/>
  <c r="A287" i="16"/>
  <c r="A288" i="16"/>
  <c r="A289" i="16"/>
  <c r="A290" i="16"/>
  <c r="A291" i="16"/>
  <c r="A292" i="16"/>
  <c r="A293" i="16"/>
  <c r="A294" i="16"/>
  <c r="A295" i="16"/>
  <c r="A296" i="16"/>
  <c r="A297" i="16"/>
  <c r="A298" i="16"/>
  <c r="A299" i="16"/>
  <c r="A300" i="16"/>
  <c r="A301" i="16"/>
  <c r="A302" i="16"/>
  <c r="A303" i="16"/>
  <c r="A304" i="16"/>
  <c r="A305" i="16"/>
  <c r="A306" i="16"/>
  <c r="A307" i="16"/>
  <c r="A308" i="16"/>
  <c r="A309" i="16"/>
  <c r="A310" i="16"/>
  <c r="A311" i="16"/>
  <c r="A312" i="16"/>
  <c r="A313" i="16"/>
  <c r="A314" i="16"/>
  <c r="A315" i="16"/>
  <c r="A316" i="16"/>
  <c r="A317" i="16"/>
  <c r="A318" i="16"/>
  <c r="A319" i="16"/>
  <c r="A320" i="16"/>
  <c r="A321" i="16"/>
  <c r="A322" i="16"/>
  <c r="A323" i="16"/>
  <c r="A324" i="16"/>
  <c r="A325" i="16"/>
  <c r="A326" i="16"/>
  <c r="A327" i="16"/>
  <c r="A328" i="16"/>
  <c r="A329" i="16"/>
  <c r="A330" i="16"/>
  <c r="A331" i="16"/>
  <c r="A332" i="16"/>
  <c r="A333" i="16"/>
  <c r="A334" i="16"/>
  <c r="A335" i="16"/>
  <c r="A336" i="16"/>
  <c r="A337" i="16"/>
  <c r="A338" i="16"/>
  <c r="A339" i="16"/>
  <c r="A340" i="16"/>
  <c r="A341" i="16"/>
  <c r="A342" i="16"/>
  <c r="A343" i="16"/>
  <c r="A344" i="16"/>
  <c r="A345" i="16"/>
  <c r="A346" i="16"/>
  <c r="A347" i="16"/>
  <c r="A348" i="16"/>
  <c r="A349" i="16"/>
  <c r="A350" i="16"/>
  <c r="A351" i="16"/>
  <c r="A352" i="16"/>
  <c r="A353" i="16"/>
  <c r="A354" i="16"/>
  <c r="A355" i="16"/>
  <c r="A356" i="16"/>
  <c r="A357" i="16"/>
  <c r="A358" i="16"/>
  <c r="A359" i="16"/>
  <c r="A360" i="16"/>
  <c r="A361" i="16"/>
  <c r="A362" i="16"/>
  <c r="A363" i="16"/>
  <c r="A364" i="16"/>
  <c r="A365" i="16"/>
  <c r="A366" i="16"/>
  <c r="A367" i="16"/>
  <c r="A368" i="16"/>
  <c r="A369" i="16"/>
  <c r="A370" i="16"/>
  <c r="A371" i="16"/>
  <c r="A372" i="16"/>
  <c r="A373" i="16"/>
  <c r="A374" i="16"/>
  <c r="A375" i="16"/>
  <c r="A376" i="16"/>
  <c r="A377" i="16"/>
  <c r="A378" i="16"/>
  <c r="A379" i="16"/>
  <c r="A380" i="16"/>
  <c r="A381" i="16"/>
  <c r="A382" i="16"/>
  <c r="A383" i="16"/>
  <c r="A384" i="16"/>
  <c r="A385" i="16"/>
  <c r="A386" i="16"/>
  <c r="A387" i="16"/>
  <c r="A388" i="16"/>
  <c r="A389" i="16"/>
  <c r="A390" i="16"/>
  <c r="A391" i="16"/>
  <c r="A392" i="16"/>
  <c r="A393" i="16"/>
  <c r="A394" i="16"/>
  <c r="A395" i="16"/>
  <c r="A396" i="16"/>
  <c r="A397" i="16"/>
  <c r="A398" i="16"/>
  <c r="A399" i="16"/>
  <c r="A400" i="16"/>
  <c r="A401" i="16"/>
  <c r="A402" i="16"/>
  <c r="A403" i="16"/>
  <c r="A404" i="16"/>
  <c r="A405" i="16"/>
  <c r="A406" i="16"/>
  <c r="A407" i="16"/>
  <c r="A408" i="16"/>
  <c r="A409" i="16"/>
  <c r="A410" i="16"/>
  <c r="A411" i="16"/>
  <c r="A412" i="16"/>
  <c r="A413" i="16"/>
  <c r="A414" i="16"/>
  <c r="A415" i="16"/>
  <c r="A416" i="16"/>
  <c r="A417" i="16"/>
  <c r="A418" i="16"/>
  <c r="A419" i="16"/>
  <c r="A420" i="16"/>
  <c r="A421" i="16"/>
  <c r="A422" i="16"/>
  <c r="A423" i="16"/>
  <c r="A424" i="16"/>
  <c r="A425" i="16"/>
  <c r="A426" i="16"/>
  <c r="A427" i="16"/>
  <c r="A428" i="16"/>
  <c r="A429" i="16"/>
  <c r="A430" i="16"/>
  <c r="A431" i="16"/>
  <c r="A432" i="16"/>
  <c r="A433" i="16"/>
  <c r="A434" i="16"/>
  <c r="A435" i="16"/>
  <c r="A436" i="16"/>
  <c r="A437" i="16"/>
  <c r="A438" i="16"/>
  <c r="A439" i="16"/>
  <c r="A440" i="16"/>
  <c r="A441" i="16"/>
  <c r="A442" i="16"/>
  <c r="A443" i="16"/>
  <c r="A444" i="16"/>
  <c r="A445" i="16"/>
  <c r="A446" i="16"/>
  <c r="A447" i="16"/>
  <c r="A448" i="16"/>
  <c r="A449" i="16"/>
  <c r="A450" i="16"/>
  <c r="A451" i="16"/>
  <c r="A452" i="16"/>
  <c r="A453" i="16"/>
  <c r="A454" i="16"/>
  <c r="A455" i="16"/>
  <c r="A456" i="16"/>
  <c r="A457" i="16"/>
  <c r="A458" i="16"/>
  <c r="A459" i="16"/>
  <c r="A460" i="16"/>
  <c r="A461" i="16"/>
  <c r="A462" i="16"/>
  <c r="A463" i="16"/>
  <c r="A464" i="16"/>
  <c r="A465" i="16"/>
  <c r="A466" i="16"/>
  <c r="A467" i="16"/>
  <c r="A468" i="16"/>
  <c r="A469" i="16"/>
  <c r="A470" i="16"/>
  <c r="A471" i="16"/>
  <c r="A472" i="16"/>
  <c r="A473" i="16"/>
  <c r="A474" i="16"/>
  <c r="A475" i="16"/>
  <c r="A476" i="16"/>
  <c r="A477" i="16"/>
  <c r="A478" i="16"/>
  <c r="A479" i="16"/>
  <c r="A480" i="16"/>
  <c r="A481" i="16"/>
  <c r="A482" i="16"/>
  <c r="A483" i="16"/>
  <c r="A484" i="16"/>
  <c r="A485" i="16"/>
  <c r="A486" i="16"/>
  <c r="A487" i="16"/>
  <c r="A488" i="16"/>
  <c r="A489" i="16"/>
  <c r="A490" i="16"/>
  <c r="A491" i="16"/>
  <c r="A492" i="16"/>
  <c r="A493" i="16"/>
  <c r="A494" i="16"/>
  <c r="A495" i="16"/>
  <c r="A496" i="16"/>
  <c r="A497" i="16"/>
  <c r="A498" i="16"/>
  <c r="A499" i="16"/>
  <c r="A500" i="16"/>
  <c r="A501" i="16"/>
  <c r="A502" i="16"/>
  <c r="A503" i="16"/>
  <c r="A504" i="16"/>
  <c r="A505" i="16"/>
  <c r="A506" i="16"/>
  <c r="A507" i="16"/>
  <c r="A508" i="16"/>
  <c r="A509" i="16"/>
  <c r="A510" i="16"/>
  <c r="A511" i="16"/>
  <c r="A512" i="16"/>
  <c r="A513" i="16"/>
  <c r="A514" i="16"/>
  <c r="A515" i="16"/>
  <c r="A516" i="16"/>
  <c r="A517" i="16"/>
  <c r="A518" i="16"/>
  <c r="A519" i="16"/>
  <c r="A520" i="16"/>
  <c r="A521" i="16"/>
  <c r="A522" i="16"/>
  <c r="A523" i="16"/>
  <c r="A524" i="16"/>
  <c r="A525" i="16"/>
  <c r="A526" i="16"/>
  <c r="A527" i="16"/>
  <c r="A528" i="16"/>
  <c r="A529" i="16"/>
  <c r="A530" i="16"/>
  <c r="A531" i="16"/>
  <c r="A532" i="16"/>
  <c r="A533" i="16"/>
  <c r="A534" i="16"/>
  <c r="A535" i="16"/>
  <c r="A536" i="16"/>
  <c r="A537" i="16"/>
  <c r="A538" i="16"/>
  <c r="A539" i="16"/>
  <c r="A540" i="16"/>
  <c r="A541" i="16"/>
  <c r="A542" i="16"/>
  <c r="A543" i="16"/>
  <c r="A544" i="16"/>
  <c r="A545" i="16"/>
  <c r="A546" i="16"/>
  <c r="A547" i="16"/>
  <c r="A548" i="16"/>
  <c r="A549" i="16"/>
  <c r="A550" i="16"/>
  <c r="A551" i="16"/>
  <c r="A552" i="16"/>
  <c r="A553" i="16"/>
  <c r="A554" i="16"/>
  <c r="A555" i="16"/>
  <c r="A556" i="16"/>
  <c r="A557" i="16"/>
  <c r="A558" i="16"/>
  <c r="A559" i="16"/>
  <c r="A560" i="16"/>
  <c r="A561" i="16"/>
  <c r="A562" i="16"/>
  <c r="A563" i="16"/>
  <c r="A564" i="16"/>
  <c r="A565" i="16"/>
  <c r="A566" i="16"/>
  <c r="A567" i="16"/>
  <c r="A568" i="16"/>
  <c r="A569" i="16"/>
  <c r="A570" i="16"/>
  <c r="A571" i="16"/>
  <c r="A572" i="16"/>
  <c r="A573" i="16"/>
  <c r="A574" i="16"/>
  <c r="A575" i="16"/>
  <c r="A576" i="16"/>
  <c r="A577" i="16"/>
  <c r="A578" i="16"/>
  <c r="A579" i="16"/>
  <c r="A580" i="16"/>
  <c r="A581" i="16"/>
  <c r="A582" i="16"/>
  <c r="A583" i="16"/>
  <c r="A584" i="16"/>
  <c r="A585" i="16"/>
  <c r="A586" i="16"/>
  <c r="A587" i="16"/>
  <c r="A588" i="16"/>
  <c r="A589" i="16"/>
  <c r="A590" i="16"/>
  <c r="A591" i="16"/>
  <c r="A592" i="16"/>
  <c r="A593" i="16"/>
  <c r="A594" i="16"/>
  <c r="A595" i="16"/>
  <c r="A596" i="16"/>
  <c r="A597" i="16"/>
  <c r="A598" i="16"/>
  <c r="A599" i="16"/>
  <c r="A600" i="16"/>
  <c r="A601" i="16"/>
  <c r="A602" i="16"/>
  <c r="A603" i="16"/>
  <c r="A604" i="16"/>
  <c r="A605" i="16"/>
  <c r="A606" i="16"/>
  <c r="A607" i="16"/>
  <c r="A608" i="16"/>
  <c r="A609" i="16"/>
  <c r="A610" i="16"/>
  <c r="A611" i="16"/>
  <c r="A612" i="16"/>
  <c r="A613" i="16"/>
  <c r="A614" i="16"/>
  <c r="A615" i="16"/>
  <c r="A616" i="16"/>
  <c r="A617" i="16"/>
  <c r="A618" i="16"/>
  <c r="A619" i="16"/>
  <c r="A620" i="16"/>
  <c r="A621" i="16"/>
  <c r="A622" i="16"/>
  <c r="A623" i="16"/>
  <c r="A624" i="16"/>
  <c r="A625" i="16"/>
  <c r="A626" i="16"/>
  <c r="A627" i="16"/>
  <c r="A628" i="16"/>
  <c r="A629" i="16"/>
  <c r="A630" i="16"/>
  <c r="A631" i="16"/>
  <c r="A632" i="16"/>
  <c r="A633" i="16"/>
  <c r="A634" i="16"/>
  <c r="A635" i="16"/>
  <c r="A636" i="16"/>
  <c r="A637" i="16"/>
  <c r="A638" i="16"/>
  <c r="A639" i="16"/>
  <c r="A640" i="16"/>
  <c r="A641" i="16"/>
  <c r="A642" i="16"/>
  <c r="A643" i="16"/>
  <c r="A644" i="16"/>
  <c r="A645" i="16"/>
  <c r="A646" i="16"/>
  <c r="A647" i="16"/>
  <c r="A648" i="16"/>
  <c r="A649" i="16"/>
  <c r="A650" i="16"/>
  <c r="A651" i="16"/>
  <c r="A652" i="16"/>
  <c r="A653" i="16"/>
  <c r="A654" i="16"/>
  <c r="A655" i="16"/>
  <c r="A656" i="16"/>
  <c r="A657" i="16"/>
  <c r="A658" i="16"/>
  <c r="A659" i="16"/>
  <c r="A660" i="16"/>
  <c r="A661" i="16"/>
  <c r="A662" i="16"/>
  <c r="A663" i="16"/>
  <c r="A664" i="16"/>
  <c r="A665" i="16"/>
  <c r="A666" i="16"/>
  <c r="A667" i="16"/>
  <c r="A668" i="16"/>
  <c r="A669" i="16"/>
  <c r="A670" i="16"/>
  <c r="A671" i="16"/>
  <c r="A672" i="16"/>
  <c r="A673" i="16"/>
  <c r="A674" i="16"/>
  <c r="A675" i="16"/>
  <c r="A676" i="16"/>
  <c r="A677" i="16"/>
  <c r="A678" i="16"/>
  <c r="A679" i="16"/>
  <c r="A680" i="16"/>
  <c r="A681" i="16"/>
  <c r="A682" i="16"/>
  <c r="A683" i="16"/>
  <c r="A684" i="16"/>
  <c r="A685" i="16"/>
  <c r="A686" i="16"/>
  <c r="A687" i="16"/>
  <c r="A688" i="16"/>
  <c r="A689" i="16"/>
  <c r="A690" i="16"/>
  <c r="A691" i="16"/>
  <c r="A692" i="16"/>
  <c r="A693" i="16"/>
  <c r="A694" i="16"/>
  <c r="A695" i="16"/>
  <c r="A696" i="16"/>
  <c r="A697" i="16"/>
  <c r="A698" i="16"/>
  <c r="A699" i="16"/>
  <c r="A700" i="16"/>
  <c r="A701" i="16"/>
  <c r="A702" i="16"/>
  <c r="A703" i="16"/>
  <c r="A704" i="16"/>
  <c r="A705" i="16"/>
  <c r="A706" i="16"/>
  <c r="A707" i="16"/>
  <c r="A708" i="16"/>
  <c r="A709" i="16"/>
  <c r="A710" i="16"/>
  <c r="A711" i="16"/>
  <c r="A712" i="16"/>
  <c r="A713" i="16"/>
  <c r="A714" i="16"/>
  <c r="A715" i="16"/>
  <c r="A716" i="16"/>
  <c r="A717" i="16"/>
  <c r="A718" i="16"/>
  <c r="A719" i="16"/>
  <c r="A720" i="16"/>
  <c r="A721" i="16"/>
  <c r="A722" i="16"/>
  <c r="A723" i="16"/>
  <c r="A724" i="16"/>
  <c r="A725" i="16"/>
  <c r="A726" i="16"/>
  <c r="A727" i="16"/>
  <c r="A728" i="16"/>
  <c r="A729" i="16"/>
  <c r="A730" i="16"/>
  <c r="A731" i="16"/>
  <c r="A732" i="16"/>
  <c r="A733" i="16"/>
  <c r="A734" i="16"/>
  <c r="A735" i="16"/>
  <c r="A736" i="16"/>
  <c r="A737" i="16"/>
  <c r="A738" i="16"/>
  <c r="A739" i="16"/>
  <c r="A740" i="16"/>
  <c r="A741" i="16"/>
  <c r="A742" i="16"/>
  <c r="A743" i="16"/>
  <c r="A744" i="16"/>
  <c r="A745" i="16"/>
  <c r="A746" i="16"/>
  <c r="A747" i="16"/>
  <c r="A748" i="16"/>
  <c r="A749" i="16"/>
  <c r="A750" i="16"/>
  <c r="A751" i="16"/>
  <c r="A752" i="16"/>
  <c r="A753" i="16"/>
  <c r="A754" i="16"/>
  <c r="A755" i="16"/>
  <c r="A756" i="16"/>
  <c r="A757" i="16"/>
  <c r="A758" i="16"/>
  <c r="A759" i="16"/>
  <c r="A760" i="16"/>
  <c r="A761" i="16"/>
  <c r="A762" i="16"/>
  <c r="A763" i="16"/>
  <c r="A764" i="16"/>
  <c r="A765" i="16"/>
  <c r="A766" i="16"/>
  <c r="A767" i="16"/>
  <c r="A768" i="16"/>
  <c r="A769" i="16"/>
  <c r="A770" i="16"/>
  <c r="A771" i="16"/>
  <c r="A772" i="16"/>
  <c r="A773" i="16"/>
  <c r="A774" i="16"/>
  <c r="A775" i="16"/>
  <c r="A776" i="16"/>
  <c r="A777" i="16"/>
  <c r="A778" i="16"/>
  <c r="A779" i="16"/>
  <c r="A780" i="16"/>
  <c r="A781" i="16"/>
  <c r="A782" i="16"/>
  <c r="A783" i="16"/>
  <c r="A784" i="16"/>
  <c r="A785" i="16"/>
  <c r="A786" i="16"/>
  <c r="A787" i="16"/>
  <c r="A788" i="16"/>
  <c r="A789" i="16"/>
  <c r="A790" i="16"/>
  <c r="A791" i="16"/>
  <c r="A792" i="16"/>
  <c r="A793" i="16"/>
  <c r="A794" i="16"/>
  <c r="A795" i="16"/>
  <c r="A796" i="16"/>
  <c r="A797" i="16"/>
  <c r="A798" i="16"/>
  <c r="A799" i="16"/>
  <c r="A800" i="16"/>
  <c r="A801" i="16"/>
  <c r="A802" i="16"/>
  <c r="A803" i="16"/>
  <c r="A804" i="16"/>
  <c r="A805" i="16"/>
  <c r="A806" i="16"/>
  <c r="A807" i="16"/>
  <c r="A808" i="16"/>
  <c r="A809" i="16"/>
  <c r="A810" i="16"/>
  <c r="A811" i="16"/>
  <c r="A812" i="16"/>
  <c r="A813" i="16"/>
  <c r="A814" i="16"/>
  <c r="A815" i="16"/>
  <c r="A816" i="16"/>
  <c r="A817" i="16"/>
  <c r="A818" i="16"/>
  <c r="A819" i="16"/>
  <c r="A820" i="16"/>
  <c r="A821" i="16"/>
  <c r="A822" i="16"/>
  <c r="A823" i="16"/>
  <c r="A824" i="16"/>
  <c r="A825" i="16"/>
  <c r="A826" i="16"/>
  <c r="A827" i="16"/>
  <c r="A828" i="16"/>
  <c r="A829" i="16"/>
  <c r="A830" i="16"/>
  <c r="A831" i="16"/>
  <c r="A832" i="16"/>
  <c r="A833" i="16"/>
  <c r="A834" i="16"/>
  <c r="A835" i="16"/>
  <c r="A836" i="16"/>
  <c r="A837" i="16"/>
  <c r="A838" i="16"/>
  <c r="A839" i="16"/>
  <c r="A840" i="16"/>
  <c r="A841" i="16"/>
  <c r="A842" i="16"/>
  <c r="A843" i="16"/>
  <c r="A844" i="16"/>
  <c r="A845" i="16"/>
  <c r="A846" i="16"/>
  <c r="A847" i="16"/>
  <c r="A848" i="16"/>
  <c r="A849" i="16"/>
  <c r="A850" i="16"/>
  <c r="A851" i="16"/>
  <c r="A852" i="16"/>
  <c r="A853" i="16"/>
  <c r="A854" i="16"/>
  <c r="A855" i="16"/>
  <c r="A856" i="16"/>
  <c r="A857" i="16"/>
  <c r="A858" i="16"/>
  <c r="A859" i="16"/>
  <c r="A860" i="16"/>
  <c r="A861" i="16"/>
  <c r="A862" i="16"/>
  <c r="A863" i="16"/>
  <c r="A864" i="16"/>
  <c r="A865" i="16"/>
  <c r="A866" i="16"/>
  <c r="A867" i="16"/>
  <c r="A868" i="16"/>
  <c r="A869" i="16"/>
  <c r="A870" i="16"/>
  <c r="A871" i="16"/>
  <c r="A872" i="16"/>
  <c r="A873" i="16"/>
  <c r="A874" i="16"/>
  <c r="A875" i="16"/>
  <c r="A876" i="16"/>
  <c r="A877" i="16"/>
  <c r="A878" i="16"/>
  <c r="A879" i="16"/>
  <c r="A880" i="16"/>
  <c r="A881" i="16"/>
  <c r="A882" i="16"/>
  <c r="A883" i="16"/>
  <c r="A884" i="16"/>
  <c r="A885" i="16"/>
  <c r="A886" i="16"/>
  <c r="A887" i="16"/>
  <c r="A888" i="16"/>
  <c r="A889" i="16"/>
  <c r="A890" i="16"/>
  <c r="A891" i="16"/>
  <c r="A892" i="16"/>
  <c r="A893" i="16"/>
  <c r="A894" i="16"/>
  <c r="A895" i="16"/>
  <c r="A896" i="16"/>
  <c r="A897" i="16"/>
  <c r="A898" i="16"/>
  <c r="A899" i="16"/>
  <c r="A900" i="16"/>
  <c r="A901" i="16"/>
  <c r="A902" i="16"/>
  <c r="A903" i="16"/>
  <c r="A904" i="16"/>
  <c r="A905" i="16"/>
  <c r="A906" i="16"/>
  <c r="A907" i="16"/>
  <c r="A908" i="16"/>
  <c r="A909" i="16"/>
  <c r="A910" i="16"/>
  <c r="A911" i="16"/>
  <c r="A912" i="16"/>
  <c r="A913" i="16"/>
  <c r="A914" i="16"/>
  <c r="A915" i="16"/>
  <c r="A916" i="16"/>
  <c r="A917" i="16"/>
  <c r="A918" i="16"/>
  <c r="A919" i="16"/>
  <c r="A920" i="16"/>
  <c r="A921" i="16"/>
  <c r="A922" i="16"/>
  <c r="A923" i="16"/>
  <c r="A924" i="16"/>
  <c r="A925" i="16"/>
  <c r="A926" i="16"/>
  <c r="A927" i="16"/>
  <c r="A928" i="16"/>
  <c r="A929" i="16"/>
  <c r="A930" i="16"/>
  <c r="A931" i="16"/>
  <c r="A932" i="16"/>
  <c r="A933" i="16"/>
  <c r="A934" i="16"/>
  <c r="A935" i="16"/>
  <c r="A936" i="16"/>
  <c r="A937" i="16"/>
  <c r="A938" i="16"/>
  <c r="A939" i="16"/>
  <c r="A940" i="16"/>
  <c r="A941" i="16"/>
  <c r="A942" i="16"/>
  <c r="A943" i="16"/>
  <c r="A944" i="16"/>
  <c r="A945" i="16"/>
  <c r="A946" i="16"/>
  <c r="A947" i="16"/>
  <c r="A948" i="16"/>
  <c r="A949" i="16"/>
  <c r="A950" i="16"/>
  <c r="A951" i="16"/>
  <c r="A952" i="16"/>
  <c r="A953" i="16"/>
  <c r="A954" i="16"/>
  <c r="A955" i="16"/>
  <c r="A956" i="16"/>
  <c r="A957" i="16"/>
  <c r="A958" i="16"/>
  <c r="A959" i="16"/>
  <c r="A960" i="16"/>
  <c r="A961" i="16"/>
  <c r="A962" i="16"/>
  <c r="A963" i="16"/>
  <c r="A964" i="16"/>
  <c r="A965" i="16"/>
  <c r="A966" i="16"/>
  <c r="A967" i="16"/>
  <c r="A968" i="16"/>
  <c r="A969" i="16"/>
  <c r="A970" i="16"/>
  <c r="A971" i="16"/>
  <c r="A972" i="16"/>
  <c r="A973" i="16"/>
  <c r="A974" i="16"/>
  <c r="A975" i="16"/>
  <c r="A976" i="16"/>
  <c r="A977" i="16"/>
  <c r="A978" i="16"/>
  <c r="A979" i="16"/>
  <c r="A980" i="16"/>
  <c r="A981" i="16"/>
  <c r="A982" i="16"/>
  <c r="A983" i="16"/>
  <c r="A984" i="16"/>
  <c r="A985" i="16"/>
  <c r="A986" i="16"/>
  <c r="A987" i="16"/>
  <c r="A988" i="16"/>
  <c r="A989" i="16"/>
  <c r="A990" i="16"/>
  <c r="A991" i="16"/>
  <c r="A992" i="16"/>
  <c r="A993" i="16"/>
  <c r="A994" i="16"/>
  <c r="A995" i="16"/>
  <c r="A996" i="16"/>
  <c r="A997" i="16"/>
  <c r="A998" i="16"/>
  <c r="A999" i="16"/>
  <c r="A1000" i="16"/>
  <c r="A1001" i="16"/>
  <c r="A1002" i="16"/>
  <c r="A1003" i="16"/>
  <c r="A1004" i="16"/>
  <c r="A1005" i="16"/>
  <c r="A1006" i="16"/>
  <c r="A1007" i="16"/>
  <c r="A1008" i="16"/>
  <c r="A1009" i="16"/>
  <c r="A1010" i="16"/>
  <c r="A1011" i="16"/>
  <c r="A1012" i="16"/>
  <c r="A1013" i="16"/>
  <c r="A1014" i="16"/>
  <c r="A1015" i="16"/>
  <c r="A1016" i="16"/>
  <c r="A1017" i="16"/>
  <c r="A1018" i="16"/>
  <c r="A1019" i="16"/>
  <c r="A1020" i="16"/>
  <c r="A1021" i="16"/>
  <c r="A1022" i="16"/>
  <c r="A1023" i="16"/>
  <c r="A1024" i="16"/>
  <c r="A1025" i="16"/>
  <c r="A1026" i="16"/>
  <c r="A1027" i="16"/>
  <c r="A1028" i="16"/>
  <c r="A1029" i="16"/>
  <c r="A1030" i="16"/>
  <c r="A1031" i="16"/>
  <c r="A1032" i="16"/>
  <c r="A1033" i="16"/>
  <c r="A1034" i="16"/>
  <c r="A1035" i="16"/>
  <c r="A1036" i="16"/>
  <c r="A1037" i="16"/>
  <c r="A1038" i="16"/>
  <c r="A1039" i="16"/>
  <c r="A1040" i="16"/>
  <c r="A1041" i="16"/>
  <c r="A1042" i="16"/>
  <c r="A1043" i="16"/>
  <c r="A1044" i="16"/>
  <c r="A1045" i="16"/>
  <c r="A1046" i="16"/>
  <c r="A1047" i="16"/>
  <c r="A1048" i="16"/>
  <c r="A1049" i="16"/>
  <c r="A1050" i="16"/>
  <c r="A1051" i="16"/>
  <c r="A1052" i="16"/>
  <c r="A1053" i="16"/>
  <c r="A1054" i="16"/>
  <c r="A1055" i="16"/>
  <c r="A1056" i="16"/>
  <c r="A1057" i="16"/>
  <c r="A1058" i="16"/>
  <c r="A1059" i="16"/>
  <c r="A1060" i="16"/>
  <c r="A1061" i="16"/>
  <c r="A1062" i="16"/>
  <c r="A1063" i="16"/>
  <c r="A1064" i="16"/>
  <c r="A1065" i="16"/>
  <c r="A1066" i="16"/>
  <c r="A1067" i="16"/>
  <c r="A1068" i="16"/>
  <c r="A1069" i="16"/>
  <c r="A1070" i="16"/>
  <c r="A1071" i="16"/>
  <c r="A1072" i="16"/>
  <c r="A1073" i="16"/>
  <c r="A1074" i="16"/>
  <c r="A1075" i="16"/>
  <c r="A1076" i="16"/>
  <c r="A1077" i="16"/>
  <c r="A1078" i="16"/>
  <c r="A1079" i="16"/>
  <c r="A1080" i="16"/>
  <c r="A1081" i="16"/>
  <c r="A1082" i="16"/>
  <c r="A1083" i="16"/>
  <c r="A1084" i="16"/>
  <c r="A1085" i="16"/>
  <c r="A1086" i="16"/>
  <c r="A1087" i="16"/>
  <c r="A1088" i="16"/>
  <c r="A1089" i="16"/>
  <c r="A1090" i="16"/>
  <c r="A1091" i="16"/>
  <c r="A1092" i="16"/>
  <c r="A1093" i="16"/>
  <c r="A1094" i="16"/>
  <c r="A1095" i="16"/>
  <c r="A1096" i="16"/>
  <c r="A1097" i="16"/>
  <c r="A1098" i="16"/>
  <c r="A1099" i="16"/>
  <c r="A1100" i="16"/>
  <c r="E27" i="6" l="1"/>
  <c r="D27" i="6"/>
  <c r="E26" i="6"/>
  <c r="D26" i="6"/>
  <c r="A5" i="15" l="1"/>
  <c r="A6" i="15"/>
  <c r="A7" i="15"/>
  <c r="A8" i="15"/>
  <c r="A9" i="15"/>
  <c r="A10" i="15"/>
  <c r="A11" i="15"/>
  <c r="A12" i="15"/>
  <c r="A13" i="15"/>
  <c r="A14" i="15"/>
  <c r="A15" i="15"/>
  <c r="A16" i="15"/>
  <c r="A17" i="15"/>
  <c r="A18" i="15"/>
  <c r="A19" i="15"/>
  <c r="A20" i="15"/>
  <c r="A21" i="15"/>
  <c r="A22" i="15"/>
  <c r="A23" i="15"/>
  <c r="A24" i="15"/>
  <c r="A25" i="15"/>
  <c r="A26" i="15"/>
  <c r="A27" i="15"/>
  <c r="A28" i="15"/>
  <c r="A29" i="15"/>
  <c r="A30" i="15"/>
  <c r="A31" i="15"/>
  <c r="A32" i="15"/>
  <c r="A33" i="15"/>
  <c r="A34" i="15"/>
  <c r="C27" i="6" l="1"/>
  <c r="C26" i="6"/>
  <c r="N9" i="6"/>
  <c r="N8" i="6"/>
  <c r="D9" i="6" l="1"/>
  <c r="D8" i="6"/>
  <c r="Q9" i="6"/>
  <c r="R9" i="6"/>
  <c r="R8" i="6"/>
  <c r="Q8" i="6"/>
  <c r="M9" i="6"/>
  <c r="M8" i="6"/>
  <c r="E9" i="6"/>
  <c r="F9" i="6"/>
  <c r="G9" i="6"/>
  <c r="H9" i="6"/>
  <c r="H8" i="6"/>
  <c r="G8" i="6"/>
  <c r="F8" i="6"/>
  <c r="E8" i="6"/>
  <c r="E37" i="9"/>
  <c r="E36" i="9"/>
  <c r="E35" i="9"/>
  <c r="E34" i="9"/>
  <c r="E33" i="9"/>
  <c r="E32" i="9"/>
  <c r="E31" i="9"/>
  <c r="E30" i="9"/>
  <c r="D37" i="9"/>
  <c r="D36" i="9"/>
  <c r="D35" i="9"/>
  <c r="D34" i="9"/>
  <c r="D33" i="9"/>
  <c r="D32" i="9"/>
  <c r="D31" i="9"/>
  <c r="D30" i="9"/>
  <c r="E26" i="9"/>
  <c r="E25" i="9"/>
  <c r="E24" i="9"/>
  <c r="E23" i="9"/>
  <c r="E22" i="9"/>
  <c r="E21" i="9"/>
  <c r="E20" i="9"/>
  <c r="E19" i="9"/>
  <c r="D26" i="9"/>
  <c r="D25" i="9"/>
  <c r="D24" i="9"/>
  <c r="D23" i="9"/>
  <c r="D22" i="9"/>
  <c r="D21" i="9"/>
  <c r="D20" i="9"/>
  <c r="D19" i="9"/>
  <c r="E15" i="9"/>
  <c r="E14" i="9"/>
  <c r="E13" i="9"/>
  <c r="E12" i="9"/>
  <c r="E11" i="9"/>
  <c r="E10" i="9"/>
  <c r="E9" i="9"/>
  <c r="E8" i="9"/>
  <c r="D15" i="9"/>
  <c r="D14" i="9"/>
  <c r="D13" i="9"/>
  <c r="D12" i="9"/>
  <c r="D11" i="9"/>
  <c r="D10" i="9"/>
  <c r="D9" i="9"/>
  <c r="D8" i="9"/>
  <c r="D8" i="10"/>
  <c r="E8" i="10"/>
  <c r="E7" i="10"/>
  <c r="D7" i="10"/>
  <c r="C8" i="10"/>
  <c r="C7" i="10"/>
  <c r="E29" i="9"/>
  <c r="D29" i="9"/>
  <c r="E18" i="9"/>
  <c r="D18" i="9"/>
  <c r="E7" i="9"/>
  <c r="D7" i="9"/>
  <c r="C9" i="5"/>
  <c r="C36" i="9" s="1"/>
  <c r="C8" i="5"/>
  <c r="C25" i="9" s="1"/>
  <c r="C9" i="6"/>
  <c r="C8" i="6"/>
  <c r="F7" i="6" l="1"/>
  <c r="R7" i="6"/>
  <c r="Q7" i="6"/>
  <c r="E25" i="6"/>
  <c r="D25" i="6"/>
  <c r="C25" i="6"/>
  <c r="N7" i="6"/>
  <c r="M7" i="6"/>
  <c r="H7" i="6"/>
  <c r="G7" i="6"/>
  <c r="E7" i="6"/>
  <c r="C29" i="9"/>
  <c r="C33" i="9"/>
  <c r="C37" i="9"/>
  <c r="C30" i="9"/>
  <c r="C34" i="9"/>
  <c r="C31" i="9"/>
  <c r="C35" i="9"/>
  <c r="C32" i="9"/>
  <c r="C22" i="9"/>
  <c r="C23" i="9"/>
  <c r="C24" i="9"/>
  <c r="C18" i="9"/>
  <c r="C26" i="9"/>
  <c r="C19" i="9"/>
  <c r="C20" i="9"/>
  <c r="C21" i="9"/>
  <c r="E6" i="10"/>
  <c r="D6" i="10"/>
  <c r="C6" i="10"/>
  <c r="M8" i="5"/>
  <c r="M9" i="5"/>
  <c r="L9" i="5"/>
  <c r="L8" i="5"/>
  <c r="D9" i="5"/>
  <c r="E9" i="5"/>
  <c r="F9" i="5"/>
  <c r="G9" i="5"/>
  <c r="G8" i="5"/>
  <c r="F8" i="5"/>
  <c r="E8" i="5"/>
  <c r="D8" i="5"/>
  <c r="A5" i="13"/>
  <c r="A6" i="13"/>
  <c r="A7" i="13"/>
  <c r="A8" i="13"/>
  <c r="A9" i="13"/>
  <c r="A10" i="13"/>
  <c r="A11" i="13"/>
  <c r="A12" i="13"/>
  <c r="A13" i="13"/>
  <c r="A14" i="13"/>
  <c r="A15" i="13"/>
  <c r="A16" i="13"/>
  <c r="A17" i="13"/>
  <c r="A18" i="13"/>
  <c r="A19" i="13"/>
  <c r="A20" i="13"/>
  <c r="A21" i="13"/>
  <c r="A22" i="13"/>
  <c r="A23" i="13"/>
  <c r="A24" i="13"/>
  <c r="A25" i="13"/>
  <c r="A26" i="13"/>
  <c r="A27" i="13"/>
  <c r="A28" i="13"/>
  <c r="A29" i="13"/>
  <c r="A30" i="13"/>
  <c r="A31" i="13"/>
  <c r="A32" i="13"/>
  <c r="A33" i="13"/>
  <c r="A34" i="13"/>
  <c r="A35" i="13"/>
  <c r="A36" i="13"/>
  <c r="A37" i="13"/>
  <c r="A38" i="13"/>
  <c r="A39" i="13"/>
  <c r="A40" i="13"/>
  <c r="A41" i="13"/>
  <c r="A42" i="13"/>
  <c r="A43" i="13"/>
  <c r="A44" i="13"/>
  <c r="A45" i="13"/>
  <c r="A46" i="13"/>
  <c r="A47" i="13"/>
  <c r="A48" i="13"/>
  <c r="A49" i="13"/>
  <c r="A50" i="13"/>
  <c r="A51" i="13"/>
  <c r="A52" i="13"/>
  <c r="A53" i="13"/>
  <c r="A54" i="13"/>
  <c r="A55" i="13"/>
  <c r="A56" i="13"/>
  <c r="A57" i="13"/>
  <c r="A58" i="13"/>
  <c r="A59" i="13"/>
  <c r="A60" i="13"/>
  <c r="A61" i="13"/>
  <c r="A62" i="13"/>
  <c r="A63" i="13"/>
  <c r="A64" i="13"/>
  <c r="A65" i="13"/>
  <c r="A66" i="13"/>
  <c r="A67" i="13"/>
  <c r="A68" i="13"/>
  <c r="A69" i="13"/>
  <c r="A70" i="13"/>
  <c r="A71" i="13"/>
  <c r="A72" i="13"/>
  <c r="A73" i="13"/>
  <c r="A74" i="13"/>
  <c r="A75" i="13"/>
  <c r="A76" i="13"/>
  <c r="A77" i="13"/>
  <c r="A78" i="13"/>
  <c r="A79" i="13"/>
  <c r="A80" i="13"/>
  <c r="A81" i="13"/>
  <c r="A82" i="13"/>
  <c r="A83" i="13"/>
  <c r="A84" i="13"/>
  <c r="A85" i="13"/>
  <c r="A86" i="13"/>
  <c r="A87" i="13"/>
  <c r="A88" i="13"/>
  <c r="A89" i="13"/>
  <c r="A90" i="13"/>
  <c r="A91" i="13"/>
  <c r="A92" i="13"/>
  <c r="A93" i="13"/>
  <c r="A94" i="13"/>
  <c r="A95" i="13"/>
  <c r="A96" i="13"/>
  <c r="A97" i="13"/>
  <c r="A98" i="13"/>
  <c r="A99" i="13"/>
  <c r="A100" i="13"/>
  <c r="A101" i="13"/>
  <c r="A102" i="13"/>
  <c r="A103" i="13"/>
  <c r="A104" i="13"/>
  <c r="A105" i="13"/>
  <c r="A106" i="13"/>
  <c r="A107" i="13"/>
  <c r="A108" i="13"/>
  <c r="A109" i="13"/>
  <c r="A110" i="13"/>
  <c r="A111" i="13"/>
  <c r="A112" i="13"/>
  <c r="A113" i="13"/>
  <c r="A114" i="13"/>
  <c r="A115" i="13"/>
  <c r="A116" i="13"/>
  <c r="A117" i="13"/>
  <c r="A118" i="13"/>
  <c r="A119" i="13"/>
  <c r="A120" i="13"/>
  <c r="A121" i="13"/>
  <c r="A122" i="13"/>
  <c r="A123" i="13"/>
  <c r="A124" i="13"/>
  <c r="A125" i="13"/>
  <c r="A126" i="13"/>
  <c r="A127" i="13"/>
  <c r="A128" i="13"/>
  <c r="A129" i="13"/>
  <c r="A130" i="13"/>
  <c r="A131" i="13"/>
  <c r="A132" i="13"/>
  <c r="A133" i="13"/>
  <c r="A134" i="13"/>
  <c r="A135" i="13"/>
  <c r="A136" i="13"/>
  <c r="A137" i="13"/>
  <c r="A138" i="13"/>
  <c r="A139" i="13"/>
  <c r="A140" i="13"/>
  <c r="A141" i="13"/>
  <c r="A142" i="13"/>
  <c r="A143" i="13"/>
  <c r="A144" i="13"/>
  <c r="A145" i="13"/>
  <c r="A146" i="13"/>
  <c r="L7" i="5" l="1"/>
  <c r="M7" i="5"/>
  <c r="E7" i="5"/>
  <c r="F7" i="5"/>
  <c r="G7" i="5"/>
  <c r="D7" i="5"/>
  <c r="C7" i="5"/>
  <c r="C15" i="9" l="1"/>
  <c r="C11" i="9"/>
  <c r="C7" i="9"/>
  <c r="C14" i="9"/>
  <c r="C10" i="9"/>
  <c r="C13" i="9"/>
  <c r="C9" i="9"/>
  <c r="C12" i="9"/>
  <c r="C8" i="9"/>
  <c r="F26" i="6" l="1"/>
  <c r="G26" i="6"/>
  <c r="F27" i="6"/>
  <c r="G27" i="6"/>
  <c r="F25" i="6"/>
  <c r="G25" i="6"/>
  <c r="B2" i="6" l="1"/>
  <c r="B20" i="6" s="1"/>
  <c r="A2" i="16" l="1"/>
  <c r="B2" i="9" l="1"/>
  <c r="A2" i="15"/>
  <c r="B2" i="10"/>
  <c r="B2" i="5"/>
  <c r="A2" i="13"/>
  <c r="O7" i="6" l="1"/>
  <c r="P7" i="6"/>
  <c r="O8" i="6"/>
  <c r="P8" i="6"/>
  <c r="O9" i="6"/>
  <c r="P9" i="6"/>
  <c r="F37" i="9" l="1"/>
  <c r="F36" i="9"/>
  <c r="F33" i="9"/>
  <c r="F32" i="9"/>
  <c r="F25" i="9"/>
  <c r="F23" i="9"/>
  <c r="F21" i="9"/>
  <c r="F19" i="9"/>
  <c r="F15" i="9"/>
  <c r="F13" i="9"/>
  <c r="F11" i="9"/>
  <c r="F9" i="9"/>
  <c r="F8" i="9" l="1"/>
  <c r="F10" i="9"/>
  <c r="F12" i="9"/>
  <c r="F14" i="9"/>
  <c r="F20" i="9"/>
  <c r="F22" i="9"/>
  <c r="F24" i="9"/>
  <c r="F26" i="9"/>
  <c r="K7" i="5"/>
  <c r="K8" i="5"/>
  <c r="I8" i="5"/>
  <c r="H7" i="5"/>
  <c r="H9" i="5"/>
  <c r="I9" i="5"/>
  <c r="J7" i="5"/>
  <c r="J8" i="5"/>
  <c r="J9" i="5"/>
  <c r="K9" i="5"/>
  <c r="I7" i="5"/>
  <c r="H8" i="5"/>
  <c r="J9" i="6"/>
  <c r="I7" i="6"/>
  <c r="D7" i="6"/>
  <c r="I8" i="6"/>
  <c r="K7" i="6"/>
  <c r="C7" i="6"/>
  <c r="K8" i="6"/>
  <c r="J7" i="6"/>
  <c r="J8" i="6"/>
  <c r="K9" i="6"/>
  <c r="L9" i="6"/>
  <c r="L7" i="6"/>
  <c r="I9" i="6"/>
  <c r="L8" i="6"/>
  <c r="F34" i="9"/>
  <c r="F31" i="9"/>
  <c r="F35" i="9"/>
  <c r="G14" i="9"/>
  <c r="F29" i="9"/>
  <c r="G15" i="9"/>
  <c r="G34" i="9"/>
  <c r="G8" i="9"/>
  <c r="G10" i="9"/>
  <c r="G12" i="9"/>
  <c r="G19" i="9"/>
  <c r="G21" i="9"/>
  <c r="G23" i="9"/>
  <c r="G25" i="9"/>
  <c r="G31" i="9"/>
  <c r="G35" i="9"/>
  <c r="G32" i="9"/>
  <c r="G36" i="9"/>
  <c r="G9" i="9"/>
  <c r="G11" i="9"/>
  <c r="G13" i="9"/>
  <c r="G20" i="9"/>
  <c r="G22" i="9"/>
  <c r="G24" i="9"/>
  <c r="G26" i="9"/>
  <c r="G33" i="9"/>
  <c r="G37" i="9"/>
  <c r="N8" i="5"/>
  <c r="O7" i="5"/>
  <c r="N9" i="5"/>
  <c r="O9" i="5"/>
  <c r="N7" i="5"/>
  <c r="O8" i="5"/>
  <c r="G29" i="9"/>
  <c r="F30" i="9"/>
  <c r="G30" i="9"/>
  <c r="S7" i="6"/>
  <c r="T7" i="6"/>
  <c r="S8" i="6"/>
  <c r="T8" i="6"/>
  <c r="S9" i="6"/>
  <c r="T9" i="6"/>
  <c r="F6" i="10"/>
  <c r="G6" i="10"/>
  <c r="F7" i="10"/>
  <c r="G7" i="10"/>
  <c r="F8" i="10"/>
  <c r="G8" i="10"/>
  <c r="G7" i="9" l="1"/>
  <c r="F18" i="9"/>
  <c r="F7" i="9"/>
  <c r="G18" i="9"/>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lu7sql1_ssdb REPORT vw_IE_External_MI_InYear" type="5" refreshedVersion="6" deleted="1" background="1" saveData="1">
    <dbPr connection="" command="" commandType="3"/>
  </connection>
  <connection id="2" xr16:uid="{00000000-0015-0000-FFFF-FFFF01000000}" keepAlive="1" name="clu7sql1_ssdb REPORT vw_IE_External_MI_InYear_Monitoring_Only" type="5" refreshedVersion="6" deleted="1" background="1" saveData="1">
    <dbPr connection="" command="" commandType="3"/>
  </connection>
  <connection id="3" xr16:uid="{00000000-0015-0000-FFFF-FFFF02000000}" keepAlive="1" name="clu7sql1_ssdb REPORT vw_IE_External_MI_SON" type="5" refreshedVersion="6" deleted="1" background="1" saveData="1">
    <dbPr connection="" command="" commandType="3"/>
  </connection>
</connections>
</file>

<file path=xl/sharedStrings.xml><?xml version="1.0" encoding="utf-8"?>
<sst xmlns="http://schemas.openxmlformats.org/spreadsheetml/2006/main" count="69316" uniqueCount="3122">
  <si>
    <t>Management information</t>
  </si>
  <si>
    <t>Policy area:</t>
  </si>
  <si>
    <t>Theme:</t>
  </si>
  <si>
    <t>Education, children's services and skills</t>
  </si>
  <si>
    <t>Published on:</t>
  </si>
  <si>
    <t>Coverage:</t>
  </si>
  <si>
    <t>England</t>
  </si>
  <si>
    <t>Status:</t>
  </si>
  <si>
    <t>Management Information</t>
  </si>
  <si>
    <t>Statistician:</t>
  </si>
  <si>
    <t>Public enquiries:</t>
  </si>
  <si>
    <t>enquiries@ofsted.gov.uk</t>
  </si>
  <si>
    <t>Press enquiries:</t>
  </si>
  <si>
    <t>pressenquiries@ofsted.gov.uk</t>
  </si>
  <si>
    <t>Link to official statistics release web page:</t>
  </si>
  <si>
    <t xml:space="preserve">You may use and re-use this information (not including logos) free of charge in any format or medium, </t>
  </si>
  <si>
    <t xml:space="preserve">under the terms of the Open Government Licence. </t>
  </si>
  <si>
    <t>To view this licence, visit:</t>
  </si>
  <si>
    <t>http://www.nationalarchives.gov.uk/doc/open-government-licence/</t>
  </si>
  <si>
    <t>Or write to the Information Policy Team, The National Archives, Kew, London, TW9 4DU</t>
  </si>
  <si>
    <t>Or email:</t>
  </si>
  <si>
    <t>psi@nationalarchives.gsi.gov.uk</t>
  </si>
  <si>
    <t>Non-association independent schools inspections and outcomes</t>
  </si>
  <si>
    <t>Anita Patel</t>
  </si>
  <si>
    <t>https://www.gov.uk/government/collections/independent-schools-inspections-and-outcomes</t>
  </si>
  <si>
    <t>Period covered:
In-year inspection outcomes</t>
  </si>
  <si>
    <t>Period covered:
Most recent inspection outcomes</t>
  </si>
  <si>
    <t>Provider type</t>
  </si>
  <si>
    <t>Overall effectiveness</t>
  </si>
  <si>
    <t>Number</t>
  </si>
  <si>
    <t>Percentage</t>
  </si>
  <si>
    <t>Outstanding</t>
  </si>
  <si>
    <t>Requires improvement</t>
  </si>
  <si>
    <t>Inadequate</t>
  </si>
  <si>
    <t>Total number of inspections</t>
  </si>
  <si>
    <t>Good</t>
  </si>
  <si>
    <t>All non-association independent schools</t>
  </si>
  <si>
    <t>Other Independent School</t>
  </si>
  <si>
    <t>Other Independent Special School</t>
  </si>
  <si>
    <t>Report</t>
  </si>
  <si>
    <t>URN</t>
  </si>
  <si>
    <t>LAESTAB</t>
  </si>
  <si>
    <t>Provider name</t>
  </si>
  <si>
    <t>Ofsted region</t>
  </si>
  <si>
    <t>Region</t>
  </si>
  <si>
    <t>Local authority</t>
  </si>
  <si>
    <t>Postcode</t>
  </si>
  <si>
    <t>Inspection number</t>
  </si>
  <si>
    <t>First day of inspection</t>
  </si>
  <si>
    <t>Last day of inspection</t>
  </si>
  <si>
    <t>Publication date</t>
  </si>
  <si>
    <t>Inspection type</t>
  </si>
  <si>
    <t>Effectiveness of leadership and management</t>
  </si>
  <si>
    <t>Personal development, behaviour and welfare</t>
  </si>
  <si>
    <t>Quality of teaching</t>
  </si>
  <si>
    <t>Outcomes for pupils</t>
  </si>
  <si>
    <t>Early years provision</t>
  </si>
  <si>
    <t>Sixth form provision</t>
  </si>
  <si>
    <t>Safeguarding</t>
  </si>
  <si>
    <t>Met</t>
  </si>
  <si>
    <t>Not met</t>
  </si>
  <si>
    <t>Total number inspected</t>
  </si>
  <si>
    <t>Source: Ofsted inspections</t>
  </si>
  <si>
    <t>1. The total number of inspections includes integrated inspections.</t>
  </si>
  <si>
    <t>2. Percentages are rounded and may not add to 100. Where the number of inspections is small, percentages should be treated with caution.</t>
  </si>
  <si>
    <t>Religious character</t>
  </si>
  <si>
    <t>Religious ethos</t>
  </si>
  <si>
    <t>Special needs</t>
  </si>
  <si>
    <t>Inspectorate</t>
  </si>
  <si>
    <t>Dataset 1: Inspection outcomes and standards for non-association independent schools</t>
  </si>
  <si>
    <t>RI and inadequate non-association independent schools subject to one or more progress monitoring inspections</t>
  </si>
  <si>
    <t>Other independent school</t>
  </si>
  <si>
    <t>Other independent special school</t>
  </si>
  <si>
    <t>1. Quality of education provided</t>
  </si>
  <si>
    <t>2. Spiritual, moral, social and cultural development of pupils</t>
  </si>
  <si>
    <t>3. Welfare, health and safety of pupils</t>
  </si>
  <si>
    <t>4. Suitability of staff, supply staff, and proprietors</t>
  </si>
  <si>
    <t>5. Premises of and accommodation at schools</t>
  </si>
  <si>
    <t>6. Provision of information</t>
  </si>
  <si>
    <t>7. Manner in which complaints are handled</t>
  </si>
  <si>
    <t>8. Quality of leadership in and management of schools</t>
  </si>
  <si>
    <t>Outcome for part 1. Quality of education provided</t>
  </si>
  <si>
    <t>Outcome for part 2. Spiritual, moral, social and cultural education of pupils</t>
  </si>
  <si>
    <t>Outcome for part 3. Welfare, health and safety of pupils</t>
  </si>
  <si>
    <t>Outcome for part 4. Suitability of the proprietor, staff and supply staff</t>
  </si>
  <si>
    <t>Outcome for part 5. Premises and accommodation of schools</t>
  </si>
  <si>
    <t>Outcome for part 6. Provision of information for parents, carers and others</t>
  </si>
  <si>
    <t>Outcome for part 7. Manner in which complaints are to be handled</t>
  </si>
  <si>
    <t>Outcome for part 8. Quality of Leadership and Management</t>
  </si>
  <si>
    <t>All standards</t>
  </si>
  <si>
    <t xml:space="preserve">3. In the ‘standards’ columns, ‘met’ means that all of the standards in all eight parts of the Independent Schools Standards have been met. </t>
  </si>
  <si>
    <t>1. In the ‘All standards’ row, ‘met’ means that all of the standards in all eight parts have been met. For each part of the standards, ‘met’ means that all of the Independent Schools Standards have been met in that part.</t>
  </si>
  <si>
    <t>Tables</t>
  </si>
  <si>
    <t xml:space="preserve">A new Common Inspection Framework for education, skills and early years was introduced in September 2015. </t>
  </si>
  <si>
    <t>All judgements made during these inspections have been included in the underlying dataset. There are a number of judgements introduced that do not map to previous frameworks. Please see the Ofsted website for details:</t>
  </si>
  <si>
    <t>https://www.gov.uk/government/publications/common-inspection-framework-education-skills-and-early-years-from-september-2015</t>
  </si>
  <si>
    <t>Description</t>
  </si>
  <si>
    <t>Contents and guidance</t>
  </si>
  <si>
    <t xml:space="preserve">Monthly management information is designed to provide an up to date picture of the most recent inspection of each non-association independent school at local authority and regional level.
These figures have not been reconciled centrally with any Official Statistics. 
</t>
  </si>
  <si>
    <t>Table 1: In-year inspections</t>
  </si>
  <si>
    <t>Table 2: In-year standards</t>
  </si>
  <si>
    <t>Table 3: In-year monitoring</t>
  </si>
  <si>
    <t>Table 4: Most recent inspections</t>
  </si>
  <si>
    <t>Dataset 1: In-year standard inspections</t>
  </si>
  <si>
    <t>Dataset 2: In-year monitoring</t>
  </si>
  <si>
    <t>Dataset 3: Most recent inspections</t>
  </si>
  <si>
    <t>Only those judgements that map to the new inspection framework (introduced in September 2015) have been included in this publication. All other judgements made on inspection can be found in the inspection report using the web link provided.</t>
  </si>
  <si>
    <r>
      <rPr>
        <b/>
        <sz val="12"/>
        <rFont val="Tahoma"/>
        <family val="2"/>
      </rPr>
      <t xml:space="preserve">Guidance
</t>
    </r>
    <r>
      <rPr>
        <sz val="12"/>
        <rFont val="Tahoma"/>
        <family val="2"/>
      </rPr>
      <t xml:space="preserve">
Tables allows the user to filter by Ofsted's phase of education. 
To the top left of Table 1, there is a drop down, shaded in green, where the user can filter the results by the phase of education (All, Nursery, Primary, Secondary, Special and Pupil referral units). Simply choose the phase of education you require.
The underlying dataset has been provided which can also be filtered for further analysis. This dataset includes the main judgements made on inspection, including the overall effectiveness judgements for the school, sixth form or Early years provision, as well as the overall effectiveness of the previous inspection, together with the pupil numbers, where such data are available.
</t>
    </r>
  </si>
  <si>
    <t>Type</t>
  </si>
  <si>
    <t>Field</t>
  </si>
  <si>
    <t>Data range</t>
  </si>
  <si>
    <t>Inspection information</t>
  </si>
  <si>
    <t>Local authority establishment number (Department for Education reference number)</t>
  </si>
  <si>
    <t>Other Independent Special School
Other Independent School</t>
  </si>
  <si>
    <t>Special classes</t>
  </si>
  <si>
    <t>Has special classes
No special classes</t>
  </si>
  <si>
    <t>152 local authorities in England</t>
  </si>
  <si>
    <t>-</t>
  </si>
  <si>
    <t xml:space="preserve"> - </t>
  </si>
  <si>
    <t>Inspection start date</t>
  </si>
  <si>
    <t>Inspection end date</t>
  </si>
  <si>
    <t>Date inspection report published</t>
  </si>
  <si>
    <t>Key judgement outcome</t>
  </si>
  <si>
    <t>1 = Outstanding 
2 = Good
3 = Requires improvement
4 = Inadequate</t>
  </si>
  <si>
    <t>Safeguarding is effective?</t>
  </si>
  <si>
    <t>Independent Schools Standards outcome</t>
  </si>
  <si>
    <t>Met
Not met
Not applicable</t>
  </si>
  <si>
    <t>Yes
No</t>
  </si>
  <si>
    <t>Yes</t>
  </si>
  <si>
    <t>No</t>
  </si>
  <si>
    <t>Independent Schools Standards</t>
  </si>
  <si>
    <t>Overall outcome of progress monitoring inspection</t>
  </si>
  <si>
    <t>Inspection outcome of progress monitoring inspection</t>
  </si>
  <si>
    <t>Met
Not met</t>
  </si>
  <si>
    <t>Organisation ID</t>
  </si>
  <si>
    <t>Provider Group</t>
  </si>
  <si>
    <t>Ofsted Region</t>
  </si>
  <si>
    <t>Government Office Region</t>
  </si>
  <si>
    <t>Local Authority</t>
  </si>
  <si>
    <t>Religious character grouping</t>
  </si>
  <si>
    <t>Special Needs</t>
  </si>
  <si>
    <t>Withheld/Withdrawn information date</t>
  </si>
  <si>
    <t>Inspection grouping</t>
  </si>
  <si>
    <t>Inspection Grouping Name</t>
  </si>
  <si>
    <t>Overall outcome</t>
  </si>
  <si>
    <t>Safeguarding Procedure 1</t>
  </si>
  <si>
    <t>Safeguarding Procedure 2</t>
  </si>
  <si>
    <t>Safeguarding Procedure 3</t>
  </si>
  <si>
    <t>Schedule 10 Equality Act 2010</t>
  </si>
  <si>
    <t>Part 1. Quality of education provided - (Met)</t>
  </si>
  <si>
    <t>Part 1. Quality of education provided - (No response)</t>
  </si>
  <si>
    <t>Part 1. Quality of education provided - (Not applicable)</t>
  </si>
  <si>
    <t>Part 1. Quality of education provided - (Not met)</t>
  </si>
  <si>
    <t>Part 2. Spiritual, moral, social and cultural development of pupils - (Met)</t>
  </si>
  <si>
    <t>Part 2. Spiritual, moral, social and cultural development of pupils - (No response)</t>
  </si>
  <si>
    <t>Part 2. Spiritual, moral, social and cultural development of pupils - (Not applicable)</t>
  </si>
  <si>
    <t>Part 2. Spiritual, moral, social and cultural development of pupils - (Not met)</t>
  </si>
  <si>
    <t>Part 3. Welfare, health and safety of pupils - (Met)</t>
  </si>
  <si>
    <t>Part 3. Welfare, health and safety of pupils - (No response)</t>
  </si>
  <si>
    <t>Part 3. Welfare, health and safety of pupils - (Not applicable)</t>
  </si>
  <si>
    <t>Part 3. Welfare, health and safety of pupils - (Not met)</t>
  </si>
  <si>
    <t>Part 4. Suitability of staff, supply staff, and proprietors - (Met)</t>
  </si>
  <si>
    <t>Part 4. Suitability of staff, supply staff, and proprietors - (No response)</t>
  </si>
  <si>
    <t>Part 4. Suitability of staff, supply staff, and proprietors - (Not applicable)</t>
  </si>
  <si>
    <t>Part 4. Suitability of staff, supply staff, and proprietors - (Not met)</t>
  </si>
  <si>
    <t>Part 5. Premises of and accommodation at schools - (Met)</t>
  </si>
  <si>
    <t>Part 5. Premises of and accommodation at schools - (No response)</t>
  </si>
  <si>
    <t>Part 5. Premises of and accommodation at schools - (Not applicable)</t>
  </si>
  <si>
    <t>Part 5. Premises of and accommodation at schools - (Not met)</t>
  </si>
  <si>
    <t>Part 6. Provision of information - (Met)</t>
  </si>
  <si>
    <t>Part 6. Provision of information - (No response)</t>
  </si>
  <si>
    <t>Part 6. Provision of information - (Not applicable)</t>
  </si>
  <si>
    <t>Part 6. Provision of information - (Not met)</t>
  </si>
  <si>
    <t>Part 7. Manner in which complaints are handled - (Met)</t>
  </si>
  <si>
    <t>Part 7. Manner in which complaints are handled - (No response)</t>
  </si>
  <si>
    <t>Part 7. Manner in which complaints are handled - (Not met)</t>
  </si>
  <si>
    <t>Part 8. Quality of leadership in and management of schools - (Met)</t>
  </si>
  <si>
    <t>Part 8. Quality of leadership in and management of schools - (No response)</t>
  </si>
  <si>
    <t>Part 8. Quality of leadership in and management of schools - (Not met)</t>
  </si>
  <si>
    <t>Little Acorns School</t>
  </si>
  <si>
    <t>Independent special school</t>
  </si>
  <si>
    <t>South East</t>
  </si>
  <si>
    <t>Kent</t>
  </si>
  <si>
    <t>TN30 6SR</t>
  </si>
  <si>
    <t>None</t>
  </si>
  <si>
    <t>Non-denominational</t>
  </si>
  <si>
    <t>Ofsted</t>
  </si>
  <si>
    <t>Independent school Progress Monitoring inspection</t>
  </si>
  <si>
    <t>Independent Additional Visits/Other</t>
  </si>
  <si>
    <t>Met all standards that were checked</t>
  </si>
  <si>
    <t>Not in scope for this inspection</t>
  </si>
  <si>
    <t>Not applicable</t>
  </si>
  <si>
    <t>Amberleigh Therapeutic School</t>
  </si>
  <si>
    <t>West Midlands</t>
  </si>
  <si>
    <t>Shropshire</t>
  </si>
  <si>
    <t>TF2 9NZ</t>
  </si>
  <si>
    <t>Independent School standard inspection</t>
  </si>
  <si>
    <t>Independent Standard Inspection</t>
  </si>
  <si>
    <t>Not Applicable</t>
  </si>
  <si>
    <t>Y</t>
  </si>
  <si>
    <t>New Forest School</t>
  </si>
  <si>
    <t>Hampshire</t>
  </si>
  <si>
    <t>SO45 1FJ</t>
  </si>
  <si>
    <t>No response</t>
  </si>
  <si>
    <t>Aurora Brambles School</t>
  </si>
  <si>
    <t>North West</t>
  </si>
  <si>
    <t>Lancashire</t>
  </si>
  <si>
    <t>PR26 7TB</t>
  </si>
  <si>
    <t>TLG North Birmingham</t>
  </si>
  <si>
    <t>Independent school</t>
  </si>
  <si>
    <t>Birmingham</t>
  </si>
  <si>
    <t>B44 9SH</t>
  </si>
  <si>
    <t>Christian</t>
  </si>
  <si>
    <t>Cambian Northampton School</t>
  </si>
  <si>
    <t>East Midlands</t>
  </si>
  <si>
    <t>Northamptonshire</t>
  </si>
  <si>
    <t>NN2 6LR</t>
  </si>
  <si>
    <t>Did not meet all standards that were checked</t>
  </si>
  <si>
    <t>Not applicable to this setting</t>
  </si>
  <si>
    <t>Jamiatul Uloom Al - Islamia</t>
  </si>
  <si>
    <t>East of England</t>
  </si>
  <si>
    <t>Luton</t>
  </si>
  <si>
    <t>LU3 1RF</t>
  </si>
  <si>
    <t>Muslim</t>
  </si>
  <si>
    <t>Meadowpark School</t>
  </si>
  <si>
    <t>South West</t>
  </si>
  <si>
    <t>Wiltshire</t>
  </si>
  <si>
    <t>SN6 6DD</t>
  </si>
  <si>
    <t>Islamic Shakhsiyah Foundation</t>
  </si>
  <si>
    <t>Slough</t>
  </si>
  <si>
    <t>SL1 2SR</t>
  </si>
  <si>
    <t>Jack and Jill School</t>
  </si>
  <si>
    <t>London</t>
  </si>
  <si>
    <t>Richmond upon Thames</t>
  </si>
  <si>
    <t>TW12 3HX</t>
  </si>
  <si>
    <t>Date Valley School</t>
  </si>
  <si>
    <t>Merton</t>
  </si>
  <si>
    <t>CR4 4LB</t>
  </si>
  <si>
    <t>Educare Small School</t>
  </si>
  <si>
    <t>Kingston upon Thames</t>
  </si>
  <si>
    <t>KT2 6DZ</t>
  </si>
  <si>
    <t>Include - Oxfordshire</t>
  </si>
  <si>
    <t>Oxfordshire</t>
  </si>
  <si>
    <t>OX4 1DD</t>
  </si>
  <si>
    <t>Best Futures</t>
  </si>
  <si>
    <t>North East, Yorkshire and the Humber</t>
  </si>
  <si>
    <t>Yorkshire and the Humber</t>
  </si>
  <si>
    <t>North East Lincolnshire</t>
  </si>
  <si>
    <t>DN37 7AW</t>
  </si>
  <si>
    <t>Independent school standard inspection - first</t>
  </si>
  <si>
    <t>Unity College</t>
  </si>
  <si>
    <t>Buckinghamshire</t>
  </si>
  <si>
    <t>HP12 3AE</t>
  </si>
  <si>
    <t>Froebel House School</t>
  </si>
  <si>
    <t>Kingston upon Hull</t>
  </si>
  <si>
    <t>HU5 3JP</t>
  </si>
  <si>
    <t>Pier View Academy</t>
  </si>
  <si>
    <t>DA12 2AX</t>
  </si>
  <si>
    <t>Alternative Centre of Education</t>
  </si>
  <si>
    <t>Enfield</t>
  </si>
  <si>
    <t>N9 0TZ</t>
  </si>
  <si>
    <t>Phoenix Academy</t>
  </si>
  <si>
    <t>Somerset</t>
  </si>
  <si>
    <t>TA6 6NA</t>
  </si>
  <si>
    <t>Cotswold Chine School</t>
  </si>
  <si>
    <t>Gloucestershire</t>
  </si>
  <si>
    <t>GL6 9AG</t>
  </si>
  <si>
    <t xml:space="preserve">Independent School standard inspection - integrated </t>
  </si>
  <si>
    <t>Chiswick and Bedford Park Preparatory School</t>
  </si>
  <si>
    <t>Hounslow</t>
  </si>
  <si>
    <t>W4 1TX</t>
  </si>
  <si>
    <t>Meredale Independent Primary School</t>
  </si>
  <si>
    <t>Medway</t>
  </si>
  <si>
    <t>ME8 8EB</t>
  </si>
  <si>
    <t>Rossendale School</t>
  </si>
  <si>
    <t>BL0 0RT</t>
  </si>
  <si>
    <t>King Edwin School</t>
  </si>
  <si>
    <t>North East</t>
  </si>
  <si>
    <t>Stockton-on-Tees</t>
  </si>
  <si>
    <t>TS20 1LG</t>
  </si>
  <si>
    <t>Lewis Charlton Learning Centre</t>
  </si>
  <si>
    <t>Leicestershire</t>
  </si>
  <si>
    <t>LE65 1HU</t>
  </si>
  <si>
    <t>The Old School House</t>
  </si>
  <si>
    <t>Cambridgeshire</t>
  </si>
  <si>
    <t>PE14 0HA</t>
  </si>
  <si>
    <t>Jamia Al-Hudaa Residential College</t>
  </si>
  <si>
    <t>Nottingham</t>
  </si>
  <si>
    <t>NG3 5TT</t>
  </si>
  <si>
    <t>St Martin's School</t>
  </si>
  <si>
    <t>Bournemouth</t>
  </si>
  <si>
    <t>BH3 7NA</t>
  </si>
  <si>
    <t>Church of England</t>
  </si>
  <si>
    <t>The Lloyd Williamson School</t>
  </si>
  <si>
    <t>Kensington and Chelsea</t>
  </si>
  <si>
    <t>W10 5SH</t>
  </si>
  <si>
    <t>Felixstowe International College</t>
  </si>
  <si>
    <t>Suffolk</t>
  </si>
  <si>
    <t>IP11 7RE</t>
  </si>
  <si>
    <t>The Independent School</t>
  </si>
  <si>
    <t>Hammersmith and Fulham</t>
  </si>
  <si>
    <t>W6 9AR</t>
  </si>
  <si>
    <t>Al-Muntada Islamic School</t>
  </si>
  <si>
    <t>SW6 4HW</t>
  </si>
  <si>
    <t>Islam</t>
  </si>
  <si>
    <t>Music Stuff</t>
  </si>
  <si>
    <t>Manchester</t>
  </si>
  <si>
    <t>M11 2NA</t>
  </si>
  <si>
    <t>Birmingham Muslim School</t>
  </si>
  <si>
    <t>B11 2PZ</t>
  </si>
  <si>
    <t>Limespring School</t>
  </si>
  <si>
    <t>Barnet</t>
  </si>
  <si>
    <t>N2 9PJ</t>
  </si>
  <si>
    <t>Maple Hayes Hall School</t>
  </si>
  <si>
    <t>Staffordshire</t>
  </si>
  <si>
    <t>WS13 8BL</t>
  </si>
  <si>
    <t>Beth Jacob Grammar School for Girls</t>
  </si>
  <si>
    <t>NW4 2AT</t>
  </si>
  <si>
    <t>Jewish</t>
  </si>
  <si>
    <t>Hazel Hurst School Mapperley Ltd</t>
  </si>
  <si>
    <t>Nottinghamshire</t>
  </si>
  <si>
    <t>NG3 6DG</t>
  </si>
  <si>
    <t>Doucecroft School</t>
  </si>
  <si>
    <t>Essex</t>
  </si>
  <si>
    <t>CO6 3QL</t>
  </si>
  <si>
    <t>Draycott Moor College</t>
  </si>
  <si>
    <t>ST11 9AH</t>
  </si>
  <si>
    <t>Rugeley School</t>
  </si>
  <si>
    <t>WS15 3JQ</t>
  </si>
  <si>
    <t>Al-Ihsaan Community College</t>
  </si>
  <si>
    <t>Leicester</t>
  </si>
  <si>
    <t>LE1 2HX</t>
  </si>
  <si>
    <t>KWS Educational Services</t>
  </si>
  <si>
    <t>Bedford</t>
  </si>
  <si>
    <t>MK41 9TJ</t>
  </si>
  <si>
    <t>The Vine Christian School</t>
  </si>
  <si>
    <t>Wokingham</t>
  </si>
  <si>
    <t>RG7 1AT</t>
  </si>
  <si>
    <t>Al-Markaz Academy</t>
  </si>
  <si>
    <t>Bradford</t>
  </si>
  <si>
    <t>BD7 2JX</t>
  </si>
  <si>
    <t>Bracken School</t>
  </si>
  <si>
    <t>PR4 1YA</t>
  </si>
  <si>
    <t>Elliott Park School</t>
  </si>
  <si>
    <t>ME12 2DP</t>
  </si>
  <si>
    <t>Willow House</t>
  </si>
  <si>
    <t>Stockport</t>
  </si>
  <si>
    <t>SK8 6RF</t>
  </si>
  <si>
    <t>Black Country Wheels School</t>
  </si>
  <si>
    <t>Dudley</t>
  </si>
  <si>
    <t>DY9 7ND</t>
  </si>
  <si>
    <t>Wolfdale School</t>
  </si>
  <si>
    <t>LE7 7BP</t>
  </si>
  <si>
    <t>Sandwell Valley School</t>
  </si>
  <si>
    <t>Sandwell</t>
  </si>
  <si>
    <t>B70 6QT</t>
  </si>
  <si>
    <t>Jameah Academy</t>
  </si>
  <si>
    <t>LE5 3SD</t>
  </si>
  <si>
    <t>Liberty Lodge Independent School</t>
  </si>
  <si>
    <t>IP1 2NY</t>
  </si>
  <si>
    <t>Aurora St Christopher's School</t>
  </si>
  <si>
    <t>Bristol</t>
  </si>
  <si>
    <t>BS6 7JE</t>
  </si>
  <si>
    <t>Dame Catherine Harpur's School</t>
  </si>
  <si>
    <t>Derbyshire</t>
  </si>
  <si>
    <t>DE73 7JW</t>
  </si>
  <si>
    <t>St Wilfrid's School</t>
  </si>
  <si>
    <t>Devon</t>
  </si>
  <si>
    <t>EX4 4DA</t>
  </si>
  <si>
    <t>Hillcrest Jubilee School</t>
  </si>
  <si>
    <t>PO7 7RE</t>
  </si>
  <si>
    <t>Greater Grace School of Christian Education</t>
  </si>
  <si>
    <t>Cheshire West and Chester</t>
  </si>
  <si>
    <t>CH2 4BE</t>
  </si>
  <si>
    <t>Oxford Tutorial College</t>
  </si>
  <si>
    <t>OX1 4HT</t>
  </si>
  <si>
    <t>Valley House</t>
  </si>
  <si>
    <t>Warwickshire</t>
  </si>
  <si>
    <t>CV7 8DL</t>
  </si>
  <si>
    <t>Woodside Lodge Outdoor Learning Centre</t>
  </si>
  <si>
    <t>LE12 8DB</t>
  </si>
  <si>
    <t>Southlands School</t>
  </si>
  <si>
    <t>SO41 5QB</t>
  </si>
  <si>
    <t>Grey House Preparatory School</t>
  </si>
  <si>
    <t>RG27 8PW</t>
  </si>
  <si>
    <t>Andalusia Academy Bristol</t>
  </si>
  <si>
    <t>BS2 0BA</t>
  </si>
  <si>
    <t>Nancy Reuben Primary School</t>
  </si>
  <si>
    <t>NW4 1DJ</t>
  </si>
  <si>
    <t>Bright Futures</t>
  </si>
  <si>
    <t>Warrington</t>
  </si>
  <si>
    <t>WA13 0GH</t>
  </si>
  <si>
    <t>Mountwood Academy</t>
  </si>
  <si>
    <t>PR3 3YB</t>
  </si>
  <si>
    <t>My Choice School-Ocean Pearl</t>
  </si>
  <si>
    <t>West Sussex</t>
  </si>
  <si>
    <t>RH16 1XQ</t>
  </si>
  <si>
    <t>Beis Soroh Schneirer</t>
  </si>
  <si>
    <t>NW9 6AX</t>
  </si>
  <si>
    <t>Somerset Progressive School</t>
  </si>
  <si>
    <t>TA3 5RH</t>
  </si>
  <si>
    <t>Freshsteps</t>
  </si>
  <si>
    <t>EN2 9BQ</t>
  </si>
  <si>
    <t>Darul Uloom Islamic High School</t>
  </si>
  <si>
    <t>B10 0LL</t>
  </si>
  <si>
    <t>Hillcrest Shifnal School</t>
  </si>
  <si>
    <t>TF11 8SD</t>
  </si>
  <si>
    <t>N</t>
  </si>
  <si>
    <t>The Montessori Place</t>
  </si>
  <si>
    <t>Brighton and Hove</t>
  </si>
  <si>
    <t>BN3 3ER</t>
  </si>
  <si>
    <t>St Thomas Garnet's School</t>
  </si>
  <si>
    <t>BH5 2BH</t>
  </si>
  <si>
    <t>Roman Catholic</t>
  </si>
  <si>
    <t>St George's School</t>
  </si>
  <si>
    <t>Central Bedfordshire</t>
  </si>
  <si>
    <t>LU5 4HR</t>
  </si>
  <si>
    <t>St Michael's School</t>
  </si>
  <si>
    <t>RG20 9JW</t>
  </si>
  <si>
    <t>Normanton House School</t>
  </si>
  <si>
    <t>Derby</t>
  </si>
  <si>
    <t>DE23 8DF</t>
  </si>
  <si>
    <t>Lady Nafisa Independent Secondary School for Girls</t>
  </si>
  <si>
    <t>TW3 2AD</t>
  </si>
  <si>
    <t>Saville House School</t>
  </si>
  <si>
    <t>NG19 8AH</t>
  </si>
  <si>
    <t>Tabernacle School</t>
  </si>
  <si>
    <t>W11 4RS</t>
  </si>
  <si>
    <t>The Fulham Preparatory School Limited</t>
  </si>
  <si>
    <t>W14 9SD</t>
  </si>
  <si>
    <t>The Lioncare School</t>
  </si>
  <si>
    <t>BN3 5HD</t>
  </si>
  <si>
    <t>The British Muslim School</t>
  </si>
  <si>
    <t>B70 8NX</t>
  </si>
  <si>
    <t>Eveline Day School</t>
  </si>
  <si>
    <t>Wandsworth</t>
  </si>
  <si>
    <t>SW17 7BQ</t>
  </si>
  <si>
    <t>Claremont School</t>
  </si>
  <si>
    <t>East Sussex</t>
  </si>
  <si>
    <t>TN37 7PW</t>
  </si>
  <si>
    <t>NW7 3RG</t>
  </si>
  <si>
    <t>Inter- / non- denominational</t>
  </si>
  <si>
    <t>Madni Institute</t>
  </si>
  <si>
    <t>SL1 5PR</t>
  </si>
  <si>
    <t>Westfield House School</t>
  </si>
  <si>
    <t>Norfolk</t>
  </si>
  <si>
    <t>PE34 4EX</t>
  </si>
  <si>
    <t>Hillingdon Manor School</t>
  </si>
  <si>
    <t>Hillingdon</t>
  </si>
  <si>
    <t>UB8 3HD</t>
  </si>
  <si>
    <t>Encompass Education</t>
  </si>
  <si>
    <t>BS5 8JU</t>
  </si>
  <si>
    <t>Cambian Chesham House School</t>
  </si>
  <si>
    <t>Bury</t>
  </si>
  <si>
    <t>BL9 6JD</t>
  </si>
  <si>
    <t>Great Howarth School</t>
  </si>
  <si>
    <t>Rochdale</t>
  </si>
  <si>
    <t>OL12 9HJ</t>
  </si>
  <si>
    <t>Lote Tree Primary School</t>
  </si>
  <si>
    <t>Coventry</t>
  </si>
  <si>
    <t>CV6 5JQ</t>
  </si>
  <si>
    <t>Trax Academy</t>
  </si>
  <si>
    <t>FY8 2PP</t>
  </si>
  <si>
    <t>Focus 1st Academy</t>
  </si>
  <si>
    <t>N11 1BA</t>
  </si>
  <si>
    <t>Penarth Group School</t>
  </si>
  <si>
    <t>SK7 6AD</t>
  </si>
  <si>
    <t>Farrowdale House School</t>
  </si>
  <si>
    <t>Oldham</t>
  </si>
  <si>
    <t>OL2 7AD</t>
  </si>
  <si>
    <t>Cambian Tyldesley School</t>
  </si>
  <si>
    <t>Wigan</t>
  </si>
  <si>
    <t>M29 8BS</t>
  </si>
  <si>
    <t>Finchley and Acton Yochien School</t>
  </si>
  <si>
    <t>N3 1UE</t>
  </si>
  <si>
    <t>Fitrah Sips</t>
  </si>
  <si>
    <t>Southampton</t>
  </si>
  <si>
    <t>SO14 0EJ</t>
  </si>
  <si>
    <t>Talmud Torah Yetev Lev</t>
  </si>
  <si>
    <t>Hackney</t>
  </si>
  <si>
    <t>N16 6AX</t>
  </si>
  <si>
    <t>Wize Up</t>
  </si>
  <si>
    <t>Greenwich</t>
  </si>
  <si>
    <t>SE9 6DN</t>
  </si>
  <si>
    <t>Aurora Brambles East School</t>
  </si>
  <si>
    <t>Blackburn with Darwen</t>
  </si>
  <si>
    <t>BB3 2NG</t>
  </si>
  <si>
    <t>Cambian Walnut Tree Lodge School</t>
  </si>
  <si>
    <t>MK44 2PY</t>
  </si>
  <si>
    <t>Etz Chaim School at the Belmont</t>
  </si>
  <si>
    <t>M8 4JY</t>
  </si>
  <si>
    <t>Kinetic Academy</t>
  </si>
  <si>
    <t>Stoke-on-Trent</t>
  </si>
  <si>
    <t>ST3 7DJ</t>
  </si>
  <si>
    <t>Merlin School</t>
  </si>
  <si>
    <t>SW15 2BZ</t>
  </si>
  <si>
    <t>Running Deer</t>
  </si>
  <si>
    <t>TQ13 8PY</t>
  </si>
  <si>
    <t>Hazrat Khadijatul Kubra Girls School</t>
  </si>
  <si>
    <t>B10 0BP</t>
  </si>
  <si>
    <t>Sheridan House School</t>
  </si>
  <si>
    <t>IP26 5LQ</t>
  </si>
  <si>
    <t>Philpots Manor School</t>
  </si>
  <si>
    <t>RH19 4PR</t>
  </si>
  <si>
    <t>Jamiah Madaniyah Primary School</t>
  </si>
  <si>
    <t>Newham</t>
  </si>
  <si>
    <t>E7 8NN</t>
  </si>
  <si>
    <t>Park Avenue Girls' High School</t>
  </si>
  <si>
    <t>ST4 2DT</t>
  </si>
  <si>
    <t>Insufficient evidence – amnesty granted</t>
  </si>
  <si>
    <t>Pulse and Water College</t>
  </si>
  <si>
    <t>SE18 6PF</t>
  </si>
  <si>
    <t>The Priory Woodbourne Hospital School</t>
  </si>
  <si>
    <t>B17 8BY</t>
  </si>
  <si>
    <t>Highgate Hill House School</t>
  </si>
  <si>
    <t>EX22 6TJ</t>
  </si>
  <si>
    <t>Cherwell College Oxford</t>
  </si>
  <si>
    <t>OX1 2AR</t>
  </si>
  <si>
    <t>Hafs Academy</t>
  </si>
  <si>
    <t>E15 1JW</t>
  </si>
  <si>
    <t>Begdale House School</t>
  </si>
  <si>
    <t>PE14 0AZ</t>
  </si>
  <si>
    <t>Glebe House</t>
  </si>
  <si>
    <t>CB21 4QH</t>
  </si>
  <si>
    <t>Hope House School</t>
  </si>
  <si>
    <t>PR4 0HP</t>
  </si>
  <si>
    <t>Unity School</t>
  </si>
  <si>
    <t>ST1 4EU</t>
  </si>
  <si>
    <t>Olive Tree School</t>
  </si>
  <si>
    <t>Lewisham</t>
  </si>
  <si>
    <t>SE13 6NZ</t>
  </si>
  <si>
    <t>Thomas's Kensington</t>
  </si>
  <si>
    <t>W8 5PR</t>
  </si>
  <si>
    <t>Harpurhey Alternative Provision School</t>
  </si>
  <si>
    <t>M9 8AE</t>
  </si>
  <si>
    <t>Heathside Preparatory School</t>
  </si>
  <si>
    <t>Camden</t>
  </si>
  <si>
    <t>NW3 1JA</t>
  </si>
  <si>
    <t>Excellence Christian School</t>
  </si>
  <si>
    <t>Tower Hamlets</t>
  </si>
  <si>
    <t>E2 9DQ</t>
  </si>
  <si>
    <t>Blackford Education (Schools) Ltd T/A the Libra School</t>
  </si>
  <si>
    <t>EX36 3LN</t>
  </si>
  <si>
    <t>Bladon House School</t>
  </si>
  <si>
    <t>DE15 0TA</t>
  </si>
  <si>
    <t>Bloomfield School</t>
  </si>
  <si>
    <t>DY4 9ER</t>
  </si>
  <si>
    <t>Blossom House School</t>
  </si>
  <si>
    <t>KT3 6JJ</t>
  </si>
  <si>
    <t>Cavendish School</t>
  </si>
  <si>
    <t>Southwark</t>
  </si>
  <si>
    <t>SE16 2PA</t>
  </si>
  <si>
    <t>ITS422720</t>
  </si>
  <si>
    <t>Cedar House School</t>
  </si>
  <si>
    <t>North Yorkshire</t>
  </si>
  <si>
    <t>LA2 7DD</t>
  </si>
  <si>
    <t>Centre Academy East Anglia</t>
  </si>
  <si>
    <t>Christian/non-denominational</t>
  </si>
  <si>
    <t>IP7 7QR</t>
  </si>
  <si>
    <t>Centre Academy London</t>
  </si>
  <si>
    <t>SW11 1SH</t>
  </si>
  <si>
    <t>ITS462855</t>
  </si>
  <si>
    <t>Denby Grange School</t>
  </si>
  <si>
    <t>Wakefield</t>
  </si>
  <si>
    <t>WF4 4JG</t>
  </si>
  <si>
    <t>Dove School</t>
  </si>
  <si>
    <t>Barnsley</t>
  </si>
  <si>
    <t>S75 6PP</t>
  </si>
  <si>
    <t>ITS454281</t>
  </si>
  <si>
    <t>Grateley House School</t>
  </si>
  <si>
    <t>SP11 8TA</t>
  </si>
  <si>
    <t>Great Oaks Small School</t>
  </si>
  <si>
    <t>CT12 5FH</t>
  </si>
  <si>
    <t>ITS422618</t>
  </si>
  <si>
    <t>Greenfields School</t>
  </si>
  <si>
    <t>TN27 8BE</t>
  </si>
  <si>
    <t>Aurora Meldreth Manor School</t>
  </si>
  <si>
    <t>SG8 6LG</t>
  </si>
  <si>
    <t>Moorlands View School</t>
  </si>
  <si>
    <t>BB11 5PQ</t>
  </si>
  <si>
    <t>More House School</t>
  </si>
  <si>
    <t>Catholic</t>
  </si>
  <si>
    <t>Surrey</t>
  </si>
  <si>
    <t>GU10 3AP</t>
  </si>
  <si>
    <t>Options Trent Acres School</t>
  </si>
  <si>
    <t>DE13 7HR</t>
  </si>
  <si>
    <t>Kent House Hospital School</t>
  </si>
  <si>
    <t>Bromley</t>
  </si>
  <si>
    <t>BR5 4EP</t>
  </si>
  <si>
    <t>Ellingham Hospital School</t>
  </si>
  <si>
    <t>NR17 1AE</t>
  </si>
  <si>
    <t>Oakwood Learning Centre</t>
  </si>
  <si>
    <t>Darlington</t>
  </si>
  <si>
    <t>DL2 2UH</t>
  </si>
  <si>
    <t>Oakwood School</t>
  </si>
  <si>
    <t>LE3 8DG</t>
  </si>
  <si>
    <t>Cedar Lodge</t>
  </si>
  <si>
    <t>PR2 2YQ</t>
  </si>
  <si>
    <t>Priors Court School</t>
  </si>
  <si>
    <t>West Berkshire</t>
  </si>
  <si>
    <t>RG18 9NU</t>
  </si>
  <si>
    <t>Priory Hurworth House</t>
  </si>
  <si>
    <t>DL2 2AD</t>
  </si>
  <si>
    <t>Prism Independent School</t>
  </si>
  <si>
    <t>BD8 9ES</t>
  </si>
  <si>
    <t>Shaftesbury Extended Learning Centre</t>
  </si>
  <si>
    <t>CV7 8LA</t>
  </si>
  <si>
    <t>ITS443018</t>
  </si>
  <si>
    <t>Shapwick School</t>
  </si>
  <si>
    <t>TA7 9NJ</t>
  </si>
  <si>
    <t>Sheiling School</t>
  </si>
  <si>
    <t>Dorset</t>
  </si>
  <si>
    <t>BH24 2EB</t>
  </si>
  <si>
    <t>Sheiling School (Thornbury)</t>
  </si>
  <si>
    <t>South Gloucestershire</t>
  </si>
  <si>
    <t>BS35 1HP</t>
  </si>
  <si>
    <t>The Beeches Independent School</t>
  </si>
  <si>
    <t>Peterborough</t>
  </si>
  <si>
    <t>PE1 3PB</t>
  </si>
  <si>
    <t>The Birches</t>
  </si>
  <si>
    <t>The Chelsea Group of Children</t>
  </si>
  <si>
    <t>SW18 3QG</t>
  </si>
  <si>
    <t>The Robert Ogden School</t>
  </si>
  <si>
    <t>S63 0BG</t>
  </si>
  <si>
    <t>ITS446377</t>
  </si>
  <si>
    <t>The Serendipity School</t>
  </si>
  <si>
    <t>SO19 6DS</t>
  </si>
  <si>
    <t>The Shires</t>
  </si>
  <si>
    <t>Rutland</t>
  </si>
  <si>
    <t>LE15 7GT</t>
  </si>
  <si>
    <t>The Sybil Elgar School</t>
  </si>
  <si>
    <t>Ealing</t>
  </si>
  <si>
    <t>UB2 4NY</t>
  </si>
  <si>
    <t>Westmorland School</t>
  </si>
  <si>
    <t>PR7 3NQ</t>
  </si>
  <si>
    <t>ITS454264</t>
  </si>
  <si>
    <t>Weston Point College</t>
  </si>
  <si>
    <t>Halton</t>
  </si>
  <si>
    <t>WA7 4UN</t>
  </si>
  <si>
    <t>White Trees Independent School</t>
  </si>
  <si>
    <t>CM23 3SP</t>
  </si>
  <si>
    <t>ITS454306</t>
  </si>
  <si>
    <t xml:space="preserve">Al-Ameen Primary School </t>
  </si>
  <si>
    <t>B11 2JR</t>
  </si>
  <si>
    <t>Al-Aqsa Schools Trust</t>
  </si>
  <si>
    <t>LE5 4PP</t>
  </si>
  <si>
    <t>Al-Ashraf Primary School</t>
  </si>
  <si>
    <t>GL1 4HB</t>
  </si>
  <si>
    <t>Al-Ashraf Secondary School for Girls</t>
  </si>
  <si>
    <t>GL1 4AW</t>
  </si>
  <si>
    <t>Ateres Girls High School</t>
  </si>
  <si>
    <t>Gateshead</t>
  </si>
  <si>
    <t>NE10 9PQ</t>
  </si>
  <si>
    <t>Athelstan House School</t>
  </si>
  <si>
    <t>TW12 2LA</t>
  </si>
  <si>
    <t>S162a - LTI Inspection Historic</t>
  </si>
  <si>
    <t>Auckland College</t>
  </si>
  <si>
    <t>Multi-faith</t>
  </si>
  <si>
    <t>Liverpool</t>
  </si>
  <si>
    <t>L17 4LE</t>
  </si>
  <si>
    <t>Avecinna Academy</t>
  </si>
  <si>
    <t>B9 4BS</t>
  </si>
  <si>
    <t>ITS447300</t>
  </si>
  <si>
    <t>Avicenna Academy</t>
  </si>
  <si>
    <t>Sheffield</t>
  </si>
  <si>
    <t>S9 5DL</t>
  </si>
  <si>
    <t>ITS447249</t>
  </si>
  <si>
    <t>Birtley House Independent School</t>
  </si>
  <si>
    <t>TN15 6AY</t>
  </si>
  <si>
    <t>ITS443150</t>
  </si>
  <si>
    <t>Brighton and Hove Montessori School</t>
  </si>
  <si>
    <t>BN1 6FB</t>
  </si>
  <si>
    <t>ITS422749</t>
  </si>
  <si>
    <t>Christian Fellowship School</t>
  </si>
  <si>
    <t>L7 3HL</t>
  </si>
  <si>
    <t>College Francais Bilingue De Londres</t>
  </si>
  <si>
    <t>NW5 3AX</t>
  </si>
  <si>
    <t>ITS454239</t>
  </si>
  <si>
    <t>David Game College</t>
  </si>
  <si>
    <t>Westminster</t>
  </si>
  <si>
    <t>EC3N 2ET</t>
  </si>
  <si>
    <t>Dormer House School</t>
  </si>
  <si>
    <t>GL56 0AD</t>
  </si>
  <si>
    <t>Doulton House School</t>
  </si>
  <si>
    <t>Lincolnshire</t>
  </si>
  <si>
    <t>NG34 9SJ</t>
  </si>
  <si>
    <t>ITS462987</t>
  </si>
  <si>
    <t>Downham Preparatory School and Montessori Nursery</t>
  </si>
  <si>
    <t>PE34 3HT</t>
  </si>
  <si>
    <t>ITS443466</t>
  </si>
  <si>
    <t>Fletewood School at Derry Villas</t>
  </si>
  <si>
    <t>Seventh Day Adventist</t>
  </si>
  <si>
    <t>Plymouth</t>
  </si>
  <si>
    <t>PL4 6AN</t>
  </si>
  <si>
    <t>Flexible Learning Centre</t>
  </si>
  <si>
    <t>B23 7RJ</t>
  </si>
  <si>
    <t>Footsteps Trust</t>
  </si>
  <si>
    <t>Haringey</t>
  </si>
  <si>
    <t>N17 0SL</t>
  </si>
  <si>
    <t>Henley-in-Arden Montessori Primary School</t>
  </si>
  <si>
    <t>B95 5JP</t>
  </si>
  <si>
    <t>Herington House School</t>
  </si>
  <si>
    <t>CM13 2NS</t>
  </si>
  <si>
    <t>Hessle Mount School</t>
  </si>
  <si>
    <t>East Riding of Yorkshire</t>
  </si>
  <si>
    <t>HU13 0JZ</t>
  </si>
  <si>
    <t>Jamea Al Kauthar</t>
  </si>
  <si>
    <t>LA1 5AJ</t>
  </si>
  <si>
    <t>Lantern of Knowledge Secondary School</t>
  </si>
  <si>
    <t>Waltham Forest</t>
  </si>
  <si>
    <t>E10 6QT</t>
  </si>
  <si>
    <t>Le Herisson School</t>
  </si>
  <si>
    <t>W6 9JT</t>
  </si>
  <si>
    <t>Leeds Christian School of Excellence</t>
  </si>
  <si>
    <t>Leeds</t>
  </si>
  <si>
    <t>LS8 4EX</t>
  </si>
  <si>
    <t>Leeds Menorah School</t>
  </si>
  <si>
    <t>LS17 6HQ</t>
  </si>
  <si>
    <t>CB2 1JE</t>
  </si>
  <si>
    <t>Mander Portman Woodward Independent College</t>
  </si>
  <si>
    <t>B15 3AU</t>
  </si>
  <si>
    <t>ITS443497</t>
  </si>
  <si>
    <t>Maple House School</t>
  </si>
  <si>
    <t>Croydon</t>
  </si>
  <si>
    <t>CR7 8LY</t>
  </si>
  <si>
    <t>ITS408724</t>
  </si>
  <si>
    <t>Maranatha Christian School</t>
  </si>
  <si>
    <t>Swindon</t>
  </si>
  <si>
    <t>SN6 7SQ</t>
  </si>
  <si>
    <t>Northleigh House School</t>
  </si>
  <si>
    <t>CV35 7HZ</t>
  </si>
  <si>
    <t>Oak Heights Independent School</t>
  </si>
  <si>
    <t>TW3 1JS</t>
  </si>
  <si>
    <t>Oak Tree High</t>
  </si>
  <si>
    <t>S4 8DG</t>
  </si>
  <si>
    <t>Oakwood Primary School</t>
  </si>
  <si>
    <t>LU1 3RR</t>
  </si>
  <si>
    <t>Queenswood School</t>
  </si>
  <si>
    <t>LS27 9EB</t>
  </si>
  <si>
    <t>Quwwat Ul Islam Girls' School</t>
  </si>
  <si>
    <t>E7 9NB</t>
  </si>
  <si>
    <t>ITS422770</t>
  </si>
  <si>
    <t>LU4 8AX</t>
  </si>
  <si>
    <t>Ashwicke Hall School</t>
  </si>
  <si>
    <t>SN14 8AG</t>
  </si>
  <si>
    <t>Saint Pierre School</t>
  </si>
  <si>
    <t>Southend on Sea</t>
  </si>
  <si>
    <t>SS9 1LE</t>
  </si>
  <si>
    <t>Sakutu Organisation Montessori</t>
  </si>
  <si>
    <t>Brent</t>
  </si>
  <si>
    <t>NW2 6HL</t>
  </si>
  <si>
    <t>Greenfields Primary School</t>
  </si>
  <si>
    <t>B10 9SN</t>
  </si>
  <si>
    <t>Stella Maris School</t>
  </si>
  <si>
    <t>SK4 3BR</t>
  </si>
  <si>
    <t>Stoneygate School</t>
  </si>
  <si>
    <t>LE8 9DJ</t>
  </si>
  <si>
    <t>Streatham Schools</t>
  </si>
  <si>
    <t>Sefton</t>
  </si>
  <si>
    <t>L23 8UQ</t>
  </si>
  <si>
    <t>StreetVibes Media Academy</t>
  </si>
  <si>
    <t>SE9 1DA</t>
  </si>
  <si>
    <t>Suffah Primary School</t>
  </si>
  <si>
    <t>TW4 5HU</t>
  </si>
  <si>
    <t>ITS316958</t>
  </si>
  <si>
    <t>The Meadows Montessori School</t>
  </si>
  <si>
    <t>IP1 6AR</t>
  </si>
  <si>
    <t>The Mount School</t>
  </si>
  <si>
    <t>Kirklees</t>
  </si>
  <si>
    <t>HD2 2AP</t>
  </si>
  <si>
    <t>The Noam Primary School</t>
  </si>
  <si>
    <t>HA9 8JW</t>
  </si>
  <si>
    <t>ITS420184</t>
  </si>
  <si>
    <t>The Norwegian Kindergarten In London</t>
  </si>
  <si>
    <t>SW20 8AH</t>
  </si>
  <si>
    <t>ITS462894</t>
  </si>
  <si>
    <t>BD5 8HH</t>
  </si>
  <si>
    <t>TLG Reading</t>
  </si>
  <si>
    <t>RG31 4XR</t>
  </si>
  <si>
    <t>ITS462891</t>
  </si>
  <si>
    <t>TLG West London</t>
  </si>
  <si>
    <t>W6 9JJ</t>
  </si>
  <si>
    <t>ITS462889</t>
  </si>
  <si>
    <t>Torah Vodaas</t>
  </si>
  <si>
    <t>NW9 7AJ</t>
  </si>
  <si>
    <t>Twycross House School</t>
  </si>
  <si>
    <t>CV9 3PL</t>
  </si>
  <si>
    <t>Cambridge Street School</t>
  </si>
  <si>
    <t>WF17 5JB</t>
  </si>
  <si>
    <t>Jefferson House</t>
  </si>
  <si>
    <t>CW7 1JT</t>
  </si>
  <si>
    <t>Austen House</t>
  </si>
  <si>
    <t>BB4 5TS</t>
  </si>
  <si>
    <t>Youth Empowerment Education Programme</t>
  </si>
  <si>
    <t>Havering</t>
  </si>
  <si>
    <t>RM13 8EU</t>
  </si>
  <si>
    <t>Riverside Education</t>
  </si>
  <si>
    <t>B33 9BF</t>
  </si>
  <si>
    <t>Blackstone Secondary School</t>
  </si>
  <si>
    <t>OL9 6JN</t>
  </si>
  <si>
    <t>Landmark International School</t>
  </si>
  <si>
    <t>CB21 5EP</t>
  </si>
  <si>
    <t>ASPIRE: Lifeskills Learning Centre</t>
  </si>
  <si>
    <t>LE11 3EB</t>
  </si>
  <si>
    <t>Oak House School</t>
  </si>
  <si>
    <t>Redbridge</t>
  </si>
  <si>
    <t>IG3 9AB</t>
  </si>
  <si>
    <t>Chances Educational Support Services</t>
  </si>
  <si>
    <t>TQ12 2SH</t>
  </si>
  <si>
    <t>Birmingham Independent College</t>
  </si>
  <si>
    <t>B6 5NU</t>
  </si>
  <si>
    <t>London Tutorial College</t>
  </si>
  <si>
    <t>KT6 7AB</t>
  </si>
  <si>
    <t>Old Farm School</t>
  </si>
  <si>
    <t>Redcar and Cleveland</t>
  </si>
  <si>
    <t>TS12 2TZ</t>
  </si>
  <si>
    <t>TLG Chelmsford</t>
  </si>
  <si>
    <t>CM2 0HG</t>
  </si>
  <si>
    <t>Crossley Manor</t>
  </si>
  <si>
    <t>St Helens</t>
  </si>
  <si>
    <t>L35 6NE</t>
  </si>
  <si>
    <t>Rhodes Wood Hospital School</t>
  </si>
  <si>
    <t>Hertfordshire</t>
  </si>
  <si>
    <t>AL9 6NN</t>
  </si>
  <si>
    <t>Lubavitch Yeshiva Ketanah of London</t>
  </si>
  <si>
    <t>Orthodox Jewish</t>
  </si>
  <si>
    <t>NW11 0QB</t>
  </si>
  <si>
    <t>Aurora Redehall School</t>
  </si>
  <si>
    <t>RH6 9QA</t>
  </si>
  <si>
    <t>Gesher Primary Special School</t>
  </si>
  <si>
    <t>NW2 3BS</t>
  </si>
  <si>
    <t>The Anderson School</t>
  </si>
  <si>
    <t>IG7 5AB</t>
  </si>
  <si>
    <t>Progress Schools - Wigan</t>
  </si>
  <si>
    <t>WN1 1RU</t>
  </si>
  <si>
    <t>Bep Academy</t>
  </si>
  <si>
    <t>RM7 0AU</t>
  </si>
  <si>
    <t>ID Academy</t>
  </si>
  <si>
    <t>North Tyneside</t>
  </si>
  <si>
    <t>NE13 6DS</t>
  </si>
  <si>
    <t>The Orchard School</t>
  </si>
  <si>
    <t>BA22 8ST</t>
  </si>
  <si>
    <t>Acorn School</t>
  </si>
  <si>
    <t>EX36 4SA</t>
  </si>
  <si>
    <t>Acorns School</t>
  </si>
  <si>
    <t>SK6 7NN</t>
  </si>
  <si>
    <t>Adventure Care Ltd</t>
  </si>
  <si>
    <t>SK17 0TJ</t>
  </si>
  <si>
    <t>ITS462942</t>
  </si>
  <si>
    <t>Aidenswood</t>
  </si>
  <si>
    <t>Cheshire East</t>
  </si>
  <si>
    <t>CW12 4ED</t>
  </si>
  <si>
    <t>Aim Habonim</t>
  </si>
  <si>
    <t>Salford</t>
  </si>
  <si>
    <t>M7 4NX</t>
  </si>
  <si>
    <t>ITS464320</t>
  </si>
  <si>
    <t>Brambles School</t>
  </si>
  <si>
    <t>Tameside</t>
  </si>
  <si>
    <t>SK14 6NT</t>
  </si>
  <si>
    <t>Bramfield House School</t>
  </si>
  <si>
    <t>IP19 9AB</t>
  </si>
  <si>
    <t>Brantwood Specialist School</t>
  </si>
  <si>
    <t>S7 1NU</t>
  </si>
  <si>
    <t>Chilworth House Upper School</t>
  </si>
  <si>
    <t>OX33 1JP</t>
  </si>
  <si>
    <t>Clannad Education Centre</t>
  </si>
  <si>
    <t>SP1 3UT</t>
  </si>
  <si>
    <t>Clarence High School</t>
  </si>
  <si>
    <t>L37 7AZ</t>
  </si>
  <si>
    <t>Clay Hill School</t>
  </si>
  <si>
    <t>SO43 7DE</t>
  </si>
  <si>
    <t>Eden Park Academy</t>
  </si>
  <si>
    <t>LS11 7EN</t>
  </si>
  <si>
    <t>Progress Schools - Northamptonshire</t>
  </si>
  <si>
    <t>NN1 2BG</t>
  </si>
  <si>
    <t>Catch 22</t>
  </si>
  <si>
    <t>NG24 4UT</t>
  </si>
  <si>
    <t>Progress Schools - Buckinghamshire</t>
  </si>
  <si>
    <t>HP12 4JG</t>
  </si>
  <si>
    <t>Gretton School</t>
  </si>
  <si>
    <t>CB3 0RX</t>
  </si>
  <si>
    <t>Gryphon School</t>
  </si>
  <si>
    <t>LE12 8BQ</t>
  </si>
  <si>
    <t>Halton House School</t>
  </si>
  <si>
    <t>WA7 3EW</t>
  </si>
  <si>
    <t>Halton School</t>
  </si>
  <si>
    <t>WA7 2AN</t>
  </si>
  <si>
    <t>Howard House</t>
  </si>
  <si>
    <t>Northumberland</t>
  </si>
  <si>
    <t>NE22 6BB</t>
  </si>
  <si>
    <t>Huntercombe Hospital School Cotswold Spa</t>
  </si>
  <si>
    <t>Worcestershire</t>
  </si>
  <si>
    <t>WR12 7DE</t>
  </si>
  <si>
    <t>Huntercombe Hospital School Stafford</t>
  </si>
  <si>
    <t>ST19 9QT</t>
  </si>
  <si>
    <t>Hythe House Education</t>
  </si>
  <si>
    <t>ME12 2AP</t>
  </si>
  <si>
    <t>ITS454271</t>
  </si>
  <si>
    <t>Knole Development Centre</t>
  </si>
  <si>
    <t>TN15 0JR</t>
  </si>
  <si>
    <t>Knowl Hill School</t>
  </si>
  <si>
    <t>GU24 0JN</t>
  </si>
  <si>
    <t>Lakeside School</t>
  </si>
  <si>
    <t>L27 2YA</t>
  </si>
  <si>
    <t>Lawrence House School</t>
  </si>
  <si>
    <t>Knowsley</t>
  </si>
  <si>
    <t>My Choice School - Maple House</t>
  </si>
  <si>
    <t>ITS410898</t>
  </si>
  <si>
    <t>My Choice School - Oak House</t>
  </si>
  <si>
    <t>National Institute for Conductive Education</t>
  </si>
  <si>
    <t>B13 8RD</t>
  </si>
  <si>
    <t>3 Dimensions</t>
  </si>
  <si>
    <t>TA20 3AJ</t>
  </si>
  <si>
    <t>ITS464256</t>
  </si>
  <si>
    <t xml:space="preserve">Access School </t>
  </si>
  <si>
    <t>SY4 3EW</t>
  </si>
  <si>
    <t>Acorn Cottage</t>
  </si>
  <si>
    <t>IP7 6NY</t>
  </si>
  <si>
    <t>Acorn Park School</t>
  </si>
  <si>
    <t>NR16 2HU</t>
  </si>
  <si>
    <t>Blue Mountain Education</t>
  </si>
  <si>
    <t>NG16 2SD</t>
  </si>
  <si>
    <t>Blue Skies School</t>
  </si>
  <si>
    <t>ME4 6DQ</t>
  </si>
  <si>
    <t>Bradshaw Farm Independent School</t>
  </si>
  <si>
    <t>SK17 0QY</t>
  </si>
  <si>
    <t>ITS446278</t>
  </si>
  <si>
    <t>Chartwell House School</t>
  </si>
  <si>
    <t>PE13 5HQ</t>
  </si>
  <si>
    <t>ITS450700</t>
  </si>
  <si>
    <t>Quay View School</t>
  </si>
  <si>
    <t>PL20 7EX</t>
  </si>
  <si>
    <t>ITS462861</t>
  </si>
  <si>
    <t>Chiltern Tutorial School</t>
  </si>
  <si>
    <t>SO21 2ET</t>
  </si>
  <si>
    <t>Chilworth House School</t>
  </si>
  <si>
    <t>Eagle House School</t>
  </si>
  <si>
    <t>CR4 3HD</t>
  </si>
  <si>
    <t>Eagle House School Sutton</t>
  </si>
  <si>
    <t>Sutton</t>
  </si>
  <si>
    <t>SM2 5SJ</t>
  </si>
  <si>
    <t>ITS420201</t>
  </si>
  <si>
    <t>East London Independent Special School</t>
  </si>
  <si>
    <t>E15 4HT</t>
  </si>
  <si>
    <t>ITS422826</t>
  </si>
  <si>
    <t>Eastwood Grange School</t>
  </si>
  <si>
    <t>S45 0BA</t>
  </si>
  <si>
    <t>Cumbria</t>
  </si>
  <si>
    <t>CA1 1JZ</t>
  </si>
  <si>
    <t>Cambian Hartlepool School</t>
  </si>
  <si>
    <t>Hartlepool</t>
  </si>
  <si>
    <t>TS25 1NN</t>
  </si>
  <si>
    <t>ITS454284</t>
  </si>
  <si>
    <t>Haskel School</t>
  </si>
  <si>
    <t>NE8 4DR</t>
  </si>
  <si>
    <t>Headstart</t>
  </si>
  <si>
    <t>TN33 9EG</t>
  </si>
  <si>
    <t>Heath Farm School</t>
  </si>
  <si>
    <t>TN27 0AX</t>
  </si>
  <si>
    <t>Helen Allison School</t>
  </si>
  <si>
    <t>DA13 0EW</t>
  </si>
  <si>
    <t>Independent Educational Services</t>
  </si>
  <si>
    <t>CV10 8JH</t>
  </si>
  <si>
    <t>ITS422866</t>
  </si>
  <si>
    <t>Insights Independent School</t>
  </si>
  <si>
    <t>W13 0NP</t>
  </si>
  <si>
    <t>Inspired Directions School</t>
  </si>
  <si>
    <t>E8 3AZ</t>
  </si>
  <si>
    <t>ITS462895</t>
  </si>
  <si>
    <t>ISP School (Kent)</t>
  </si>
  <si>
    <t>ME10 3EG</t>
  </si>
  <si>
    <t>J.A.M.E.S</t>
  </si>
  <si>
    <t>BD9 4JB</t>
  </si>
  <si>
    <t>ITS447291</t>
  </si>
  <si>
    <t>Longdon Hall School</t>
  </si>
  <si>
    <t>WS15 4PT</t>
  </si>
  <si>
    <t>ITS393267</t>
  </si>
  <si>
    <t>Longdon Park School</t>
  </si>
  <si>
    <t>DE65 6GU</t>
  </si>
  <si>
    <t>LVS Hassocks</t>
  </si>
  <si>
    <t>BN6 9HT</t>
  </si>
  <si>
    <t>LVS Oxford</t>
  </si>
  <si>
    <t>OX5 1RX</t>
  </si>
  <si>
    <t>ITS462901</t>
  </si>
  <si>
    <t>Macintyre School</t>
  </si>
  <si>
    <t>HP22 4PA</t>
  </si>
  <si>
    <t>Oliver House School</t>
  </si>
  <si>
    <t>PR7 1XA</t>
  </si>
  <si>
    <t>Olsen House School</t>
  </si>
  <si>
    <t>L23 5TD</t>
  </si>
  <si>
    <t>On Track Education Centre (Mildenhall)</t>
  </si>
  <si>
    <t>IP28 7RD</t>
  </si>
  <si>
    <t>On Track Education Centre Northants</t>
  </si>
  <si>
    <t>NN3 6QB</t>
  </si>
  <si>
    <t>Belmont School</t>
  </si>
  <si>
    <t>BB4 6RX</t>
  </si>
  <si>
    <t>ITS463003</t>
  </si>
  <si>
    <t>Benjamin College</t>
  </si>
  <si>
    <t>HP19 7AR</t>
  </si>
  <si>
    <t>ITS422794</t>
  </si>
  <si>
    <t>Cambian Home Tree School</t>
  </si>
  <si>
    <t>PE14 0LP</t>
  </si>
  <si>
    <t>Cambian New Elizabethan School</t>
  </si>
  <si>
    <t>DY11 7TE</t>
  </si>
  <si>
    <t>Cambian Scarborough School</t>
  </si>
  <si>
    <t>YO11 3BQ</t>
  </si>
  <si>
    <t>ITS463007</t>
  </si>
  <si>
    <t>Cambian Somerset School</t>
  </si>
  <si>
    <t>TA3 5PX</t>
  </si>
  <si>
    <t>ITS454261</t>
  </si>
  <si>
    <t>Cruckton Hall School</t>
  </si>
  <si>
    <t>SY5 8PR</t>
  </si>
  <si>
    <t>Cumberland School</t>
  </si>
  <si>
    <t>PR5 6EP</t>
  </si>
  <si>
    <t>ITS463013</t>
  </si>
  <si>
    <t>Darwin School</t>
  </si>
  <si>
    <t>W6 9RU</t>
  </si>
  <si>
    <t>Demeter House</t>
  </si>
  <si>
    <t>North Lincolnshire</t>
  </si>
  <si>
    <t>DN20 8EF</t>
  </si>
  <si>
    <t>Future Education</t>
  </si>
  <si>
    <t>NR5 8EG</t>
  </si>
  <si>
    <t>Gable End</t>
  </si>
  <si>
    <t>IP7 7NL</t>
  </si>
  <si>
    <t>Get U Started Training</t>
  </si>
  <si>
    <t>NE63 8SF</t>
  </si>
  <si>
    <t>Gloucester House, The Tavistock Children's Day Unit</t>
  </si>
  <si>
    <t>NW3 5BU</t>
  </si>
  <si>
    <t>iMap Centre</t>
  </si>
  <si>
    <t>CH3 7JA</t>
  </si>
  <si>
    <t>Inaura School</t>
  </si>
  <si>
    <t>TA7 0RB</t>
  </si>
  <si>
    <t>Include - Thames Valley</t>
  </si>
  <si>
    <t>Bracknell Forest</t>
  </si>
  <si>
    <t>RG12 7WW</t>
  </si>
  <si>
    <t>ITS462878</t>
  </si>
  <si>
    <t>IncludEd</t>
  </si>
  <si>
    <t>M16 8ER</t>
  </si>
  <si>
    <t>Lime Meadows</t>
  </si>
  <si>
    <t>Northease Manor School</t>
  </si>
  <si>
    <t>BN7 3EY</t>
  </si>
  <si>
    <t>ITS446382</t>
  </si>
  <si>
    <t>Norton College</t>
  </si>
  <si>
    <t>WR5 2PU</t>
  </si>
  <si>
    <t>ITS452377</t>
  </si>
  <si>
    <t>Nugent House School</t>
  </si>
  <si>
    <t>WN5 7TT</t>
  </si>
  <si>
    <t>Oak Tree School</t>
  </si>
  <si>
    <t>Cornwall</t>
  </si>
  <si>
    <t>TR4 9NH</t>
  </si>
  <si>
    <t>ITS462740</t>
  </si>
  <si>
    <t>Oakfield House School</t>
  </si>
  <si>
    <t>PR4 0YH</t>
  </si>
  <si>
    <t>ITS463004</t>
  </si>
  <si>
    <t>Park View Academy</t>
  </si>
  <si>
    <t>Bexley</t>
  </si>
  <si>
    <t>DA16 1SR</t>
  </si>
  <si>
    <t>Parkside House School</t>
  </si>
  <si>
    <t>NE27 0AB</t>
  </si>
  <si>
    <t>ITS463009</t>
  </si>
  <si>
    <t>Peak Education</t>
  </si>
  <si>
    <t>ST19 5PR</t>
  </si>
  <si>
    <t>Pear Tree School</t>
  </si>
  <si>
    <t>DL2 2UQ</t>
  </si>
  <si>
    <t>Alderwasley Hall School</t>
  </si>
  <si>
    <t>DE56 2SR</t>
  </si>
  <si>
    <t>ITS446380</t>
  </si>
  <si>
    <t>Anderida Learning Centre</t>
  </si>
  <si>
    <t>BN22 8HR</t>
  </si>
  <si>
    <t>Apple Orchard Slinfold</t>
  </si>
  <si>
    <t>RH13 0RQ</t>
  </si>
  <si>
    <t>Cambian Beverley School</t>
  </si>
  <si>
    <t>HU17 0EW</t>
  </si>
  <si>
    <t>ITS463006</t>
  </si>
  <si>
    <t>Cambian Devon School</t>
  </si>
  <si>
    <t>TQ4 7DQ</t>
  </si>
  <si>
    <t>Cambian Hereford School</t>
  </si>
  <si>
    <t>Herefordshire</t>
  </si>
  <si>
    <t>HR6 8LL</t>
  </si>
  <si>
    <t>ITS408715</t>
  </si>
  <si>
    <t>Progress Schools - Carlisle</t>
  </si>
  <si>
    <t>CA1 1EJ</t>
  </si>
  <si>
    <t>Elland House School</t>
  </si>
  <si>
    <t>OL2 5PJ</t>
  </si>
  <si>
    <t>Engaging Potential</t>
  </si>
  <si>
    <t>RG14 2PR</t>
  </si>
  <si>
    <t>ITS454263</t>
  </si>
  <si>
    <t>Holme Court School</t>
  </si>
  <si>
    <t>CB21 6BQ</t>
  </si>
  <si>
    <t>Holme Farm School</t>
  </si>
  <si>
    <t>Middlesbrough</t>
  </si>
  <si>
    <t>TS8 9DF</t>
  </si>
  <si>
    <t>Hope Corner School</t>
  </si>
  <si>
    <t>WA7 4TD</t>
  </si>
  <si>
    <t>ITS420263</t>
  </si>
  <si>
    <t>NG24 3NE</t>
  </si>
  <si>
    <t>Meadow View Farm School</t>
  </si>
  <si>
    <t>LE9 8FT</t>
  </si>
  <si>
    <t>Meadow View Learning Centre</t>
  </si>
  <si>
    <t>PR6 8BN</t>
  </si>
  <si>
    <t>Meadowcroft School</t>
  </si>
  <si>
    <t>WF1 4AD</t>
  </si>
  <si>
    <t>Meadows School</t>
  </si>
  <si>
    <t>OL12 9EN</t>
  </si>
  <si>
    <t>Independent school standard inspection - group</t>
  </si>
  <si>
    <t>Overley Hall School</t>
  </si>
  <si>
    <t>Telford and Wrekin</t>
  </si>
  <si>
    <t>TF6 5HE</t>
  </si>
  <si>
    <t>Owlswick School</t>
  </si>
  <si>
    <t>BN7 3NF</t>
  </si>
  <si>
    <t>P.A.C.E Alternative Education Ltd</t>
  </si>
  <si>
    <t>ST5 0LS</t>
  </si>
  <si>
    <t>ITS454293</t>
  </si>
  <si>
    <t>Papillon House</t>
  </si>
  <si>
    <t>KT20 7PA</t>
  </si>
  <si>
    <t>ITS462882</t>
  </si>
  <si>
    <t>Shelldene House School</t>
  </si>
  <si>
    <t>PE14 0HJ</t>
  </si>
  <si>
    <t>ITS462934</t>
  </si>
  <si>
    <t>Side By Side School</t>
  </si>
  <si>
    <t>E5 9HH</t>
  </si>
  <si>
    <t>ITS454266</t>
  </si>
  <si>
    <t>Silver Birch</t>
  </si>
  <si>
    <t>B34 7RD</t>
  </si>
  <si>
    <t>The Grange Learning Centre</t>
  </si>
  <si>
    <t>Durham</t>
  </si>
  <si>
    <t>DL15 0TY</t>
  </si>
  <si>
    <t>The Grange School</t>
  </si>
  <si>
    <t>WF5 9JE</t>
  </si>
  <si>
    <t>The Grange Therapeutic School</t>
  </si>
  <si>
    <t>LE15 8LY</t>
  </si>
  <si>
    <t>The Holmewood School London</t>
  </si>
  <si>
    <t>N12 8SH</t>
  </si>
  <si>
    <t>ITS454298</t>
  </si>
  <si>
    <t xml:space="preserve">Tumblewood Community School  </t>
  </si>
  <si>
    <t>BA13 4LF</t>
  </si>
  <si>
    <t>Arnfield Independent School</t>
  </si>
  <si>
    <t>SK10 5JR</t>
  </si>
  <si>
    <t>ALP Leicester</t>
  </si>
  <si>
    <t>LE4 4JG</t>
  </si>
  <si>
    <t>ITS429468</t>
  </si>
  <si>
    <t>Ashcroft School</t>
  </si>
  <si>
    <t>SK8 1JE</t>
  </si>
  <si>
    <t>Cambian Southwick Park School</t>
  </si>
  <si>
    <t>GL20 7DG</t>
  </si>
  <si>
    <t>Cambian Whinfell School</t>
  </si>
  <si>
    <t>LA9 5EZ</t>
  </si>
  <si>
    <t>ITS463008</t>
  </si>
  <si>
    <t>Cambian Wisbech School</t>
  </si>
  <si>
    <t>PE13 1JF</t>
  </si>
  <si>
    <t>Fountain House Education Suite</t>
  </si>
  <si>
    <t>Frewen College</t>
  </si>
  <si>
    <t>TN31 6NL</t>
  </si>
  <si>
    <t>Freyburg School</t>
  </si>
  <si>
    <t>S80 3BP</t>
  </si>
  <si>
    <t>ITS447295</t>
  </si>
  <si>
    <t>Fullerton House School</t>
  </si>
  <si>
    <t>Doncaster</t>
  </si>
  <si>
    <t>DN12 4AR</t>
  </si>
  <si>
    <t>Hope View School</t>
  </si>
  <si>
    <t>CT4 8EG</t>
  </si>
  <si>
    <t>Hopedale School</t>
  </si>
  <si>
    <t>ST13 7ED</t>
  </si>
  <si>
    <t>Hopewell School (Harmony House)</t>
  </si>
  <si>
    <t>Barking and Dagenham</t>
  </si>
  <si>
    <t>RM9 6XN</t>
  </si>
  <si>
    <t>Horton House School</t>
  </si>
  <si>
    <t>HU7 5YY</t>
  </si>
  <si>
    <t>Mackworth House School</t>
  </si>
  <si>
    <t>DE22 4LL</t>
  </si>
  <si>
    <t>ITS446396</t>
  </si>
  <si>
    <t>Manor Cottage</t>
  </si>
  <si>
    <t>ITS454303</t>
  </si>
  <si>
    <t>Marchant Holliday School</t>
  </si>
  <si>
    <t>BA8 0AH</t>
  </si>
  <si>
    <t>Mark College</t>
  </si>
  <si>
    <t>TA9 4NP</t>
  </si>
  <si>
    <t>Physis Heathgates Academy</t>
  </si>
  <si>
    <t>SY13 9DE</t>
  </si>
  <si>
    <t>ITS420282</t>
  </si>
  <si>
    <t xml:space="preserve">Independent school standard inspection - integrated - first </t>
  </si>
  <si>
    <t>Pontville School</t>
  </si>
  <si>
    <t>L39 4TW</t>
  </si>
  <si>
    <t>Cambian Potterspury Lodge School</t>
  </si>
  <si>
    <t>NN12 7LL</t>
  </si>
  <si>
    <t>PPP Community School</t>
  </si>
  <si>
    <t>W10 6TH</t>
  </si>
  <si>
    <t>Springboard Education</t>
  </si>
  <si>
    <t>BN15 8AN</t>
  </si>
  <si>
    <t>St Andrew's School</t>
  </si>
  <si>
    <t>Quaker</t>
  </si>
  <si>
    <t>NR11 8QA</t>
  </si>
  <si>
    <t>St Edward's School</t>
  </si>
  <si>
    <t>SO51 6ZR</t>
  </si>
  <si>
    <t>ITS461519</t>
  </si>
  <si>
    <t>West Heath School</t>
  </si>
  <si>
    <t>TN13 1SR</t>
  </si>
  <si>
    <t>The Oaks</t>
  </si>
  <si>
    <t>LE9 7QJ</t>
  </si>
  <si>
    <t>ITS462937</t>
  </si>
  <si>
    <t>The Old Priory School</t>
  </si>
  <si>
    <t>CT11 9PG</t>
  </si>
  <si>
    <t>ITS462876</t>
  </si>
  <si>
    <t>ITS462919</t>
  </si>
  <si>
    <t>Ocean Lodge Independent School</t>
  </si>
  <si>
    <t>SS0 7PU</t>
  </si>
  <si>
    <t>Octavia House Schools</t>
  </si>
  <si>
    <t>Lambeth</t>
  </si>
  <si>
    <t>SE11 6AU</t>
  </si>
  <si>
    <t>ITS420274</t>
  </si>
  <si>
    <t>Old Sams Farm Independent School</t>
  </si>
  <si>
    <t>SK17 0SN</t>
  </si>
  <si>
    <t>ITS446246</t>
  </si>
  <si>
    <t>Pegasus School</t>
  </si>
  <si>
    <t>DE12 6RS</t>
  </si>
  <si>
    <t>ITS462921</t>
  </si>
  <si>
    <t>Phoenixplace</t>
  </si>
  <si>
    <t>SE5 0NA</t>
  </si>
  <si>
    <t>Rutherford School</t>
  </si>
  <si>
    <t>CR2 7HZ</t>
  </si>
  <si>
    <t>ITS462858</t>
  </si>
  <si>
    <t>Sacrewell Lodge School</t>
  </si>
  <si>
    <t>PE8 6HJ</t>
  </si>
  <si>
    <t>ITS434039</t>
  </si>
  <si>
    <t>Sallygate School</t>
  </si>
  <si>
    <t>CT17 0RX</t>
  </si>
  <si>
    <t>School for Inspiring Talents</t>
  </si>
  <si>
    <t>TQ12 6NQ</t>
  </si>
  <si>
    <t>Seadown School</t>
  </si>
  <si>
    <t>BN11 2BE</t>
  </si>
  <si>
    <t>Teaseldown School</t>
  </si>
  <si>
    <t>CO9 3PX</t>
  </si>
  <si>
    <t>The Amicus School</t>
  </si>
  <si>
    <t>BN18 0SX</t>
  </si>
  <si>
    <t>ITS397759</t>
  </si>
  <si>
    <t>The Annex School House</t>
  </si>
  <si>
    <t>BR8 7PS</t>
  </si>
  <si>
    <t>Lighthouse School</t>
  </si>
  <si>
    <t>CT9 2QJ</t>
  </si>
  <si>
    <t>The Pace Centre</t>
  </si>
  <si>
    <t>HP19 9JL</t>
  </si>
  <si>
    <t>The Parks</t>
  </si>
  <si>
    <t>WA3 3PU</t>
  </si>
  <si>
    <t>The Priory Lodge School</t>
  </si>
  <si>
    <t>SW15 5JJ</t>
  </si>
  <si>
    <t>The Quest School</t>
  </si>
  <si>
    <t>TN12 6PY</t>
  </si>
  <si>
    <t>ITS393305</t>
  </si>
  <si>
    <t>Vranch House School</t>
  </si>
  <si>
    <t>EX4 8AD</t>
  </si>
  <si>
    <t>ITS465376</t>
  </si>
  <si>
    <t>Liverpool Progressive School</t>
  </si>
  <si>
    <t>L9 1NR</t>
  </si>
  <si>
    <t>ITS454265</t>
  </si>
  <si>
    <t>Waterloo Lodge School</t>
  </si>
  <si>
    <t>PR6 7AX</t>
  </si>
  <si>
    <t>ITS454250</t>
  </si>
  <si>
    <t xml:space="preserve">Wathen Grange School </t>
  </si>
  <si>
    <t>CV9 1PZ</t>
  </si>
  <si>
    <t>Wessex College</t>
  </si>
  <si>
    <t>BA11 4LA</t>
  </si>
  <si>
    <t>ITS446282</t>
  </si>
  <si>
    <t>Al Islah Girls' High School</t>
  </si>
  <si>
    <t>BB1 1TF</t>
  </si>
  <si>
    <t>Al Jamiatul Islamiyah</t>
  </si>
  <si>
    <t>Bolton</t>
  </si>
  <si>
    <t>BL3 4HF</t>
  </si>
  <si>
    <t>Al Khair School</t>
  </si>
  <si>
    <t>B68 8LA</t>
  </si>
  <si>
    <t>ITS462980</t>
  </si>
  <si>
    <t>Al Mumin Primary and Secondary School</t>
  </si>
  <si>
    <t>BD8 7DA</t>
  </si>
  <si>
    <t>Ashgrove School Ltd</t>
  </si>
  <si>
    <t>BR1 3BE</t>
  </si>
  <si>
    <t>Ashlea House School</t>
  </si>
  <si>
    <t>M34 6ET</t>
  </si>
  <si>
    <t>Assess Education</t>
  </si>
  <si>
    <t>L15 4LP</t>
  </si>
  <si>
    <t>Assunnah Primary School</t>
  </si>
  <si>
    <t>N17 6SB</t>
  </si>
  <si>
    <t>Beis Trana Girls' School</t>
  </si>
  <si>
    <t>E5 9DH</t>
  </si>
  <si>
    <t>ITS442962</t>
  </si>
  <si>
    <t>R.Y.A.N Education Academy</t>
  </si>
  <si>
    <t>Does not apply</t>
  </si>
  <si>
    <t>B11 1LF</t>
  </si>
  <si>
    <t>Radlett Lodge School</t>
  </si>
  <si>
    <t>WD7 9HW</t>
  </si>
  <si>
    <t>Park House School</t>
  </si>
  <si>
    <t>SW18 2SL</t>
  </si>
  <si>
    <t>Ramillies Hall School</t>
  </si>
  <si>
    <t>SK8 7AJ</t>
  </si>
  <si>
    <t>Southover Partnership School</t>
  </si>
  <si>
    <t>NW9 9HA</t>
  </si>
  <si>
    <t>ITS454280</t>
  </si>
  <si>
    <t>Spencer House School</t>
  </si>
  <si>
    <t>L35 1QE</t>
  </si>
  <si>
    <t>ITS446398</t>
  </si>
  <si>
    <t>Spring Hill High School</t>
  </si>
  <si>
    <t>B23 7PG</t>
  </si>
  <si>
    <t>ITS455443</t>
  </si>
  <si>
    <t>Stonegate School</t>
  </si>
  <si>
    <t>LA2 7BX</t>
  </si>
  <si>
    <t>The Evolution Centre</t>
  </si>
  <si>
    <t>SY3 8EQ</t>
  </si>
  <si>
    <t>The Farringdon Centre</t>
  </si>
  <si>
    <t>SP1 3YA</t>
  </si>
  <si>
    <t>ITS454289</t>
  </si>
  <si>
    <t>The Forum School</t>
  </si>
  <si>
    <t>DT11 0QS</t>
  </si>
  <si>
    <t>Thornhill Park School</t>
  </si>
  <si>
    <t>Sunderland</t>
  </si>
  <si>
    <t>SR2 7LA</t>
  </si>
  <si>
    <t>TR4 8EG</t>
  </si>
  <si>
    <t>TLC The Learning Centre</t>
  </si>
  <si>
    <t>BR5 1EB</t>
  </si>
  <si>
    <t>ITS447201</t>
  </si>
  <si>
    <t>Training and Skills Centre</t>
  </si>
  <si>
    <t>BD3 9BE</t>
  </si>
  <si>
    <t>Wings School</t>
  </si>
  <si>
    <t>UB7 0AE</t>
  </si>
  <si>
    <t>Wings School Notts</t>
  </si>
  <si>
    <t>Oversands School</t>
  </si>
  <si>
    <t>LA11 6SD</t>
  </si>
  <si>
    <t>Al-Burhan Grammar School</t>
  </si>
  <si>
    <t>B11 3DW</t>
  </si>
  <si>
    <t>ITS447293</t>
  </si>
  <si>
    <t>Al-Falah Primary School</t>
  </si>
  <si>
    <t>E5 8BY</t>
  </si>
  <si>
    <t>Al-Furqaan Preparatory School</t>
  </si>
  <si>
    <t>WF13 2JR</t>
  </si>
  <si>
    <t>Al-Huda Primary School</t>
  </si>
  <si>
    <t>BL1 3EH</t>
  </si>
  <si>
    <t>Avondale Preparatory School</t>
  </si>
  <si>
    <t>SP4 9DR</t>
  </si>
  <si>
    <t>ITS462872</t>
  </si>
  <si>
    <t>Ayesha Community School</t>
  </si>
  <si>
    <t>NW4 3ES</t>
  </si>
  <si>
    <t>ITS420193</t>
  </si>
  <si>
    <t>Ayesha Siddiqa Girls School</t>
  </si>
  <si>
    <t>UB1 1LS</t>
  </si>
  <si>
    <t>ITS440228</t>
  </si>
  <si>
    <t>Azhar Academy Girls School</t>
  </si>
  <si>
    <t>E7 9HL</t>
  </si>
  <si>
    <t>Bahr Academy</t>
  </si>
  <si>
    <t>Sunni Deobandi</t>
  </si>
  <si>
    <t>Newcastle upon Tyne</t>
  </si>
  <si>
    <t>NE4 6PR</t>
  </si>
  <si>
    <t>Bnos Zion of Bobov</t>
  </si>
  <si>
    <t>N16 6TJ</t>
  </si>
  <si>
    <t>ITS422821</t>
  </si>
  <si>
    <t>Bolton Islamic Girls School</t>
  </si>
  <si>
    <t>BL3 2AW</t>
  </si>
  <si>
    <t>Bosco Centre College</t>
  </si>
  <si>
    <t>SE16 4RS</t>
  </si>
  <si>
    <t>Brackenfield School</t>
  </si>
  <si>
    <t>HG1 2HE</t>
  </si>
  <si>
    <t>Appletree School</t>
  </si>
  <si>
    <t>LA9 7QS</t>
  </si>
  <si>
    <t>Applied Educational Solutions</t>
  </si>
  <si>
    <t>EN3 7HG</t>
  </si>
  <si>
    <t>Arc School Ansley</t>
  </si>
  <si>
    <t>CV10 9ND</t>
  </si>
  <si>
    <t>ITS462983</t>
  </si>
  <si>
    <t>Arc School Old Arley</t>
  </si>
  <si>
    <t>CV7 8NU</t>
  </si>
  <si>
    <t>ITS462915</t>
  </si>
  <si>
    <t>Arc School Napton</t>
  </si>
  <si>
    <t>UB11 1AA</t>
  </si>
  <si>
    <t>ITS462981</t>
  </si>
  <si>
    <t>Brewood Secondary School</t>
  </si>
  <si>
    <t>CT14 9TR</t>
  </si>
  <si>
    <t>Bright Futures School for children with autism</t>
  </si>
  <si>
    <t>OL4 4DW</t>
  </si>
  <si>
    <t>Broadclough Lodge</t>
  </si>
  <si>
    <t>OL13 8DF</t>
  </si>
  <si>
    <t>Calderdale</t>
  </si>
  <si>
    <t>HX5 0SH</t>
  </si>
  <si>
    <t>NR30 1DX</t>
  </si>
  <si>
    <t>Cornfield School</t>
  </si>
  <si>
    <t>RH1 5HS</t>
  </si>
  <si>
    <t>ITS422752</t>
  </si>
  <si>
    <t>Essex Fresh Start</t>
  </si>
  <si>
    <t>CM8 2JL</t>
  </si>
  <si>
    <t>Estuary High School</t>
  </si>
  <si>
    <t>SS9 3NH</t>
  </si>
  <si>
    <t>ITS462929</t>
  </si>
  <si>
    <t>Face Youth Therapeutic School</t>
  </si>
  <si>
    <t>SW19 1JN</t>
  </si>
  <si>
    <t>Fairfield House School</t>
  </si>
  <si>
    <t>Trafford</t>
  </si>
  <si>
    <t>M31 4NL</t>
  </si>
  <si>
    <t>Hardwick House School</t>
  </si>
  <si>
    <t>LE11 3HU</t>
  </si>
  <si>
    <t>ITS455281</t>
  </si>
  <si>
    <t>Hill House School</t>
  </si>
  <si>
    <t>SO41 8NE</t>
  </si>
  <si>
    <t>Hillcrest Slinfold School</t>
  </si>
  <si>
    <t>RH13 0QX</t>
  </si>
  <si>
    <t>Hillcrest Park School</t>
  </si>
  <si>
    <t>OX7 5QH</t>
  </si>
  <si>
    <t>ITS446270</t>
  </si>
  <si>
    <t>Kestrel House School</t>
  </si>
  <si>
    <t>N8 9EA</t>
  </si>
  <si>
    <t>Aurora Keyes Barn School</t>
  </si>
  <si>
    <t>Kingsdown Secondary School</t>
  </si>
  <si>
    <t>CR2 9LQ</t>
  </si>
  <si>
    <t>ITS397653</t>
  </si>
  <si>
    <t>Learn 4 Life School</t>
  </si>
  <si>
    <t>WN8 9AL</t>
  </si>
  <si>
    <t>Learning Opportunities Centre Secondary</t>
  </si>
  <si>
    <t>CT14 8DW</t>
  </si>
  <si>
    <t>ITS393337</t>
  </si>
  <si>
    <t>Leaways School</t>
  </si>
  <si>
    <t>E5 9NZ</t>
  </si>
  <si>
    <t>New Direction School</t>
  </si>
  <si>
    <t>S43 4BX</t>
  </si>
  <si>
    <t>Newbury Manor School</t>
  </si>
  <si>
    <t>BA11 3RG</t>
  </si>
  <si>
    <t>Newlands Hey</t>
  </si>
  <si>
    <t>L36 5SE</t>
  </si>
  <si>
    <t>North Bridge Enterprise College</t>
  </si>
  <si>
    <t>DN5 8AF</t>
  </si>
  <si>
    <t>Avocet House</t>
  </si>
  <si>
    <t>NR14 6QP</t>
  </si>
  <si>
    <t>Avon Park School</t>
  </si>
  <si>
    <t>CV22 5HR</t>
  </si>
  <si>
    <t>ITS447299</t>
  </si>
  <si>
    <t>Options Barton</t>
  </si>
  <si>
    <t>DN18 6DA</t>
  </si>
  <si>
    <t>Baston House School</t>
  </si>
  <si>
    <t>BR2 7AB</t>
  </si>
  <si>
    <t>ITS447202</t>
  </si>
  <si>
    <t>Broadlands Hall</t>
  </si>
  <si>
    <t>CB9 7UD</t>
  </si>
  <si>
    <t>HX2 0RU</t>
  </si>
  <si>
    <t>ITS422852</t>
  </si>
  <si>
    <t>Browns School</t>
  </si>
  <si>
    <t>BR6 7PH</t>
  </si>
  <si>
    <t>Calder House School</t>
  </si>
  <si>
    <t>SN14 8BN</t>
  </si>
  <si>
    <t>Coxlease School</t>
  </si>
  <si>
    <t>Cressex Lodge (SWAAY)</t>
  </si>
  <si>
    <t>RG42 4DE</t>
  </si>
  <si>
    <t>Cressey College</t>
  </si>
  <si>
    <t>CR0 5SP</t>
  </si>
  <si>
    <t>ITS422750</t>
  </si>
  <si>
    <t>Crookhey Hall School</t>
  </si>
  <si>
    <t>LA2 0HA</t>
  </si>
  <si>
    <t>ITS446271</t>
  </si>
  <si>
    <t>Fairlight Glen Independent Special School</t>
  </si>
  <si>
    <t>CT6 5QQ</t>
  </si>
  <si>
    <t>Farney Close School</t>
  </si>
  <si>
    <t>RH17 5RD</t>
  </si>
  <si>
    <t>Fell House School</t>
  </si>
  <si>
    <t>LA11 6AS</t>
  </si>
  <si>
    <t>Ferndearle</t>
  </si>
  <si>
    <t>CT19 5HH</t>
  </si>
  <si>
    <t>Options Higford</t>
  </si>
  <si>
    <t>TF11 9ET</t>
  </si>
  <si>
    <t>ITS462939</t>
  </si>
  <si>
    <t>High Grange School</t>
  </si>
  <si>
    <t>DE3 0DR</t>
  </si>
  <si>
    <t>High Peak School</t>
  </si>
  <si>
    <t>Highcroft School</t>
  </si>
  <si>
    <t>DL13 5AG</t>
  </si>
  <si>
    <t>Kirby Moor School</t>
  </si>
  <si>
    <t>CA8 2AB</t>
  </si>
  <si>
    <t>Kisharon School</t>
  </si>
  <si>
    <t>NW11 7HB</t>
  </si>
  <si>
    <t>ITS441640</t>
  </si>
  <si>
    <t>Kisimul School</t>
  </si>
  <si>
    <t>LN6 9LU</t>
  </si>
  <si>
    <t>KT6 5HN</t>
  </si>
  <si>
    <t>North East Centre for Autism - Aycliffe School</t>
  </si>
  <si>
    <t>DL5 6UN</t>
  </si>
  <si>
    <t>North Hill House</t>
  </si>
  <si>
    <t>BA11 2HB</t>
  </si>
  <si>
    <t>North West London Independent Special School</t>
  </si>
  <si>
    <t>W3 7DD</t>
  </si>
  <si>
    <t>Progress School</t>
  </si>
  <si>
    <t>PR5 6AQ</t>
  </si>
  <si>
    <t>Purbeck View School</t>
  </si>
  <si>
    <t>BH19 1PR</t>
  </si>
  <si>
    <t>HR8 2PZ</t>
  </si>
  <si>
    <t>ITS462920</t>
  </si>
  <si>
    <t>R.E.A.L Independent Schools</t>
  </si>
  <si>
    <t>NG21 0PN</t>
  </si>
  <si>
    <t>Turnstone House School</t>
  </si>
  <si>
    <t>NR35 2HP</t>
  </si>
  <si>
    <t>Ummid Independent School</t>
  </si>
  <si>
    <t>BD7 3EX</t>
  </si>
  <si>
    <t>Underley Garden School</t>
  </si>
  <si>
    <t>LA6 2DZ</t>
  </si>
  <si>
    <t>ITS393350</t>
  </si>
  <si>
    <t>Afifah School</t>
  </si>
  <si>
    <t>M16 9GN</t>
  </si>
  <si>
    <t>Ahavas Torah Boys Academy</t>
  </si>
  <si>
    <t>M7 4QX</t>
  </si>
  <si>
    <t>ITS443025</t>
  </si>
  <si>
    <t>Al Ashraaf Secondary School</t>
  </si>
  <si>
    <t>E1 7RA</t>
  </si>
  <si>
    <t>Al Huda Girls' School</t>
  </si>
  <si>
    <t>B8 1RD</t>
  </si>
  <si>
    <t>Barbara Speake Stage School</t>
  </si>
  <si>
    <t>W3 7EG</t>
  </si>
  <si>
    <t>Beech Grove School</t>
  </si>
  <si>
    <t>CT15 4FB</t>
  </si>
  <si>
    <t>Beis Aharon School</t>
  </si>
  <si>
    <t>N16 5ED</t>
  </si>
  <si>
    <t>ITS422718</t>
  </si>
  <si>
    <t>Beis Chinuch Lebonos Girls School</t>
  </si>
  <si>
    <t>N4 2SH</t>
  </si>
  <si>
    <t>ITS364224</t>
  </si>
  <si>
    <t>Brigidine School Limited</t>
  </si>
  <si>
    <t>Windsor and Maidenhead</t>
  </si>
  <si>
    <t>SL4 2AX</t>
  </si>
  <si>
    <t>Brondesbury College London</t>
  </si>
  <si>
    <t>NW6 7BT</t>
  </si>
  <si>
    <t>ITS409639</t>
  </si>
  <si>
    <t>Brooke House Day School</t>
  </si>
  <si>
    <t>LE9 1SE</t>
  </si>
  <si>
    <t>Bryony School</t>
  </si>
  <si>
    <t>ME8 0AJ</t>
  </si>
  <si>
    <t>Buckholme Towers School</t>
  </si>
  <si>
    <t>Poole</t>
  </si>
  <si>
    <t>BH14 0JW</t>
  </si>
  <si>
    <t>Emmanuel Christian School</t>
  </si>
  <si>
    <t>Christian/Evangelical</t>
  </si>
  <si>
    <t>LE3 1QP</t>
  </si>
  <si>
    <t>Emmanuel School</t>
  </si>
  <si>
    <t>Walsall</t>
  </si>
  <si>
    <t>WS2 8PR</t>
  </si>
  <si>
    <t>Hall School Wimbledon</t>
  </si>
  <si>
    <t>SW15 3EQ</t>
  </si>
  <si>
    <t>Hampstead Hill School</t>
  </si>
  <si>
    <t>NW3 2PP</t>
  </si>
  <si>
    <t>ITS452079</t>
  </si>
  <si>
    <t>Hampton Court House</t>
  </si>
  <si>
    <t>KT8 9BS</t>
  </si>
  <si>
    <t>ITS420172</t>
  </si>
  <si>
    <t>Jamiatul Ummah School</t>
  </si>
  <si>
    <t>E1 2ND</t>
  </si>
  <si>
    <t>ITS442963</t>
  </si>
  <si>
    <t>Jamiatul-Ilm Wal-Huda UK School</t>
  </si>
  <si>
    <t>BB1 5JT</t>
  </si>
  <si>
    <t>Jus'T'Learn</t>
  </si>
  <si>
    <t>CR4 2QA</t>
  </si>
  <si>
    <t>ITS447231</t>
  </si>
  <si>
    <t>Kerem Shloime</t>
  </si>
  <si>
    <t>M7 4DQ</t>
  </si>
  <si>
    <t>Madrasatul Imam Muhammad Zakariya</t>
  </si>
  <si>
    <t>BL1 8LX</t>
  </si>
  <si>
    <t>Magdalen Court School</t>
  </si>
  <si>
    <t>EX2 4NU</t>
  </si>
  <si>
    <t>Manchester  Young Lives</t>
  </si>
  <si>
    <t>M22 9TF</t>
  </si>
  <si>
    <t>ITS454299</t>
  </si>
  <si>
    <t>Manchester Islamic High School for Girls</t>
  </si>
  <si>
    <t>M21 9FA</t>
  </si>
  <si>
    <t>Olive Secondary Boys</t>
  </si>
  <si>
    <t>BD3 0AD</t>
  </si>
  <si>
    <t>Olive Tree Primary School</t>
  </si>
  <si>
    <t>LU1 1HE</t>
  </si>
  <si>
    <t>Roselyn House School</t>
  </si>
  <si>
    <t>PR25 4SE</t>
  </si>
  <si>
    <t>Rowden House School</t>
  </si>
  <si>
    <t>HR7 4LS</t>
  </si>
  <si>
    <t>Sunfield Children's Home Limited</t>
  </si>
  <si>
    <t>DY9 9PB</t>
  </si>
  <si>
    <t>T Plus Centre (Taliesin Education)</t>
  </si>
  <si>
    <t>PL14 4DA</t>
  </si>
  <si>
    <t>ITS454283</t>
  </si>
  <si>
    <t>Manchester Jewish School for Special Education</t>
  </si>
  <si>
    <t>M7 4QY</t>
  </si>
  <si>
    <t>Tadley Court School</t>
  </si>
  <si>
    <t>RG26 3TB</t>
  </si>
  <si>
    <t>The Loddon School</t>
  </si>
  <si>
    <t>RG27 0JD</t>
  </si>
  <si>
    <t>ITS462865</t>
  </si>
  <si>
    <t>N10 1JP</t>
  </si>
  <si>
    <t>The Marlowe School</t>
  </si>
  <si>
    <t>GL19 3BG</t>
  </si>
  <si>
    <t>ITS462863</t>
  </si>
  <si>
    <t>The Meadows</t>
  </si>
  <si>
    <t>SK17 8DJ</t>
  </si>
  <si>
    <t>Aurora Hedgeway School</t>
  </si>
  <si>
    <t>BS35 4JN</t>
  </si>
  <si>
    <t>Unsted Park School</t>
  </si>
  <si>
    <t>GU7 1UW</t>
  </si>
  <si>
    <t>Values Academy</t>
  </si>
  <si>
    <t>B18 5PB</t>
  </si>
  <si>
    <t>CV10 8JX</t>
  </si>
  <si>
    <t>Abbey College in Malvern</t>
  </si>
  <si>
    <t>WR14 4JF</t>
  </si>
  <si>
    <t>Abbotsford Preparatory School</t>
  </si>
  <si>
    <t>M41 5PR</t>
  </si>
  <si>
    <t>Abrar Academy</t>
  </si>
  <si>
    <t>PR1 1NA</t>
  </si>
  <si>
    <t>Abu Bakr Boys School</t>
  </si>
  <si>
    <t>WS2 7AN</t>
  </si>
  <si>
    <t>ITS442989</t>
  </si>
  <si>
    <t>Abu Bakr Girls School</t>
  </si>
  <si>
    <t>WS1 4JJ</t>
  </si>
  <si>
    <t>Archway Academy</t>
  </si>
  <si>
    <t>B9 4HN</t>
  </si>
  <si>
    <t>Ashbourne Independent School</t>
  </si>
  <si>
    <t>W8 4PL</t>
  </si>
  <si>
    <t>ITS361319</t>
  </si>
  <si>
    <t>Ashbrooke House School</t>
  </si>
  <si>
    <t>North Somerset</t>
  </si>
  <si>
    <t>BS23 1XH</t>
  </si>
  <si>
    <t>Bethany School</t>
  </si>
  <si>
    <t>S3 7PS</t>
  </si>
  <si>
    <t>Bhaktivedanta Manor School</t>
  </si>
  <si>
    <t>Hindu</t>
  </si>
  <si>
    <t>Bicker Preparatory and Early Years School</t>
  </si>
  <si>
    <t>PE20 3DW</t>
  </si>
  <si>
    <t>ITS462917</t>
  </si>
  <si>
    <t>Big Creative Independent School</t>
  </si>
  <si>
    <t>E17 5SD</t>
  </si>
  <si>
    <t>Birchfield Independent Girls' School</t>
  </si>
  <si>
    <t>B6 6JU</t>
  </si>
  <si>
    <t>Carmel Christian School</t>
  </si>
  <si>
    <t>BS4 5NL</t>
  </si>
  <si>
    <t>Chartfield School</t>
  </si>
  <si>
    <t>CT8 8DA</t>
  </si>
  <si>
    <t>ITS440227</t>
  </si>
  <si>
    <t>Chase House School</t>
  </si>
  <si>
    <t>Chepstow House School</t>
  </si>
  <si>
    <t>W11 1QS</t>
  </si>
  <si>
    <t>Wilds Lodge School</t>
  </si>
  <si>
    <t>LE15 8QQ</t>
  </si>
  <si>
    <t>Willows</t>
  </si>
  <si>
    <t>TA21 9LQ</t>
  </si>
  <si>
    <t>ITS446253</t>
  </si>
  <si>
    <t>Wilsic Hall School</t>
  </si>
  <si>
    <t>DN11 9AG</t>
  </si>
  <si>
    <t>Al-Ikhlaas Primary School</t>
  </si>
  <si>
    <t>BB9 7TN</t>
  </si>
  <si>
    <t>Al-Islamia Institute for Education</t>
  </si>
  <si>
    <t>LE2 0SA</t>
  </si>
  <si>
    <t>Al-Khair School</t>
  </si>
  <si>
    <t>CR0 6BE</t>
  </si>
  <si>
    <t>N16 5RS</t>
  </si>
  <si>
    <t>Beis Ruchel Girls School</t>
  </si>
  <si>
    <t>M8 5BQ</t>
  </si>
  <si>
    <t>M7 4AJ</t>
  </si>
  <si>
    <t>ITS443452</t>
  </si>
  <si>
    <t>Buckswood School</t>
  </si>
  <si>
    <t>TN35 4LT</t>
  </si>
  <si>
    <t>Buttercup Primary School</t>
  </si>
  <si>
    <t>E1 2LX</t>
  </si>
  <si>
    <t>CR7 8HQ</t>
  </si>
  <si>
    <t>Carfax College</t>
  </si>
  <si>
    <t>OX1 2EP</t>
  </si>
  <si>
    <t>ITS443023</t>
  </si>
  <si>
    <t>SW1W 9BA</t>
  </si>
  <si>
    <t>ITS386759</t>
  </si>
  <si>
    <t>SW7 5QH</t>
  </si>
  <si>
    <t>ITS441436</t>
  </si>
  <si>
    <t>Ebrahim Academy</t>
  </si>
  <si>
    <t>E1 1EJ</t>
  </si>
  <si>
    <t>Ecole Francaise de Londres Jacques Prevert</t>
  </si>
  <si>
    <t>W6 7BE</t>
  </si>
  <si>
    <t>ITS385065</t>
  </si>
  <si>
    <t>Edgware Jewish Girls - Beis Chinuch</t>
  </si>
  <si>
    <t>HA8 8NP</t>
  </si>
  <si>
    <t>ITS422820</t>
  </si>
  <si>
    <t>Harrow House International College</t>
  </si>
  <si>
    <t>BH19 1PE</t>
  </si>
  <si>
    <t>Harrow Primary School</t>
  </si>
  <si>
    <t>Harrow</t>
  </si>
  <si>
    <t>HA1 2LS</t>
  </si>
  <si>
    <t>King of Kings School</t>
  </si>
  <si>
    <t>M4 4DN</t>
  </si>
  <si>
    <t>Kings Bournemouth</t>
  </si>
  <si>
    <t>BH2 6LD</t>
  </si>
  <si>
    <t>Kings Kids Christian School</t>
  </si>
  <si>
    <t>SE14 6EU</t>
  </si>
  <si>
    <t>Kings London</t>
  </si>
  <si>
    <t>BR3 4PR</t>
  </si>
  <si>
    <t>ITS420250</t>
  </si>
  <si>
    <t>Kings Oxford</t>
  </si>
  <si>
    <t>OX4 2UJ</t>
  </si>
  <si>
    <t>Marathon Science School</t>
  </si>
  <si>
    <t>SE8 5RQ</t>
  </si>
  <si>
    <t>Maria Montessori School</t>
  </si>
  <si>
    <t>NW3 5NW</t>
  </si>
  <si>
    <t>Markazul Uloom</t>
  </si>
  <si>
    <t>BB2 3NY</t>
  </si>
  <si>
    <t>Martec Training</t>
  </si>
  <si>
    <t>ST5 1LZ</t>
  </si>
  <si>
    <t>ITS386858</t>
  </si>
  <si>
    <t>Mazahirul Uloom London School</t>
  </si>
  <si>
    <t>E1 4AA</t>
  </si>
  <si>
    <t>Beis Yaakov Girls School</t>
  </si>
  <si>
    <t>Charadi Jewish</t>
  </si>
  <si>
    <t>N16 0QJ</t>
  </si>
  <si>
    <t>Benedict House Preparatory School</t>
  </si>
  <si>
    <t>DA15 7HD</t>
  </si>
  <si>
    <t>Brian Jackson College</t>
  </si>
  <si>
    <t>WF16 0AD</t>
  </si>
  <si>
    <t>Bridge School</t>
  </si>
  <si>
    <t>Hamd House School</t>
  </si>
  <si>
    <t>B9 5QT</t>
  </si>
  <si>
    <t>Bridge House Independent School</t>
  </si>
  <si>
    <t>PE21 7NL</t>
  </si>
  <si>
    <t>Darul Hadis Latifiah Northwest</t>
  </si>
  <si>
    <t>OL8 1TJ</t>
  </si>
  <si>
    <t>Darul Uloom Al Arabiya Al Islamiya</t>
  </si>
  <si>
    <t>BL8 4NG</t>
  </si>
  <si>
    <t>ITS447246</t>
  </si>
  <si>
    <t>Darul Uloom Dawatul Imaan</t>
  </si>
  <si>
    <t>BD4 9PH</t>
  </si>
  <si>
    <t>Fig Tree Primary School</t>
  </si>
  <si>
    <t>NG7 4AF</t>
  </si>
  <si>
    <t>Firwood Manor Preparatory School</t>
  </si>
  <si>
    <t>OL9 0AD</t>
  </si>
  <si>
    <t>Gateshead Jewish Nursery School</t>
  </si>
  <si>
    <t>NE8 1RB</t>
  </si>
  <si>
    <t>ITS422699</t>
  </si>
  <si>
    <t>Green Meadow Independent Primary School</t>
  </si>
  <si>
    <t>WA3 2RD</t>
  </si>
  <si>
    <t>Greenwich House School</t>
  </si>
  <si>
    <t>LN11 0HE</t>
  </si>
  <si>
    <t>Guru Gobind Singh Khalsa College</t>
  </si>
  <si>
    <t>Sikh</t>
  </si>
  <si>
    <t>IG7 6BQ</t>
  </si>
  <si>
    <t>Hackney City Farm</t>
  </si>
  <si>
    <t>E2 8QA</t>
  </si>
  <si>
    <t>International School of London (Surrey) Limited</t>
  </si>
  <si>
    <t>GU22 8HY</t>
  </si>
  <si>
    <t>International Stanborough School</t>
  </si>
  <si>
    <t>WD25 9JT</t>
  </si>
  <si>
    <t>Iqra Academy</t>
  </si>
  <si>
    <t>PE3 8YQ</t>
  </si>
  <si>
    <t>Iqra High School</t>
  </si>
  <si>
    <t>OL4 1ER</t>
  </si>
  <si>
    <t>Kingswood School</t>
  </si>
  <si>
    <t>Solihull</t>
  </si>
  <si>
    <t>B90 2BA</t>
  </si>
  <si>
    <t>ITS443499</t>
  </si>
  <si>
    <t>L'Ecole Bilingue Elementaire</t>
  </si>
  <si>
    <t>W2 1SJ</t>
  </si>
  <si>
    <t>L'Ecole de Battersea</t>
  </si>
  <si>
    <t>SW11 3DS</t>
  </si>
  <si>
    <t>ITS463316</t>
  </si>
  <si>
    <t>L'Ecole des Petits School</t>
  </si>
  <si>
    <t>SW6 2NB</t>
  </si>
  <si>
    <t>London Islamic School</t>
  </si>
  <si>
    <t>E1 2HX</t>
  </si>
  <si>
    <t>ITS442987</t>
  </si>
  <si>
    <t>Longwood School &amp; Nursery</t>
  </si>
  <si>
    <t>WD23 2QG</t>
  </si>
  <si>
    <t>Lord's Independent School</t>
  </si>
  <si>
    <t>BL1 4JU</t>
  </si>
  <si>
    <t>LPW Independent School</t>
  </si>
  <si>
    <t>BS3 4AG</t>
  </si>
  <si>
    <t>Crown House School</t>
  </si>
  <si>
    <t>HP11 1QX</t>
  </si>
  <si>
    <t>Croydon Metropolitan College</t>
  </si>
  <si>
    <t>CR0 1DN</t>
  </si>
  <si>
    <t>Crystal Gardens Primary School</t>
  </si>
  <si>
    <t>BD5 7PE</t>
  </si>
  <si>
    <t>Edstart</t>
  </si>
  <si>
    <t>M6 6DW</t>
  </si>
  <si>
    <t>Educational Excellence and Wellbeing</t>
  </si>
  <si>
    <t>CR0 1ND</t>
  </si>
  <si>
    <t>Ellern Mede School</t>
  </si>
  <si>
    <t>NW7 4HX</t>
  </si>
  <si>
    <t>ITS443481</t>
  </si>
  <si>
    <t>Excelsior College</t>
  </si>
  <si>
    <t>N17 8JN</t>
  </si>
  <si>
    <t>Gateshead Jewish Primary School</t>
  </si>
  <si>
    <t>NE8 4EA</t>
  </si>
  <si>
    <t>Getters Talmud Torah</t>
  </si>
  <si>
    <t>N16 5AR</t>
  </si>
  <si>
    <t>ITS447171</t>
  </si>
  <si>
    <t>Ghausia Girls' High School</t>
  </si>
  <si>
    <t>BB9 7EN</t>
  </si>
  <si>
    <t>Golders Hill School</t>
  </si>
  <si>
    <t>NW11 7NT</t>
  </si>
  <si>
    <t>ITS443490</t>
  </si>
  <si>
    <t>Goodwyn School</t>
  </si>
  <si>
    <t>NW7 4DB</t>
  </si>
  <si>
    <t>ITS443491</t>
  </si>
  <si>
    <t>Hyland House School</t>
  </si>
  <si>
    <t>N17 9AD</t>
  </si>
  <si>
    <t>Imam Muhammad Zakariya School</t>
  </si>
  <si>
    <t>PR1 3TN</t>
  </si>
  <si>
    <t>Imam Zakariya Academy</t>
  </si>
  <si>
    <t>E7 8AB</t>
  </si>
  <si>
    <t>Impact Independent School</t>
  </si>
  <si>
    <t>WS10 0JS</t>
  </si>
  <si>
    <t>Islamic Tarbiyah Preparatory School</t>
  </si>
  <si>
    <t>BD8 8AW</t>
  </si>
  <si>
    <t>Islamiyah School</t>
  </si>
  <si>
    <t>BB1 5NQ</t>
  </si>
  <si>
    <t>ITS447244</t>
  </si>
  <si>
    <t>Jaamiatul Imaam Muhammad Zakaria</t>
  </si>
  <si>
    <t>BD14 6JX</t>
  </si>
  <si>
    <t>ITS464000</t>
  </si>
  <si>
    <t>La Scuola Italiana A Londra</t>
  </si>
  <si>
    <t>W11 4UH</t>
  </si>
  <si>
    <t>Lady Aisha Academy</t>
  </si>
  <si>
    <t>IG11 8PY</t>
  </si>
  <si>
    <t>Land of Learning Primary School</t>
  </si>
  <si>
    <t>LE5 5PF</t>
  </si>
  <si>
    <t>Madani Secondary Girls' School</t>
  </si>
  <si>
    <t>E1 1HL</t>
  </si>
  <si>
    <t>Madinatul Uloom Al Islamiya School</t>
  </si>
  <si>
    <t>DY10 4BH</t>
  </si>
  <si>
    <t>Madni Academy</t>
  </si>
  <si>
    <t>WF12 9AY</t>
  </si>
  <si>
    <t>Newbold School</t>
  </si>
  <si>
    <t>RG42 4AH</t>
  </si>
  <si>
    <t>Newbury Hall School</t>
  </si>
  <si>
    <t>RG14 6AD</t>
  </si>
  <si>
    <t>HP8 4AD</t>
  </si>
  <si>
    <t>Nisai Learning Hub (Nottingham)</t>
  </si>
  <si>
    <t>NG1 1GD</t>
  </si>
  <si>
    <t>ITS447302</t>
  </si>
  <si>
    <t>On Track Education Centre Totnes</t>
  </si>
  <si>
    <t>TQ9 5LQ</t>
  </si>
  <si>
    <t>On Track Education Centre Westbury</t>
  </si>
  <si>
    <t>BA13 4JY</t>
  </si>
  <si>
    <t>On Track Education Centre Wisbech</t>
  </si>
  <si>
    <t>PE13 2RJ</t>
  </si>
  <si>
    <t>Our Place</t>
  </si>
  <si>
    <t>WR6 5JE</t>
  </si>
  <si>
    <t>ITS446256</t>
  </si>
  <si>
    <t>Red Rose School</t>
  </si>
  <si>
    <t>FY8 2NQ</t>
  </si>
  <si>
    <t>ITS408718</t>
  </si>
  <si>
    <t>Cambian Red Rose School</t>
  </si>
  <si>
    <t>PR5 8LN</t>
  </si>
  <si>
    <t>Ripplevale School</t>
  </si>
  <si>
    <t>CT14 8JG</t>
  </si>
  <si>
    <t>Riverbank Primary School</t>
  </si>
  <si>
    <t>HX6 4DH</t>
  </si>
  <si>
    <t>Roaches School</t>
  </si>
  <si>
    <t>ST8 7AB</t>
  </si>
  <si>
    <t>ITS422711</t>
  </si>
  <si>
    <t>St Paul's</t>
  </si>
  <si>
    <t>B12 8NJ</t>
  </si>
  <si>
    <t>Step By Step, School for Autistic Children Ltd</t>
  </si>
  <si>
    <t>RH19 4HP</t>
  </si>
  <si>
    <t>ITS463916</t>
  </si>
  <si>
    <t>Stepping Stones School Hindhead</t>
  </si>
  <si>
    <t>GU26 6SU</t>
  </si>
  <si>
    <t>Stradbroke</t>
  </si>
  <si>
    <t>IG8 8HD</t>
  </si>
  <si>
    <t>ITS462888</t>
  </si>
  <si>
    <t>The Island Project School</t>
  </si>
  <si>
    <t>CV7 7HQ</t>
  </si>
  <si>
    <t>ITS455552</t>
  </si>
  <si>
    <t>Jigsaw CABAS School</t>
  </si>
  <si>
    <t>GU6 8TB</t>
  </si>
  <si>
    <t>The Linnet Independent Learning Centre</t>
  </si>
  <si>
    <t>DE11 9JE</t>
  </si>
  <si>
    <t>Treasure House London Cic</t>
  </si>
  <si>
    <t>SE15 1JF</t>
  </si>
  <si>
    <t>ITS462896</t>
  </si>
  <si>
    <t>Trinity College</t>
  </si>
  <si>
    <t>LE11 1BA</t>
  </si>
  <si>
    <t>Trinity School and College</t>
  </si>
  <si>
    <t>ME1 1BG</t>
  </si>
  <si>
    <t>ITS463026</t>
  </si>
  <si>
    <t>Hillcrest Glebedale School</t>
  </si>
  <si>
    <t>ST4 3AY</t>
  </si>
  <si>
    <t>ITS446255</t>
  </si>
  <si>
    <t>Abbey College Cambridge</t>
  </si>
  <si>
    <t>CB2 8EB</t>
  </si>
  <si>
    <t>Al-Mahad-Al-Islami</t>
  </si>
  <si>
    <t>S9 5FP</t>
  </si>
  <si>
    <t>Al-Mizan School</t>
  </si>
  <si>
    <t>E1 1JX</t>
  </si>
  <si>
    <t>ITS446127</t>
  </si>
  <si>
    <t>Beis Hatalmud School</t>
  </si>
  <si>
    <t>M7 2FD</t>
  </si>
  <si>
    <t>Beis Malka Belz Girls School</t>
  </si>
  <si>
    <t>M7 2BT</t>
  </si>
  <si>
    <t>Beis Malka Girls' School</t>
  </si>
  <si>
    <t>N16 6XD</t>
  </si>
  <si>
    <t>Beis Medrash Elyon</t>
  </si>
  <si>
    <t>NW9 7DH</t>
  </si>
  <si>
    <t>ITS447235</t>
  </si>
  <si>
    <t>Beis Rochel d'Satmar Girls' School</t>
  </si>
  <si>
    <t>N16 5DL</t>
  </si>
  <si>
    <t>ITS462854</t>
  </si>
  <si>
    <t>Sketchley School</t>
  </si>
  <si>
    <t>LE10 3HT</t>
  </si>
  <si>
    <t>Small Haven School</t>
  </si>
  <si>
    <t>CT12 6PT</t>
  </si>
  <si>
    <t>Smallbrook School</t>
  </si>
  <si>
    <t>SY4 3HE</t>
  </si>
  <si>
    <t>Snowflake School</t>
  </si>
  <si>
    <t>SW5 9SJ</t>
  </si>
  <si>
    <t>The Corner House School (Chs)</t>
  </si>
  <si>
    <t>B98 9BD</t>
  </si>
  <si>
    <t>ITS446283</t>
  </si>
  <si>
    <t>The Davenport School</t>
  </si>
  <si>
    <t>CT12 6HX</t>
  </si>
  <si>
    <t>The Dominie School Limited</t>
  </si>
  <si>
    <t>SW11 4DX</t>
  </si>
  <si>
    <t>ITS454241</t>
  </si>
  <si>
    <t>The Education Centre</t>
  </si>
  <si>
    <t>RH16 1DB</t>
  </si>
  <si>
    <t>The Tutorial Foundation</t>
  </si>
  <si>
    <t>BR1 3HY</t>
  </si>
  <si>
    <t>The Unicorn School</t>
  </si>
  <si>
    <t>OX14 1AA</t>
  </si>
  <si>
    <t>Kingsmere School</t>
  </si>
  <si>
    <t>W14 8UD</t>
  </si>
  <si>
    <t>ITS397656</t>
  </si>
  <si>
    <t>The Yellow House School</t>
  </si>
  <si>
    <t>CO9 3HX</t>
  </si>
  <si>
    <t>Woodcroft School</t>
  </si>
  <si>
    <t>IG10 1SQ</t>
  </si>
  <si>
    <t>Woodlands School</t>
  </si>
  <si>
    <t>BL0 0QL</t>
  </si>
  <si>
    <t>Woodspring School</t>
  </si>
  <si>
    <t>BS22 7YA</t>
  </si>
  <si>
    <t>Al-Noor College</t>
  </si>
  <si>
    <t>B11 4RU</t>
  </si>
  <si>
    <t>Al-Noor Primary School</t>
  </si>
  <si>
    <t>RM6 5SD</t>
  </si>
  <si>
    <t>SW17 7TJ</t>
  </si>
  <si>
    <t>Al-Sadiq and Al-Zahra Schools</t>
  </si>
  <si>
    <t>NW6 6PF</t>
  </si>
  <si>
    <t>ITS452042</t>
  </si>
  <si>
    <t>All Saints School</t>
  </si>
  <si>
    <t>NR12 0DJ</t>
  </si>
  <si>
    <t>Bnei Zion Community School</t>
  </si>
  <si>
    <t>Bnois Jerusalem Girls School</t>
  </si>
  <si>
    <t>ITS386844</t>
  </si>
  <si>
    <t>Bnos Beis Yaakov Primary School</t>
  </si>
  <si>
    <t>NW9 8XR</t>
  </si>
  <si>
    <t>ITS447183</t>
  </si>
  <si>
    <t>Bnos Yisroel School Manchester</t>
  </si>
  <si>
    <t>M7 4DA</t>
  </si>
  <si>
    <t>Colston Bassett School Limited</t>
  </si>
  <si>
    <t>Conifers School</t>
  </si>
  <si>
    <t>GU29 9BG</t>
  </si>
  <si>
    <t>Connaught House School</t>
  </si>
  <si>
    <t>W2 2HL</t>
  </si>
  <si>
    <t>ITS408702</t>
  </si>
  <si>
    <t>Covenant Christian School</t>
  </si>
  <si>
    <t>SK4 4NX</t>
  </si>
  <si>
    <t>Drive Preparatory School</t>
  </si>
  <si>
    <t>BN3 6GE</t>
  </si>
  <si>
    <t>Dudley House School</t>
  </si>
  <si>
    <t>NG31 9AA</t>
  </si>
  <si>
    <t>Kensington Park School</t>
  </si>
  <si>
    <t>SW7 5JP</t>
  </si>
  <si>
    <t>Earlscliffe (Sussex Summer Schools Ltd)</t>
  </si>
  <si>
    <t>CT20 2NB</t>
  </si>
  <si>
    <t>Eastcourt Independent School</t>
  </si>
  <si>
    <t>IG3 8UW</t>
  </si>
  <si>
    <t>ITS447187</t>
  </si>
  <si>
    <t>On Track Education Centre (Silsoe)</t>
  </si>
  <si>
    <t>MK45 4HS</t>
  </si>
  <si>
    <t>St George's Preparatory School &amp; Little Dragons Preschool</t>
  </si>
  <si>
    <t>PE21 7HB</t>
  </si>
  <si>
    <t>St Helens Montessori</t>
  </si>
  <si>
    <t>ME15 0JT</t>
  </si>
  <si>
    <t>St John's Preparatory and Senior School</t>
  </si>
  <si>
    <t>EN6 5QT</t>
  </si>
  <si>
    <t>The Branch Christian School</t>
  </si>
  <si>
    <t>WF13 4LA</t>
  </si>
  <si>
    <t>The Children's House Upper School</t>
  </si>
  <si>
    <t>Islington</t>
  </si>
  <si>
    <t>N1 4PB</t>
  </si>
  <si>
    <t>The Christian School (Takeley)</t>
  </si>
  <si>
    <t>CM22 6QH</t>
  </si>
  <si>
    <t>The Complete Works Independent School</t>
  </si>
  <si>
    <t>E1 6LP</t>
  </si>
  <si>
    <t>ITS429469</t>
  </si>
  <si>
    <t>The Deenway Montessori School</t>
  </si>
  <si>
    <t>Reading</t>
  </si>
  <si>
    <t>RG1 4QX</t>
  </si>
  <si>
    <t>ITS440226</t>
  </si>
  <si>
    <t>Wharfedale Montessori School</t>
  </si>
  <si>
    <t>BD23 6AN</t>
  </si>
  <si>
    <t>Wickham Court School</t>
  </si>
  <si>
    <t>BR4 9HW</t>
  </si>
  <si>
    <t>Winston House Preparatory School</t>
  </si>
  <si>
    <t>E18 2QS</t>
  </si>
  <si>
    <t>ITS462886</t>
  </si>
  <si>
    <t>Wiznitz Cheder School</t>
  </si>
  <si>
    <t>N16 6QT</t>
  </si>
  <si>
    <t>ITS397705</t>
  </si>
  <si>
    <t>Raise Education and Wellbeing School</t>
  </si>
  <si>
    <t>BL3 3HS</t>
  </si>
  <si>
    <t>St Anthony's School for Girls</t>
  </si>
  <si>
    <t>NW11 7SX</t>
  </si>
  <si>
    <t>New Barn School</t>
  </si>
  <si>
    <t>RH12 3PQ</t>
  </si>
  <si>
    <t>Blackwater Academy</t>
  </si>
  <si>
    <t>B1 3ND</t>
  </si>
  <si>
    <t>Pivot Academy</t>
  </si>
  <si>
    <t>BD19 5LH</t>
  </si>
  <si>
    <t>Kensington Wade</t>
  </si>
  <si>
    <t>W14 8PU</t>
  </si>
  <si>
    <t>Independent Educational Services Long Street</t>
  </si>
  <si>
    <t>CV9 1AY</t>
  </si>
  <si>
    <t>Good Apple Education Company</t>
  </si>
  <si>
    <t>DN21 2NS</t>
  </si>
  <si>
    <t>Huntercombe Hospital School Meadow Lodge</t>
  </si>
  <si>
    <t>TQ13 0DD</t>
  </si>
  <si>
    <t>Cherry Tree School</t>
  </si>
  <si>
    <t>CT9 5QN</t>
  </si>
  <si>
    <t>Darul Uloom Leicester</t>
  </si>
  <si>
    <t>LE4 5LN</t>
  </si>
  <si>
    <t>Darul Uloom London</t>
  </si>
  <si>
    <t>BR7 6SD</t>
  </si>
  <si>
    <t>Darvell School</t>
  </si>
  <si>
    <t>TN32 5DR</t>
  </si>
  <si>
    <t>ITS361340</t>
  </si>
  <si>
    <t>Date Palm Primary School</t>
  </si>
  <si>
    <t>E1 2DE</t>
  </si>
  <si>
    <t>ITS422853</t>
  </si>
  <si>
    <t>Exeter Tutorial College</t>
  </si>
  <si>
    <t>EX2 4TE</t>
  </si>
  <si>
    <t>Fair Ways School</t>
  </si>
  <si>
    <t>SO31 7HE</t>
  </si>
  <si>
    <t>ITS422789</t>
  </si>
  <si>
    <t>Greek Primary School of London</t>
  </si>
  <si>
    <t>Greek Orthodox</t>
  </si>
  <si>
    <t>W3 9JR</t>
  </si>
  <si>
    <t>Greek Secondary School of London</t>
  </si>
  <si>
    <t>N22 8LB</t>
  </si>
  <si>
    <t>ITS443494</t>
  </si>
  <si>
    <t>Green Crescent Primary School</t>
  </si>
  <si>
    <t>NG6 0DG</t>
  </si>
  <si>
    <t>ITS454301</t>
  </si>
  <si>
    <t>Green Gables Montessori Primary School</t>
  </si>
  <si>
    <t>E1W 2RG</t>
  </si>
  <si>
    <t>ITS420183</t>
  </si>
  <si>
    <t>Green Heath School</t>
  </si>
  <si>
    <t>B10 0NR</t>
  </si>
  <si>
    <t>Catch22 Include Bristol</t>
  </si>
  <si>
    <t>BS2 8SF</t>
  </si>
  <si>
    <t>Include Schools Norfolk</t>
  </si>
  <si>
    <t>NR3 3UA</t>
  </si>
  <si>
    <t>Catch 22 Include Primary School Suffolk</t>
  </si>
  <si>
    <t>IP8 3AS</t>
  </si>
  <si>
    <t>Al Huda Academy (Jamia Al-Hudaa)</t>
  </si>
  <si>
    <t>S9 3FY</t>
  </si>
  <si>
    <t>Jamia Islamia Birmingham</t>
  </si>
  <si>
    <t>B11 1PL</t>
  </si>
  <si>
    <t>Leicester Community Academy</t>
  </si>
  <si>
    <t>LE5 0JA</t>
  </si>
  <si>
    <t>ITS444500</t>
  </si>
  <si>
    <t>Leicester International School</t>
  </si>
  <si>
    <t>LE2 0AA</t>
  </si>
  <si>
    <t>Leicester Islamic Academy</t>
  </si>
  <si>
    <t>LE2 2PJ</t>
  </si>
  <si>
    <t>Leicester Preparatory School</t>
  </si>
  <si>
    <t>LE2 2AA</t>
  </si>
  <si>
    <t>ITS462912</t>
  </si>
  <si>
    <t>Mechinoh School</t>
  </si>
  <si>
    <t>M7 4HY</t>
  </si>
  <si>
    <t>Mehria School</t>
  </si>
  <si>
    <t>LU4 8JD</t>
  </si>
  <si>
    <t>Menorah Grammar School</t>
  </si>
  <si>
    <t>HA8 0QS</t>
  </si>
  <si>
    <t>W6 0EU</t>
  </si>
  <si>
    <t>ITS408746</t>
  </si>
  <si>
    <t>Orchard School</t>
  </si>
  <si>
    <t>DN22 0DJ</t>
  </si>
  <si>
    <t>Palfrey Girls School</t>
  </si>
  <si>
    <t>WS1 4AB</t>
  </si>
  <si>
    <t>Radlett Preparatory School</t>
  </si>
  <si>
    <t>WD7 7LY</t>
  </si>
  <si>
    <t>Rainbow Montessori School</t>
  </si>
  <si>
    <t>NW6 3PL</t>
  </si>
  <si>
    <t>ITS385064</t>
  </si>
  <si>
    <t>Rawdhatul Uloom</t>
  </si>
  <si>
    <t>BB10 1LU</t>
  </si>
  <si>
    <t>ITS440216</t>
  </si>
  <si>
    <t>Rawdhatul Uloom Islamic Primary School</t>
  </si>
  <si>
    <t>BB1 5NZ</t>
  </si>
  <si>
    <t>Read Academy</t>
  </si>
  <si>
    <t>IG1 4AD</t>
  </si>
  <si>
    <t>ITS443014</t>
  </si>
  <si>
    <t>Tarbiyyah Primary School</t>
  </si>
  <si>
    <t>UB3 4SA</t>
  </si>
  <si>
    <t>Tashbar of Edgware</t>
  </si>
  <si>
    <t>HA8 8JL</t>
  </si>
  <si>
    <t>ITS443504</t>
  </si>
  <si>
    <t>Tashbar of Manchester</t>
  </si>
  <si>
    <t>M7 4HL</t>
  </si>
  <si>
    <t>Tawhid Boys School, Tawhid Educational Trust</t>
  </si>
  <si>
    <t>N16 6PA</t>
  </si>
  <si>
    <t>ITS447191</t>
  </si>
  <si>
    <t>Toras Emes</t>
  </si>
  <si>
    <t>M7 4AH</t>
  </si>
  <si>
    <t>Tower House School</t>
  </si>
  <si>
    <t>Torbay</t>
  </si>
  <si>
    <t>TQ4 5EW</t>
  </si>
  <si>
    <t>TTD Gur School</t>
  </si>
  <si>
    <t>N16 6UX</t>
  </si>
  <si>
    <t>Twycross House Pre-Preparatory School</t>
  </si>
  <si>
    <t>CV9 3PQ</t>
  </si>
  <si>
    <t>ITS443464</t>
  </si>
  <si>
    <t>Reddish Hall School</t>
  </si>
  <si>
    <t>SK5 6RN</t>
  </si>
  <si>
    <t>Chelmsford Hospital School</t>
  </si>
  <si>
    <t>CM1 7SJ</t>
  </si>
  <si>
    <t>REAL Alternative Provision School</t>
  </si>
  <si>
    <t>NG18 2AD</t>
  </si>
  <si>
    <t>The GFC School</t>
  </si>
  <si>
    <t>ME7 4DD</t>
  </si>
  <si>
    <t>Talmud Torah London</t>
  </si>
  <si>
    <t>Home Farm School</t>
  </si>
  <si>
    <t>Progress Schools - Toxteth</t>
  </si>
  <si>
    <t>L8 8HD</t>
  </si>
  <si>
    <t>The Ryes College and Community</t>
  </si>
  <si>
    <t>CO10 5NA</t>
  </si>
  <si>
    <t>Foundation Bridge Academy</t>
  </si>
  <si>
    <t>ST6 1JJ</t>
  </si>
  <si>
    <t>Cheshire Alternative Provision School</t>
  </si>
  <si>
    <t>CW12 1EH</t>
  </si>
  <si>
    <t>Bluebell School</t>
  </si>
  <si>
    <t>ST7 1EH</t>
  </si>
  <si>
    <t>Mill Cottage Montessori School</t>
  </si>
  <si>
    <t>HD6 4HA</t>
  </si>
  <si>
    <t>Milverton House School</t>
  </si>
  <si>
    <t>CV11 4NS</t>
  </si>
  <si>
    <t>Moor Allerton Preparatory School</t>
  </si>
  <si>
    <t>M20 2PW</t>
  </si>
  <si>
    <t>Paradise Primary School</t>
  </si>
  <si>
    <t>WF12 9BB</t>
  </si>
  <si>
    <t>Paragon Christian Academy</t>
  </si>
  <si>
    <t>E5 0JP</t>
  </si>
  <si>
    <t>Pardes House Grammar School</t>
  </si>
  <si>
    <t>N3 1SA</t>
  </si>
  <si>
    <t>ITS442984</t>
  </si>
  <si>
    <t>Park School</t>
  </si>
  <si>
    <t>TQ9 6EQ</t>
  </si>
  <si>
    <t>St Albans Independent College</t>
  </si>
  <si>
    <t>AL1 1LN</t>
  </si>
  <si>
    <t>St Andrew's College</t>
  </si>
  <si>
    <t>NN1 5HQ</t>
  </si>
  <si>
    <t>St Christopher's School</t>
  </si>
  <si>
    <t>CT1 3DT</t>
  </si>
  <si>
    <t>ITS452710</t>
  </si>
  <si>
    <t>St Christophers The Hall School</t>
  </si>
  <si>
    <t>BR3 5PA</t>
  </si>
  <si>
    <t>ITS442985</t>
  </si>
  <si>
    <t>St John's Wood Pre-Preparatory School</t>
  </si>
  <si>
    <t>NW8 7NE</t>
  </si>
  <si>
    <t>ITS385071</t>
  </si>
  <si>
    <t>M7 2AU</t>
  </si>
  <si>
    <t>Talmud Torah Machzikei Hadass School</t>
  </si>
  <si>
    <t>E5 9SN</t>
  </si>
  <si>
    <t>ITS422689</t>
  </si>
  <si>
    <t>Talmud Torah Tiferes Shlomoh</t>
  </si>
  <si>
    <t>NW11 9TB</t>
  </si>
  <si>
    <t>The King's School</t>
  </si>
  <si>
    <t>RG21 8SR</t>
  </si>
  <si>
    <t>AL5 4DU</t>
  </si>
  <si>
    <t>The Lambs Christian School</t>
  </si>
  <si>
    <t>B19 1AY</t>
  </si>
  <si>
    <t>The London Acorn School</t>
  </si>
  <si>
    <t>SM4 5JD</t>
  </si>
  <si>
    <t>Tiferes</t>
  </si>
  <si>
    <t>M7 2JR</t>
  </si>
  <si>
    <t>Tiferes High School</t>
  </si>
  <si>
    <t>NW4 2TA</t>
  </si>
  <si>
    <t>ITS447170</t>
  </si>
  <si>
    <t>NG5 5HN</t>
  </si>
  <si>
    <t>ITS443007</t>
  </si>
  <si>
    <t>TLG - South East Birmingham</t>
  </si>
  <si>
    <t>B14 4BN</t>
  </si>
  <si>
    <t>ITS443019</t>
  </si>
  <si>
    <t>TLG Manchester</t>
  </si>
  <si>
    <t>M9 5US</t>
  </si>
  <si>
    <t>ITS454292</t>
  </si>
  <si>
    <t>Oscott Academy</t>
  </si>
  <si>
    <t>B23 5AP</t>
  </si>
  <si>
    <t>Manchester Vocational and Learning Academy</t>
  </si>
  <si>
    <t>M19 3AQ</t>
  </si>
  <si>
    <t>SK4 5HS</t>
  </si>
  <si>
    <t>S75 3DH</t>
  </si>
  <si>
    <t>Cambian Bletchley Park School</t>
  </si>
  <si>
    <t>Milton Keynes</t>
  </si>
  <si>
    <t>MK3 7EB</t>
  </si>
  <si>
    <t>Broadbeck Learning Centre</t>
  </si>
  <si>
    <t>BD6 2LE</t>
  </si>
  <si>
    <t>Horton School Beverley</t>
  </si>
  <si>
    <t>HU17 0BG</t>
  </si>
  <si>
    <t>New Level Academy</t>
  </si>
  <si>
    <t>NW10 8LW</t>
  </si>
  <si>
    <t>Bridge Training and Development</t>
  </si>
  <si>
    <t>WR8 0DX</t>
  </si>
  <si>
    <t>Prestwich Preparatory School</t>
  </si>
  <si>
    <t>M25 1PZ</t>
  </si>
  <si>
    <t>Priory School</t>
  </si>
  <si>
    <t>Isle of Wight</t>
  </si>
  <si>
    <t>PO32 6LP</t>
  </si>
  <si>
    <t>ITS397611</t>
  </si>
  <si>
    <t>Promised Land Academy</t>
  </si>
  <si>
    <t>E13 8SR</t>
  </si>
  <si>
    <t>ITS408717</t>
  </si>
  <si>
    <t>Prospect House</t>
  </si>
  <si>
    <t>LA5 9TG</t>
  </si>
  <si>
    <t>Schoolhouse Education</t>
  </si>
  <si>
    <t>SE2 9LZ</t>
  </si>
  <si>
    <t>Shernold School</t>
  </si>
  <si>
    <t>ME16 0ER</t>
  </si>
  <si>
    <t>Silverhill School</t>
  </si>
  <si>
    <t>BS36 1RL</t>
  </si>
  <si>
    <t>St. Andrew's College Cambridge</t>
  </si>
  <si>
    <t>CB1 2JB</t>
  </si>
  <si>
    <t>ITS446379</t>
  </si>
  <si>
    <t>Stanborough Primary School</t>
  </si>
  <si>
    <t>WD25 0DQ</t>
  </si>
  <si>
    <t>The Eden SDA School</t>
  </si>
  <si>
    <t>W3 8JY</t>
  </si>
  <si>
    <t>The Fountain</t>
  </si>
  <si>
    <t>BD5 8BP</t>
  </si>
  <si>
    <t>The From Boyhood To Manhood Foundation</t>
  </si>
  <si>
    <t>SE15 6EF</t>
  </si>
  <si>
    <t>ITS385632</t>
  </si>
  <si>
    <t>The Shrubbery School</t>
  </si>
  <si>
    <t>B76 1HY</t>
  </si>
  <si>
    <t>The St Anne's College Grammar School</t>
  </si>
  <si>
    <t>FY8 1HN</t>
  </si>
  <si>
    <t>The Swedish School</t>
  </si>
  <si>
    <t>SW13 9JS</t>
  </si>
  <si>
    <t>The Treehouse School</t>
  </si>
  <si>
    <t>OX10 9LG</t>
  </si>
  <si>
    <t>Walthamstow Montessori School</t>
  </si>
  <si>
    <t>E17 5DA</t>
  </si>
  <si>
    <t>Ward End Community College</t>
  </si>
  <si>
    <t>B8 2LS</t>
  </si>
  <si>
    <t>ITS454273</t>
  </si>
  <si>
    <t>Wentworth Tutorial College</t>
  </si>
  <si>
    <t>NW11 9LH</t>
  </si>
  <si>
    <t>ITS386849</t>
  </si>
  <si>
    <t>Westminster Tutors</t>
  </si>
  <si>
    <t>SW7 3LQ</t>
  </si>
  <si>
    <t>ITS454302</t>
  </si>
  <si>
    <t>Westwood High</t>
  </si>
  <si>
    <t>OL9 6HR</t>
  </si>
  <si>
    <t>The Haven School</t>
  </si>
  <si>
    <t>ST17 9DJ</t>
  </si>
  <si>
    <t>Cheadle Hospital School</t>
  </si>
  <si>
    <t>SK8 3DG</t>
  </si>
  <si>
    <t>Lower Pastures</t>
  </si>
  <si>
    <t>BB3 3QP</t>
  </si>
  <si>
    <t>North London Hospital School</t>
  </si>
  <si>
    <t>N14 6RA</t>
  </si>
  <si>
    <t>TLG Bolton</t>
  </si>
  <si>
    <t>BL4 9AL</t>
  </si>
  <si>
    <t>FUEL</t>
  </si>
  <si>
    <t>NG5 1DX</t>
  </si>
  <si>
    <t>Dar-Ul-Madinah</t>
  </si>
  <si>
    <t>BB2 6HD</t>
  </si>
  <si>
    <t>The Place Independent School</t>
  </si>
  <si>
    <t>NG13 0EA</t>
  </si>
  <si>
    <t>Kings International Study Centre At Downside</t>
  </si>
  <si>
    <t>BA3 4RJ</t>
  </si>
  <si>
    <t>Gloucestershire International School</t>
  </si>
  <si>
    <t>GL1 3PT</t>
  </si>
  <si>
    <t>SW!TCH Borders</t>
  </si>
  <si>
    <t>RM8 2UT</t>
  </si>
  <si>
    <t>Bradford Christian School</t>
  </si>
  <si>
    <t>BD2 1BT</t>
  </si>
  <si>
    <t>Bramdean School</t>
  </si>
  <si>
    <t>EX1 2QR</t>
  </si>
  <si>
    <t>Break Through</t>
  </si>
  <si>
    <t>DA17 5JX</t>
  </si>
  <si>
    <t>ITS443027</t>
  </si>
  <si>
    <t>City United Academy (CUA)</t>
  </si>
  <si>
    <t>B6 7SS</t>
  </si>
  <si>
    <t>ITS408670</t>
  </si>
  <si>
    <t>Dallington School</t>
  </si>
  <si>
    <t>EC1V 0BW</t>
  </si>
  <si>
    <t>ITS454240</t>
  </si>
  <si>
    <t>Darul Hadis Latifiah</t>
  </si>
  <si>
    <t>E2 0HW</t>
  </si>
  <si>
    <t>Epic Learning Independent School</t>
  </si>
  <si>
    <t>ITS443034</t>
  </si>
  <si>
    <t>Eternal Light Secondary School</t>
  </si>
  <si>
    <t>BD5 9DH</t>
  </si>
  <si>
    <t>Etz Chaim Boys School</t>
  </si>
  <si>
    <t>Gracefield Preparatory School</t>
  </si>
  <si>
    <t>BS16 2RG</t>
  </si>
  <si>
    <t>Grafton House Preparatory School</t>
  </si>
  <si>
    <t>OL6 6XB</t>
  </si>
  <si>
    <t>Grantham Farm Montessori School</t>
  </si>
  <si>
    <t>RG26 5JS</t>
  </si>
  <si>
    <t>High Elms Manor School</t>
  </si>
  <si>
    <t>WD25 0JX</t>
  </si>
  <si>
    <t>Hill House International Junior School</t>
  </si>
  <si>
    <t>SW1X 0EP</t>
  </si>
  <si>
    <t>ITS454804</t>
  </si>
  <si>
    <t>Homeschool</t>
  </si>
  <si>
    <t>WS10 0GB</t>
  </si>
  <si>
    <t>House of Light</t>
  </si>
  <si>
    <t>CV11 5RB</t>
  </si>
  <si>
    <t>ITS440219</t>
  </si>
  <si>
    <t>Islamia Girls' High School</t>
  </si>
  <si>
    <t>HD1 3JP</t>
  </si>
  <si>
    <t>Islamia School for Girls'</t>
  </si>
  <si>
    <t>NW6 6PE</t>
  </si>
  <si>
    <t xml:space="preserve">Islamic Preparatory School Wolverhampton </t>
  </si>
  <si>
    <t>Wolverhampton</t>
  </si>
  <si>
    <t>WV1 4RA</t>
  </si>
  <si>
    <t>N15 5RG</t>
  </si>
  <si>
    <t>ITS464982</t>
  </si>
  <si>
    <t>W1B 1LS</t>
  </si>
  <si>
    <t>ITS422857</t>
  </si>
  <si>
    <t>La Chouette School</t>
  </si>
  <si>
    <t>W5 2PJ</t>
  </si>
  <si>
    <t>ITS397703</t>
  </si>
  <si>
    <t>La Petite Ecole Bilingue</t>
  </si>
  <si>
    <t>W10 5UW</t>
  </si>
  <si>
    <t>NW5 4NL</t>
  </si>
  <si>
    <t>La Petite Ecole Francaise</t>
  </si>
  <si>
    <t>W10 6EJ</t>
  </si>
  <si>
    <t>ITS361320</t>
  </si>
  <si>
    <t>Luton Pentecostal Church Christian Academy</t>
  </si>
  <si>
    <t>LU1 3JE</t>
  </si>
  <si>
    <t>Lycee Francais Charles de Gaulle</t>
  </si>
  <si>
    <t>SW7 2DG</t>
  </si>
  <si>
    <t>ITS397589</t>
  </si>
  <si>
    <t>Elite Grammar School</t>
  </si>
  <si>
    <t>BD5 0HT</t>
  </si>
  <si>
    <t>Madani Primary School</t>
  </si>
  <si>
    <t>Portsmouth</t>
  </si>
  <si>
    <t>PO1 4JZ</t>
  </si>
  <si>
    <t>Full Circle Education</t>
  </si>
  <si>
    <t>SE3 8ND</t>
  </si>
  <si>
    <t>ITS443035</t>
  </si>
  <si>
    <t>Future First Independent School</t>
  </si>
  <si>
    <t>B18 7RL</t>
  </si>
  <si>
    <t>Gateshead Jewish Boarding School</t>
  </si>
  <si>
    <t>NE8 1HG</t>
  </si>
  <si>
    <t>Haddon Dene School</t>
  </si>
  <si>
    <t>CT10 2HY</t>
  </si>
  <si>
    <t>Halcyon London International School</t>
  </si>
  <si>
    <t>W1H 5AU</t>
  </si>
  <si>
    <t>Hall Cliffe School</t>
  </si>
  <si>
    <t>WF4 6BB</t>
  </si>
  <si>
    <t>Institute of Islamic Education</t>
  </si>
  <si>
    <t>WF12 9NG</t>
  </si>
  <si>
    <t>Instituto Espanol Canada Blanch</t>
  </si>
  <si>
    <t>W10 5SZ</t>
  </si>
  <si>
    <t>ITS420175</t>
  </si>
  <si>
    <t>International Community School</t>
  </si>
  <si>
    <t>NW1 4PT</t>
  </si>
  <si>
    <t>ITS442983</t>
  </si>
  <si>
    <t>International School of London</t>
  </si>
  <si>
    <t>W3 8LG</t>
  </si>
  <si>
    <t>TS3 8BT</t>
  </si>
  <si>
    <t>ITS454297</t>
  </si>
  <si>
    <t>Khalsa College London</t>
  </si>
  <si>
    <t>HA1 4ES</t>
  </si>
  <si>
    <t>ITS454276</t>
  </si>
  <si>
    <t>Kimichi School</t>
  </si>
  <si>
    <t>B27 6LL</t>
  </si>
  <si>
    <t>ITS462986</t>
  </si>
  <si>
    <t>King Fahad Academy</t>
  </si>
  <si>
    <t>W3 7HD</t>
  </si>
  <si>
    <t>Lion House School</t>
  </si>
  <si>
    <t>SW15 6EH</t>
  </si>
  <si>
    <t>ITS443488</t>
  </si>
  <si>
    <t>London Bunka Yochien School</t>
  </si>
  <si>
    <t>W3 0BP</t>
  </si>
  <si>
    <t>ITS422733</t>
  </si>
  <si>
    <t>London Christian Learning Centre</t>
  </si>
  <si>
    <t>E12 5AD</t>
  </si>
  <si>
    <t>London East Academy</t>
  </si>
  <si>
    <t>Manchester Junior Girls' School</t>
  </si>
  <si>
    <t>M7 4JA</t>
  </si>
  <si>
    <t>Manchester Muslim Preparatory School</t>
  </si>
  <si>
    <t>M20 4BA</t>
  </si>
  <si>
    <t>Manchester Senior Girls School</t>
  </si>
  <si>
    <t>M7 4GB</t>
  </si>
  <si>
    <t>Manchester Settlement</t>
  </si>
  <si>
    <t>M11 1JG</t>
  </si>
  <si>
    <t>Noor Ul Islam Primary School</t>
  </si>
  <si>
    <t>E10 6QW</t>
  </si>
  <si>
    <t>ITS364274</t>
  </si>
  <si>
    <t>Norman Court School</t>
  </si>
  <si>
    <t>SP5 1NH</t>
  </si>
  <si>
    <t>ITS462905</t>
  </si>
  <si>
    <t>North London Grammar School</t>
  </si>
  <si>
    <t>NW9 6HB</t>
  </si>
  <si>
    <t>ITS422772</t>
  </si>
  <si>
    <t>North Road Academy</t>
  </si>
  <si>
    <t>ST6 2BP</t>
  </si>
  <si>
    <t>ITS422847</t>
  </si>
  <si>
    <t>Redstone Educational Academy</t>
  </si>
  <si>
    <t>B12 9AN</t>
  </si>
  <si>
    <t>Reedham Park School Limited</t>
  </si>
  <si>
    <t>CR8 4DN</t>
  </si>
  <si>
    <t>ITS443493</t>
  </si>
  <si>
    <t>Right Choice Independent Special School</t>
  </si>
  <si>
    <t>SE18 6BB</t>
  </si>
  <si>
    <t>ITS422763</t>
  </si>
  <si>
    <t>Rikkyo School-in-England</t>
  </si>
  <si>
    <t>Anglican/Christian</t>
  </si>
  <si>
    <t>RH12 3BE</t>
  </si>
  <si>
    <t>ITS446181</t>
  </si>
  <si>
    <t>RISE Education</t>
  </si>
  <si>
    <t>CR4 3ED</t>
  </si>
  <si>
    <t>ITS462890</t>
  </si>
  <si>
    <t>River House Montessori School</t>
  </si>
  <si>
    <t>E14 9XP</t>
  </si>
  <si>
    <t>ITS364208</t>
  </si>
  <si>
    <t>Rochdale Islamic Academy</t>
  </si>
  <si>
    <t>OL12 0HZ</t>
  </si>
  <si>
    <t>Rose House Montessori School</t>
  </si>
  <si>
    <t>SE23 2UJ</t>
  </si>
  <si>
    <t>Rosslyn School</t>
  </si>
  <si>
    <t>B28 9JB</t>
  </si>
  <si>
    <t>St Mary's Independent School</t>
  </si>
  <si>
    <t>SO18 4DJ</t>
  </si>
  <si>
    <t>ITS408714</t>
  </si>
  <si>
    <t>St Mary's Hare Park School</t>
  </si>
  <si>
    <t>RM2 6HH</t>
  </si>
  <si>
    <t>ITS443495</t>
  </si>
  <si>
    <t>St Philip's School</t>
  </si>
  <si>
    <t>SW7 4NE</t>
  </si>
  <si>
    <t>ITS420169</t>
  </si>
  <si>
    <t>Tayyibah Girls' School</t>
  </si>
  <si>
    <t>N16 6JJ</t>
  </si>
  <si>
    <t>The Academy School</t>
  </si>
  <si>
    <t>NW3 1NG</t>
  </si>
  <si>
    <t>The Acorn School</t>
  </si>
  <si>
    <t>GL6 0BP</t>
  </si>
  <si>
    <t>The American School in London</t>
  </si>
  <si>
    <t>NW8 0NP</t>
  </si>
  <si>
    <t>ITS408703</t>
  </si>
  <si>
    <t>The Norwegian School in London</t>
  </si>
  <si>
    <t>The Pier Head Preparatory Montessori School</t>
  </si>
  <si>
    <t>E1W 3TD</t>
  </si>
  <si>
    <t>The Roche School</t>
  </si>
  <si>
    <t>SW18 1HW</t>
  </si>
  <si>
    <t>ITS443487</t>
  </si>
  <si>
    <t>The School of the Islamic Republic of Iran</t>
  </si>
  <si>
    <t>NW6 5HE</t>
  </si>
  <si>
    <t>Unity Girls High School</t>
  </si>
  <si>
    <t>NW9 7DY</t>
  </si>
  <si>
    <t>ITS397700</t>
  </si>
  <si>
    <t>Vishnitz Girls School</t>
  </si>
  <si>
    <t>Wakefield Independent School</t>
  </si>
  <si>
    <t>WF4 1QG</t>
  </si>
  <si>
    <t>Stafford Hall School</t>
  </si>
  <si>
    <t>HX3 0AW</t>
  </si>
  <si>
    <t>Huntercombe Hospital School Maidenhead</t>
  </si>
  <si>
    <t>SL6 0PQ</t>
  </si>
  <si>
    <t>My Choice School Osprey House</t>
  </si>
  <si>
    <t>Lycee International De Londres</t>
  </si>
  <si>
    <t>HA9 9LY</t>
  </si>
  <si>
    <t>Ecole Jeannine Manuel</t>
  </si>
  <si>
    <t>WC1B 3DN</t>
  </si>
  <si>
    <t>The Jam Academy</t>
  </si>
  <si>
    <t>SL7 2LS</t>
  </si>
  <si>
    <t>Active Support Education Centre</t>
  </si>
  <si>
    <t>LU3 1RJ</t>
  </si>
  <si>
    <t>Hall Cliffe Primary School</t>
  </si>
  <si>
    <t>WF2 0QB</t>
  </si>
  <si>
    <t>Excel and Exceed Centre</t>
  </si>
  <si>
    <t>BL8 2BS</t>
  </si>
  <si>
    <t>Horatio House Independent School</t>
  </si>
  <si>
    <t>NR32 5LL</t>
  </si>
  <si>
    <t>Columbus House</t>
  </si>
  <si>
    <t>HX2 0TX</t>
  </si>
  <si>
    <t>Tlg Wakefield</t>
  </si>
  <si>
    <t>WF6 1NT</t>
  </si>
  <si>
    <t>The National Mathematics and Science College</t>
  </si>
  <si>
    <t>CV4 8JB</t>
  </si>
  <si>
    <t>Gloverspiece</t>
  </si>
  <si>
    <t>WR9 0RQ</t>
  </si>
  <si>
    <t>Newbury School</t>
  </si>
  <si>
    <t>B19 2SW</t>
  </si>
  <si>
    <t>The Retreat</t>
  </si>
  <si>
    <t>TF6 6PN</t>
  </si>
  <si>
    <t>Yeshiva Lezeirim Preparatory Academy</t>
  </si>
  <si>
    <t>NE8 4EF</t>
  </si>
  <si>
    <t>Eden School</t>
  </si>
  <si>
    <t>SK10 3LQ</t>
  </si>
  <si>
    <t>Ashbrooke School</t>
  </si>
  <si>
    <t>SR2 7JA</t>
  </si>
  <si>
    <t>Advance Education</t>
  </si>
  <si>
    <t>NW10 7TR</t>
  </si>
  <si>
    <t>Arbour House</t>
  </si>
  <si>
    <t>DT4 7QF</t>
  </si>
  <si>
    <t>KWS School</t>
  </si>
  <si>
    <t>MK2 3HU</t>
  </si>
  <si>
    <t>Eaton Square Upper School, Mayfair</t>
  </si>
  <si>
    <t>W1J 7NL</t>
  </si>
  <si>
    <t>Edith Kay Independent School</t>
  </si>
  <si>
    <t>NW10 8HR</t>
  </si>
  <si>
    <t>Alamiyah School</t>
  </si>
  <si>
    <t>RM8 2ES</t>
  </si>
  <si>
    <t>Watchorn Christian School</t>
  </si>
  <si>
    <t>DE55 7AQ</t>
  </si>
  <si>
    <t>E-Spired</t>
  </si>
  <si>
    <t>MK42 9TW</t>
  </si>
  <si>
    <t>Releasing Potential</t>
  </si>
  <si>
    <t>PO9 1LS</t>
  </si>
  <si>
    <t>Education My Life Matters</t>
  </si>
  <si>
    <t>SE26 6AD</t>
  </si>
  <si>
    <t>Reflections Small School</t>
  </si>
  <si>
    <t>BN11 1PS</t>
  </si>
  <si>
    <t>Wood Edge Independent School</t>
  </si>
  <si>
    <t>L39 4UL</t>
  </si>
  <si>
    <t>Totnes Progressive School</t>
  </si>
  <si>
    <t>TQ9 5JT</t>
  </si>
  <si>
    <t>Hillcrest New Barn</t>
  </si>
  <si>
    <t>RG20 8HZ</t>
  </si>
  <si>
    <t>Lubavitch Senior Boys' School</t>
  </si>
  <si>
    <t>E5 9AE</t>
  </si>
  <si>
    <t>The Orchard</t>
  </si>
  <si>
    <t>DN37 9PH</t>
  </si>
  <si>
    <t>SBC School</t>
  </si>
  <si>
    <t>South Tyneside</t>
  </si>
  <si>
    <t>NE32 5RR</t>
  </si>
  <si>
    <t>Compass Community School South</t>
  </si>
  <si>
    <t>BN9 0NS</t>
  </si>
  <si>
    <t>Embleton View</t>
  </si>
  <si>
    <t>DL2 3DL</t>
  </si>
  <si>
    <t>Dovecote School</t>
  </si>
  <si>
    <t>HR9 6PB</t>
  </si>
  <si>
    <t>Take 1 Learning Centre</t>
  </si>
  <si>
    <t>NG7 6BE</t>
  </si>
  <si>
    <t>Kingsbrook School</t>
  </si>
  <si>
    <t>IP25 7TJ</t>
  </si>
  <si>
    <t>New Forest Small School</t>
  </si>
  <si>
    <t>SO43 7BU</t>
  </si>
  <si>
    <t>ITS447181</t>
  </si>
  <si>
    <t>New Horizon Community School</t>
  </si>
  <si>
    <t>LS7 4JE</t>
  </si>
  <si>
    <t>Parkgate House School</t>
  </si>
  <si>
    <t>SW4 9SD</t>
  </si>
  <si>
    <t>ITS443489</t>
  </si>
  <si>
    <t>Peninim</t>
  </si>
  <si>
    <t>NW4 2NL</t>
  </si>
  <si>
    <t>N9 8LD</t>
  </si>
  <si>
    <t>Phoenix U16 Independent School</t>
  </si>
  <si>
    <t>ST1 4AF</t>
  </si>
  <si>
    <t>ITS408678</t>
  </si>
  <si>
    <t>Soaring High Montessori School</t>
  </si>
  <si>
    <t>CO6 1TH</t>
  </si>
  <si>
    <t>Sol Christian Academy</t>
  </si>
  <si>
    <t>M12 6EL</t>
  </si>
  <si>
    <t>ITS443015</t>
  </si>
  <si>
    <t>South Park Enterprise College (11-19)</t>
  </si>
  <si>
    <t>DN17 2TX</t>
  </si>
  <si>
    <t>ITS463010</t>
  </si>
  <si>
    <t>Sporting Stars Academy</t>
  </si>
  <si>
    <t>ST2 7AS</t>
  </si>
  <si>
    <t>ITS462985</t>
  </si>
  <si>
    <t>Sunrise Primary School</t>
  </si>
  <si>
    <t>N17 0EX</t>
  </si>
  <si>
    <t>Switched-On Christian School</t>
  </si>
  <si>
    <t>BH2 6NA</t>
  </si>
  <si>
    <t>Sycamore Hall Preparatory School</t>
  </si>
  <si>
    <t>DN4 8PT</t>
  </si>
  <si>
    <t>The Gateshead Cheder Primary School</t>
  </si>
  <si>
    <t>NE8 3HY</t>
  </si>
  <si>
    <t>The German School</t>
  </si>
  <si>
    <t>TW10 7AH</t>
  </si>
  <si>
    <t>ITS441612</t>
  </si>
  <si>
    <t>The Green Room</t>
  </si>
  <si>
    <t>SL4 5BU</t>
  </si>
  <si>
    <t>The Hall School</t>
  </si>
  <si>
    <t>HA6 2RB</t>
  </si>
  <si>
    <t>ITS341952</t>
  </si>
  <si>
    <t>The Harrodian School</t>
  </si>
  <si>
    <t>SW13 9QN</t>
  </si>
  <si>
    <t>ITS387062</t>
  </si>
  <si>
    <t>The Wisdom Academy</t>
  </si>
  <si>
    <t>B7 4HY</t>
  </si>
  <si>
    <t>Thomas's Battersea</t>
  </si>
  <si>
    <t>SW11 3JB</t>
  </si>
  <si>
    <t>ITS443486</t>
  </si>
  <si>
    <t>Thomas's Clapham</t>
  </si>
  <si>
    <t>SW11 6JZ</t>
  </si>
  <si>
    <t>ITS364250</t>
  </si>
  <si>
    <t>Thomas's Fulham</t>
  </si>
  <si>
    <t>SW6 3ES</t>
  </si>
  <si>
    <t>ITS443472</t>
  </si>
  <si>
    <t>Yorston Lodge School</t>
  </si>
  <si>
    <t>WA16 0DP</t>
  </si>
  <si>
    <t>Young Dancers Academy</t>
  </si>
  <si>
    <t>W12 8AR</t>
  </si>
  <si>
    <t>Ysgol Gymraeg Llundain, London Welsh School</t>
  </si>
  <si>
    <t>W7 1PD</t>
  </si>
  <si>
    <t>Zakaria Muslim Girls' High School</t>
  </si>
  <si>
    <t>WF17 6AJ</t>
  </si>
  <si>
    <t>The Write Time</t>
  </si>
  <si>
    <t>CR0 2XX</t>
  </si>
  <si>
    <t>The Shires At Oakham</t>
  </si>
  <si>
    <t>LE15 6JB</t>
  </si>
  <si>
    <t>Evergreen School</t>
  </si>
  <si>
    <t>ST10 2LP</t>
  </si>
  <si>
    <t>Imedia School</t>
  </si>
  <si>
    <t>B23 6UT</t>
  </si>
  <si>
    <t>St Joseph's Convent Independent Preparatory School</t>
  </si>
  <si>
    <t>DA12 1NR</t>
  </si>
  <si>
    <t>T T T Y Y School</t>
  </si>
  <si>
    <t>N16 5NH</t>
  </si>
  <si>
    <t>Talmud Torah Bobov Primary School</t>
  </si>
  <si>
    <t>N16 6UE</t>
  </si>
  <si>
    <t>ITS464155</t>
  </si>
  <si>
    <t>Talmud Torah Chaim Meirim Wiznitz School</t>
  </si>
  <si>
    <t>N16 6XB</t>
  </si>
  <si>
    <t>ITS442979</t>
  </si>
  <si>
    <t>The Imam Muhammad Adam Institute  School</t>
  </si>
  <si>
    <t>LE5 5AY</t>
  </si>
  <si>
    <t>The Japanese School</t>
  </si>
  <si>
    <t>W3 9PU</t>
  </si>
  <si>
    <t>The Kensington School</t>
  </si>
  <si>
    <t>W8 5HN</t>
  </si>
  <si>
    <t>The Viking School</t>
  </si>
  <si>
    <t>PE25 2QJ</t>
  </si>
  <si>
    <t>The Villa</t>
  </si>
  <si>
    <t>SE15 5AH</t>
  </si>
  <si>
    <t>ITS420194</t>
  </si>
  <si>
    <t>The Village School</t>
  </si>
  <si>
    <t>NW3 2YN</t>
  </si>
  <si>
    <t>The White House School</t>
  </si>
  <si>
    <t>SY13 2AA</t>
  </si>
  <si>
    <t>Woodhill Preparatory School</t>
  </si>
  <si>
    <t>SO30 2ER</t>
  </si>
  <si>
    <t>Woodstock Girls' School</t>
  </si>
  <si>
    <t>B13 9BB</t>
  </si>
  <si>
    <t>ITS442961</t>
  </si>
  <si>
    <t>Yeshivah Ohr Torah School</t>
  </si>
  <si>
    <t>M7 4FX</t>
  </si>
  <si>
    <t>ITS422716</t>
  </si>
  <si>
    <t>Yesodey Hatorah School</t>
  </si>
  <si>
    <t>N16 5AE</t>
  </si>
  <si>
    <t>Manorway Academy</t>
  </si>
  <si>
    <t>ME4 6BA</t>
  </si>
  <si>
    <t>Garden City Montessori School</t>
  </si>
  <si>
    <t>SG6 4UE</t>
  </si>
  <si>
    <t>Wemms Education Centre</t>
  </si>
  <si>
    <t>KT21 1AZ</t>
  </si>
  <si>
    <t>Delta Independent School</t>
  </si>
  <si>
    <t>DH8 5DH</t>
  </si>
  <si>
    <t>Bow Street School</t>
  </si>
  <si>
    <t>WV14 7NB</t>
  </si>
  <si>
    <t>The Llewellyn School and Nursery</t>
  </si>
  <si>
    <t>CT9 5DU</t>
  </si>
  <si>
    <t>Cambian Spring Hill</t>
  </si>
  <si>
    <t>HG4 3HN</t>
  </si>
  <si>
    <t>Phoenix School of Therapeutic Education</t>
  </si>
  <si>
    <t>S2 3PX</t>
  </si>
  <si>
    <t>Ticehurst Hospital School</t>
  </si>
  <si>
    <t>TN5 7HU</t>
  </si>
  <si>
    <t>Rise Learning Zone</t>
  </si>
  <si>
    <t>NG1 7AR</t>
  </si>
  <si>
    <t>Pennine House School</t>
  </si>
  <si>
    <t>BL9 7TD</t>
  </si>
  <si>
    <t>Peak Education Stoke</t>
  </si>
  <si>
    <t>ST1 4LY</t>
  </si>
  <si>
    <t>TLG Lewisham</t>
  </si>
  <si>
    <t>SE13 7FY</t>
  </si>
  <si>
    <t>Aurora Hanley School</t>
  </si>
  <si>
    <t>ST2 8LY</t>
  </si>
  <si>
    <t>Queensgate College</t>
  </si>
  <si>
    <t>E9 6QT</t>
  </si>
  <si>
    <t>Nightingale House School</t>
  </si>
  <si>
    <t>HX7 5RP</t>
  </si>
  <si>
    <t>Lincoln House School</t>
  </si>
  <si>
    <t>BB12 0QZ</t>
  </si>
  <si>
    <t>Parkview Academy</t>
  </si>
  <si>
    <t>CT9 2AN</t>
  </si>
  <si>
    <t>The Wasp Centre</t>
  </si>
  <si>
    <t>SP2 7PY</t>
  </si>
  <si>
    <t>Wetherby Kensington</t>
  </si>
  <si>
    <t>SW5 0JN</t>
  </si>
  <si>
    <t>Clovelly House School</t>
  </si>
  <si>
    <t>LE67 1AP</t>
  </si>
  <si>
    <t>Beechtree Steiner Initiative</t>
  </si>
  <si>
    <t>LS7 4HZ</t>
  </si>
  <si>
    <t>Hidelow Grange School</t>
  </si>
  <si>
    <t>WR6 5AH</t>
  </si>
  <si>
    <t>Kings Brighton</t>
  </si>
  <si>
    <t>BN1 4SB</t>
  </si>
  <si>
    <t>Azbuka Russian-English Bilingual School</t>
  </si>
  <si>
    <t>SW14 8NH</t>
  </si>
  <si>
    <t>TLG Newcastle</t>
  </si>
  <si>
    <t>NE12 8UZ</t>
  </si>
  <si>
    <t>Huntercombe Hospital School Watcombe</t>
  </si>
  <si>
    <t>TQ1 4SH</t>
  </si>
  <si>
    <t>Rotunda Ltd</t>
  </si>
  <si>
    <t>L5 2PL</t>
  </si>
  <si>
    <t>The Rowan School</t>
  </si>
  <si>
    <t>WV14 8XH</t>
  </si>
  <si>
    <t>Maple House</t>
  </si>
  <si>
    <t>BB4 6LN</t>
  </si>
  <si>
    <t>Youth Works Community College</t>
  </si>
  <si>
    <t>NN16 9HX</t>
  </si>
  <si>
    <t>The Belsteads School</t>
  </si>
  <si>
    <t>CM3 3PP</t>
  </si>
  <si>
    <t>Peregrinate Ltd</t>
  </si>
  <si>
    <t>L34 1PB</t>
  </si>
  <si>
    <t>CO13 9PW</t>
  </si>
  <si>
    <t>Tram House School</t>
  </si>
  <si>
    <t>Allen House Independent School</t>
  </si>
  <si>
    <t>SW15 1SZ</t>
  </si>
  <si>
    <t>Olive Secondary Girls</t>
  </si>
  <si>
    <t>M24 4BD</t>
  </si>
  <si>
    <t>On Track Education Centre Barnstaple</t>
  </si>
  <si>
    <t>EX32 8PA</t>
  </si>
  <si>
    <t>Rida Girls' High School</t>
  </si>
  <si>
    <t>WF12 9NQ</t>
  </si>
  <si>
    <t>Olive High Ltd</t>
  </si>
  <si>
    <t>BB10 1LJ</t>
  </si>
  <si>
    <t>Open Box Education Centre</t>
  </si>
  <si>
    <t>CM16 5DN</t>
  </si>
  <si>
    <t>Central Birmingham Education Centre</t>
  </si>
  <si>
    <t>B18 7HF</t>
  </si>
  <si>
    <t>Assure Community College</t>
  </si>
  <si>
    <t>SO16 6RB</t>
  </si>
  <si>
    <t>Progress Schools - Wirral</t>
  </si>
  <si>
    <t>CH41 4EA</t>
  </si>
  <si>
    <t>Provider open / closed status</t>
  </si>
  <si>
    <t>Open</t>
  </si>
  <si>
    <t>NULL</t>
  </si>
  <si>
    <t>Have all standards been met</t>
  </si>
  <si>
    <t>All standards Met</t>
  </si>
  <si>
    <t>Did not meet all standards</t>
  </si>
  <si>
    <t>Date Valley School Trust</t>
  </si>
  <si>
    <t>Birtenshaw School, Merseyside</t>
  </si>
  <si>
    <t>L9 7AB</t>
  </si>
  <si>
    <t>The Aspire Hub, Burnley</t>
  </si>
  <si>
    <t>BB11 1LE</t>
  </si>
  <si>
    <t>TLG Tendring</t>
  </si>
  <si>
    <t>Greater Manchester Alternative Provision</t>
  </si>
  <si>
    <t>OL6 7HG</t>
  </si>
  <si>
    <t>Royale International School of Education</t>
  </si>
  <si>
    <t>OX2 0DJ</t>
  </si>
  <si>
    <t>© Crown copyright 2018</t>
  </si>
  <si>
    <t>OVERALL standards</t>
  </si>
  <si>
    <t>Part 1 overall</t>
  </si>
  <si>
    <t>Part 2 overall</t>
  </si>
  <si>
    <t>Part 3 overall</t>
  </si>
  <si>
    <t>Part 4 overall</t>
  </si>
  <si>
    <t>Part 5 overall</t>
  </si>
  <si>
    <t>Part 6 overall</t>
  </si>
  <si>
    <t>Part 7 overall</t>
  </si>
  <si>
    <t>Part 8 overall</t>
  </si>
  <si>
    <t>Rudolf Steiner School</t>
  </si>
  <si>
    <t>WD4 9HG</t>
  </si>
  <si>
    <t>SIS</t>
  </si>
  <si>
    <t>Progress monitoring inspection outcome</t>
  </si>
  <si>
    <t>Most recent inspections published by 31 December 2017</t>
  </si>
  <si>
    <t>Christian
Church of England
Inter- / non- denominational
Islam
Jewish
Muslim
Roman Catholic
Seventh Day Adventist</t>
  </si>
  <si>
    <t>Total number of independent schools</t>
  </si>
  <si>
    <t>Number of independent schools that have been inspected</t>
  </si>
  <si>
    <t>Total requires improvement and inadequate</t>
  </si>
  <si>
    <t>Prog Mon Event number</t>
  </si>
  <si>
    <t>Prog Mon Event type</t>
  </si>
  <si>
    <t>Prog Mon event end date</t>
  </si>
  <si>
    <t>Prog Mon Academic year</t>
  </si>
  <si>
    <t>Prog Mon Last Publication date</t>
  </si>
  <si>
    <t>Prog Mon Overall outcome</t>
  </si>
  <si>
    <t>2016/17</t>
  </si>
  <si>
    <t xml:space="preserve">Independent school progress monitoring inspection - Integrated </t>
  </si>
  <si>
    <t>2017/18</t>
  </si>
  <si>
    <t>2015/16</t>
  </si>
  <si>
    <t>Standards met</t>
  </si>
  <si>
    <t>1 = Outstanding
2 = Good
3 = Requires improvement
4 = Inadequate
0, 8, 9 = not enough evidence / not inspected / not applicable</t>
  </si>
  <si>
    <t>Link to non-association independent schools management information web page including publication schedule:</t>
  </si>
  <si>
    <t>3. One inspection within the time period had no overall grade allocated, but safeguarding and compliance with the independent school standards were checked.</t>
  </si>
  <si>
    <t>5. One school at their most recent inspection had no overall grade allocated, but safeguarding and compliance with the independent school standards were checked.</t>
  </si>
  <si>
    <t>Independent Schools Standards: 2(1)</t>
  </si>
  <si>
    <t>Independent Schools Standards: 2(1)(a)</t>
  </si>
  <si>
    <t>Independent Schools Standards: 2(1)(b)</t>
  </si>
  <si>
    <t>Independent Schools Standards: 2(1)(b)(i)</t>
  </si>
  <si>
    <t>Independent Schools Standards: 2(1)(b)(ii)</t>
  </si>
  <si>
    <t>Independent Schools Standards: 2(2)</t>
  </si>
  <si>
    <t>Independent Schools Standards: 2(2)(a)</t>
  </si>
  <si>
    <t>Independent Schools Standards: 2(2)(b)</t>
  </si>
  <si>
    <t>Independent Schools Standards: 2(2)(c)</t>
  </si>
  <si>
    <t>Independent Schools Standards: 2(2)(d)</t>
  </si>
  <si>
    <t>Independent Schools Standards: 2(2)(d)(i)</t>
  </si>
  <si>
    <t>Independent Schools Standards: 2(2)(d)(ii)</t>
  </si>
  <si>
    <t>Independent Schools Standards: 2(2)(e)</t>
  </si>
  <si>
    <t>Independent Schools Standards: 2(2)(e)(i)</t>
  </si>
  <si>
    <t>Independent Schools Standards: 2(2)(e)(ii)</t>
  </si>
  <si>
    <t>Independent Schools Standards: 2(2)(e)(iii)</t>
  </si>
  <si>
    <t>Independent Schools Standards: 2(2)(f)</t>
  </si>
  <si>
    <t>Independent Schools Standards: 2(2)(g)</t>
  </si>
  <si>
    <t>Independent Schools Standards: 2(2)(h)</t>
  </si>
  <si>
    <t>Independent Schools Standards: 2(2)(i)</t>
  </si>
  <si>
    <t>Independent Schools Standards: 3</t>
  </si>
  <si>
    <t>Independent Schools Standards: 3(a)</t>
  </si>
  <si>
    <t>Independent Schools Standards: 3(b)</t>
  </si>
  <si>
    <t>Independent Schools Standards: 3(c)</t>
  </si>
  <si>
    <t>Independent Schools Standards: 3(d)</t>
  </si>
  <si>
    <t>Independent Schools Standards: 3(e)</t>
  </si>
  <si>
    <t>Independent Schools Standards: 3(f)</t>
  </si>
  <si>
    <t>Independent Schools Standards: 3(g)</t>
  </si>
  <si>
    <t>Independent Schools Standards: 3(h)</t>
  </si>
  <si>
    <t>Independent Schools Standards: 3(i)</t>
  </si>
  <si>
    <t>Independent Schools Standards: 3(j)</t>
  </si>
  <si>
    <t>Independent Schools Standards: 4</t>
  </si>
  <si>
    <t>Independent Schools Standards: 5</t>
  </si>
  <si>
    <t>Independent Schools Standards: 5(a)</t>
  </si>
  <si>
    <t>Independent Schools Standards: 5(b)</t>
  </si>
  <si>
    <t>Independent Schools Standards: 5(b)(i)</t>
  </si>
  <si>
    <t>Independent Schools Standards: 5(b)(ii)</t>
  </si>
  <si>
    <t>Independent Schools Standards: 5(b)(iii)</t>
  </si>
  <si>
    <t>Independent Schools Standards: 5(b)(iv)</t>
  </si>
  <si>
    <t>Independent Schools Standards: 5(b)(v)</t>
  </si>
  <si>
    <t>Independent Schools Standards: 5(b)(vi)</t>
  </si>
  <si>
    <t>Independent Schools Standards: 5(b)(vii)</t>
  </si>
  <si>
    <t>Independent Schools Standards: 5(c)</t>
  </si>
  <si>
    <t>Independent Schools Standards: 5(d)</t>
  </si>
  <si>
    <t>Independent Schools Standards: 5(d)(i)</t>
  </si>
  <si>
    <t>Independent Schools Standards: 5(d)(ii)</t>
  </si>
  <si>
    <t>Independent Schools Standards: 5(d)(iii)</t>
  </si>
  <si>
    <t>Independent Schools Standards: 7</t>
  </si>
  <si>
    <t>Independent Schools Standards: 7(a)</t>
  </si>
  <si>
    <t>Independent Schools Standards: 7(b)</t>
  </si>
  <si>
    <t>Independent Schools Standards: 8</t>
  </si>
  <si>
    <t>Independent Schools Standards: 8(a)</t>
  </si>
  <si>
    <t>Independent Schools Standards: 8(b)</t>
  </si>
  <si>
    <t>Independent Schools Standards: 9</t>
  </si>
  <si>
    <t>Independent Schools Standards: 9(a)</t>
  </si>
  <si>
    <t>Independent Schools Standards: 9(b)</t>
  </si>
  <si>
    <t>Independent Schools Standards: 9(c)</t>
  </si>
  <si>
    <t>Independent Schools Standards: 10</t>
  </si>
  <si>
    <t>Independent Schools Standards: 11</t>
  </si>
  <si>
    <t>Independent Schools Standards: 12</t>
  </si>
  <si>
    <t>Independent Schools Standards: 13</t>
  </si>
  <si>
    <t>Independent Schools Standards: 14</t>
  </si>
  <si>
    <t>Independent Schools Standards: 15</t>
  </si>
  <si>
    <t>Independent Schools Standards: 16</t>
  </si>
  <si>
    <t>Independent Schools Standards: 16(a)</t>
  </si>
  <si>
    <t>Independent Schools Standards: 16(b)</t>
  </si>
  <si>
    <t>Independent Schools Standards: 18(2)</t>
  </si>
  <si>
    <t>Independent Schools Standards: 18(2)(a)</t>
  </si>
  <si>
    <t>Independent Schools Standards: 18(2)(b)</t>
  </si>
  <si>
    <t>Independent Schools Standards: 18(2)(c)</t>
  </si>
  <si>
    <t>Independent Schools Standards: 18(2)(c)(i)</t>
  </si>
  <si>
    <t>Independent Schools Standards: 18(2)(c)(ii)</t>
  </si>
  <si>
    <t>Independent Schools Standards: 18(2)(c)(iii)</t>
  </si>
  <si>
    <t>Independent Schools Standards: 18(2)(c)(iv)</t>
  </si>
  <si>
    <t>Independent Schools Standards: 18(2)(d)</t>
  </si>
  <si>
    <t>Independent Schools Standards: 18(2)(e)</t>
  </si>
  <si>
    <t>Independent Schools Standards: 18(2)(f)</t>
  </si>
  <si>
    <t>Independent Schools Standards: 18(3)</t>
  </si>
  <si>
    <t>Independent Schools Standards: 19(2)</t>
  </si>
  <si>
    <t>Independent Schools Standards: 19(2)(a)</t>
  </si>
  <si>
    <t>Independent Schools Standards: 19(2)(a)(i)</t>
  </si>
  <si>
    <t>Independent Schools Standards: 19(2)(a)(i)(aa)</t>
  </si>
  <si>
    <t>Independent Schools Standards: 19(2)(a)(i)(bb)</t>
  </si>
  <si>
    <t>Independent Schools Standards: 19(2)(a)(i)(cc)</t>
  </si>
  <si>
    <t>Independent Schools Standards: 19(2)(a)(ii)</t>
  </si>
  <si>
    <t>Independent Schools Standards: 19(2)(b)</t>
  </si>
  <si>
    <t>Independent Schools Standards: 19(2)(c)</t>
  </si>
  <si>
    <t>Independent Schools Standards: 19(2)(d)</t>
  </si>
  <si>
    <t>Independent Schools Standards: 19(2)(d)(i)</t>
  </si>
  <si>
    <t>Independent Schools Standards: 19(2)(d)(ii)</t>
  </si>
  <si>
    <t>Independent Schools Standards: 19(2)(e)</t>
  </si>
  <si>
    <t>Independent Schools Standards: 19(3)</t>
  </si>
  <si>
    <t>Independent Schools Standards: 20(6)</t>
  </si>
  <si>
    <t>Independent Schools Standards: 20(6)(a)</t>
  </si>
  <si>
    <t>Independent Schools Standards: 20(6)(a)(i)</t>
  </si>
  <si>
    <t>Independent Schools Standards: 20(6)(a)(ii)</t>
  </si>
  <si>
    <t>Independent Schools Standards: 20(6)(b)</t>
  </si>
  <si>
    <t>Independent Schools Standards: 20(6)(b)(i)</t>
  </si>
  <si>
    <t>Independent Schools Standards: 20(6)(b)(ii)</t>
  </si>
  <si>
    <t>Independent Schools Standards: 20(6)(b)(iii)</t>
  </si>
  <si>
    <t>Independent Schools Standards: 20(6)(c)</t>
  </si>
  <si>
    <t>Independent Schools Standards: 21(1)</t>
  </si>
  <si>
    <t>Independent Schools Standards: 21(2)</t>
  </si>
  <si>
    <t>Independent Schools Standards: 21(3)</t>
  </si>
  <si>
    <t>Independent Schools Standards: 21(3)(a)</t>
  </si>
  <si>
    <t>Independent Schools Standards: 21(3)(a)(i)</t>
  </si>
  <si>
    <t>Independent Schools Standards: 21(3)(a)(ii)</t>
  </si>
  <si>
    <t>Independent Schools Standards: 21(3)(a)(iii)</t>
  </si>
  <si>
    <t>Independent Schools Standards: 21(3)(a)(iv)</t>
  </si>
  <si>
    <t>Independent Schools Standards: 21(3)(a)(v)</t>
  </si>
  <si>
    <t>Independent Schools Standards: 21(3)(a)(vi)</t>
  </si>
  <si>
    <t>Independent Schools Standards: 21(3)(a)(vii)</t>
  </si>
  <si>
    <t>Independent Schools Standards: 21(3)(a)(viii)</t>
  </si>
  <si>
    <t>Independent Schools Standards: 21(3)(b)</t>
  </si>
  <si>
    <t>Independent Schools Standards: 21(4)</t>
  </si>
  <si>
    <t>Independent Schools Standards: 21(5)</t>
  </si>
  <si>
    <t>Independent Schools Standards: 21(5)(a)</t>
  </si>
  <si>
    <t>Independent Schools Standards: 21(5)(a)(i)</t>
  </si>
  <si>
    <t>Independent Schools Standards: 21(5)(a)(ii)</t>
  </si>
  <si>
    <t>Independent Schools Standards: 21(5)(b)</t>
  </si>
  <si>
    <t>Independent Schools Standards: 21(5)(c)</t>
  </si>
  <si>
    <t>Independent Schools Standards: 21(6)</t>
  </si>
  <si>
    <t>Independent Schools Standards: 21(7)</t>
  </si>
  <si>
    <t>Independent Schools Standards: 21(7)(a)</t>
  </si>
  <si>
    <t>Independent Schools Standards: 21(7)(b)</t>
  </si>
  <si>
    <t>Independent Schools Standards: 23(1)</t>
  </si>
  <si>
    <t>Independent Schools Standards: 23(1)(a)</t>
  </si>
  <si>
    <t>Independent Schools Standards: 23(1)(b)</t>
  </si>
  <si>
    <t>Independent Schools Standards: 23(1)(c)</t>
  </si>
  <si>
    <t>Independent Schools Standards: 24(1)</t>
  </si>
  <si>
    <t>Independent Schools Standards: 24(1)(a)</t>
  </si>
  <si>
    <t>Independent Schools Standards: 24(1)(b)</t>
  </si>
  <si>
    <t>Independent Schools Standards: 24(1)(c)</t>
  </si>
  <si>
    <t>Independent Schools Standards: 24(2)</t>
  </si>
  <si>
    <t>Independent Schools Standards: 25</t>
  </si>
  <si>
    <t>Independent Schools Standards: 26</t>
  </si>
  <si>
    <t>Independent Schools Standards: 27</t>
  </si>
  <si>
    <t>Independent Schools Standards: 27(a)</t>
  </si>
  <si>
    <t>Independent Schools Standards: 27(b)</t>
  </si>
  <si>
    <t>Independent Schools Standards: 28(1)</t>
  </si>
  <si>
    <t>Independent Schools Standards: 28(1)(a)</t>
  </si>
  <si>
    <t>Independent Schools Standards: 28(1)(b)</t>
  </si>
  <si>
    <t>Independent Schools Standards: 28(1)(c)</t>
  </si>
  <si>
    <t>Independent Schools Standards: 28(1)(d)</t>
  </si>
  <si>
    <t>Independent Schools Standards: 28(2)</t>
  </si>
  <si>
    <t>Independent Schools Standards: 28(2)(a)</t>
  </si>
  <si>
    <t>Independent Schools Standards: 28(2)(b)</t>
  </si>
  <si>
    <t>Independent Schools Standards: 29(1)</t>
  </si>
  <si>
    <t>Independent Schools Standards: 29(1)(a)</t>
  </si>
  <si>
    <t>Independent Schools Standards: 29(1)(b)</t>
  </si>
  <si>
    <t>Independent Schools Standards: 30</t>
  </si>
  <si>
    <t>Independent Schools Standards: 32(1)</t>
  </si>
  <si>
    <t>Independent Schools Standards: 32(1)(a)</t>
  </si>
  <si>
    <t>Independent Schools Standards: 32(1)(b)</t>
  </si>
  <si>
    <t>Independent Schools Standards: 32(1)(c)</t>
  </si>
  <si>
    <t>Independent Schools Standards: 32(1)(d)</t>
  </si>
  <si>
    <t>Independent Schools Standards: 32(1)(e)</t>
  </si>
  <si>
    <t>Independent Schools Standards: 32(1)(f)</t>
  </si>
  <si>
    <t>Independent Schools Standards: 32(1)(g)</t>
  </si>
  <si>
    <t>Independent Schools Standards: 32(1)(h)</t>
  </si>
  <si>
    <t>Independent Schools Standards: 32(1)(i)</t>
  </si>
  <si>
    <t>Independent Schools Standards: 32(1)(j)</t>
  </si>
  <si>
    <t>Independent Schools Standards: 32(2)</t>
  </si>
  <si>
    <t>Independent Schools Standards: 32(2)(a)</t>
  </si>
  <si>
    <t>Independent Schools Standards: 32(2)(b)</t>
  </si>
  <si>
    <t>Independent Schools Standards: 32(2)(b)(i)</t>
  </si>
  <si>
    <t>Independent Schools Standards: 32(2)(b)(ii)</t>
  </si>
  <si>
    <t>Independent Schools Standards: 32(2)(c)</t>
  </si>
  <si>
    <t>Independent Schools Standards: 32(2)(d)</t>
  </si>
  <si>
    <t>Independent Schools Standards: 32(3)</t>
  </si>
  <si>
    <t>Independent Schools Standards: 32(3)(a)</t>
  </si>
  <si>
    <t>Independent Schools Standards: 32(3)(b)</t>
  </si>
  <si>
    <t>Independent Schools Standards: 32(3)(c)</t>
  </si>
  <si>
    <t>Independent Schools Standards: 32(3)(d)</t>
  </si>
  <si>
    <t>Independent Schools Standards: 32(3)(e)</t>
  </si>
  <si>
    <t>Independent Schools Standards: 32(3)(f)</t>
  </si>
  <si>
    <t>Independent Schools Standards: 32(3)(g)</t>
  </si>
  <si>
    <t>Independent Schools Standards: 32(4)</t>
  </si>
  <si>
    <t>Independent Schools Standards: 32(4)(a)</t>
  </si>
  <si>
    <t>Independent Schools Standards: 32(4)(b)</t>
  </si>
  <si>
    <t>Independent Schools Standards: 32(4)(c)</t>
  </si>
  <si>
    <t>Independent Schools Standards: 33</t>
  </si>
  <si>
    <t>Independent Schools Standards: 33(a)</t>
  </si>
  <si>
    <t>Independent Schools Standards: 33(b)</t>
  </si>
  <si>
    <t>Independent Schools Standards: 33(c)</t>
  </si>
  <si>
    <t>Independent Schools Standards: 33(d)</t>
  </si>
  <si>
    <t>Independent Schools Standards: 33(e)</t>
  </si>
  <si>
    <t>Independent Schools Standards: 33(f)</t>
  </si>
  <si>
    <t>Independent Schools Standards: 33(g)</t>
  </si>
  <si>
    <t>Independent Schools Standards: 33(h)</t>
  </si>
  <si>
    <t>Independent Schools Standards: 33(i)</t>
  </si>
  <si>
    <t>Independent Schools Standards: 33(i)(i)</t>
  </si>
  <si>
    <t>Independent Schools Standards: 33(i)(ii)</t>
  </si>
  <si>
    <t>Independent Schools Standards: 33(j)</t>
  </si>
  <si>
    <t>Independent Schools Standards: 33(j)(i)</t>
  </si>
  <si>
    <t>Independent Schools Standards: 33(j)(ii)</t>
  </si>
  <si>
    <t>Independent Schools Standards: 33(k)</t>
  </si>
  <si>
    <t>Independent Schools Standards: 34(1)</t>
  </si>
  <si>
    <t>Independent Schools Standards: 34(1)(a)</t>
  </si>
  <si>
    <t>Independent Schools Standards: 34(1)(b)</t>
  </si>
  <si>
    <t>Independent Schools Standards: 34(1)(c)</t>
  </si>
  <si>
    <t>Inspections from 1 September 2017 to 31 December 2017, published by 31 December 2017</t>
  </si>
  <si>
    <t>Christian
Church of England
Church of England/Christian
Church of England/Free Church
Church of England/Methodist
Church of England/Methodist/United Reform Church/Baptist
Church of England/Roman Catholic
Church of England/United Reformed Church
Faith School Type
Greek Orthodox
Hindu
Inter- / non- denominational
Islam
Orthodox Jewish
Methodist
Methodist/Church of England
Muslim
None
Quaker
Roman Catholic
Roman Catholic/Church of England
Seventh Day Adventist
Sikh
United Reformed Church</t>
  </si>
  <si>
    <t>East Midlands
East of England
London
North East, Yorkshire and the Humber
North West
South East
South West
West Midlands</t>
  </si>
  <si>
    <t>Government office region</t>
  </si>
  <si>
    <t>East Midlands
East of England
London
North East
Yorkshire and the Humber
North West
South East
South West
West Midlands</t>
  </si>
  <si>
    <t>3. Two inspections within the time period recorded "no response" for parts 1 and 2 of the Independent Schools Standards.</t>
  </si>
  <si>
    <t>4. Data on the total number of independent schools, number inspected and their overall effectiveness (the light blue headed columns) is based on their most recent inspection if applicable. Data on compliance to the Independent Schools Standards and Safeguarding (the light orange headed columns) is based on data since 1 September 2015. The safeguarding judgement was introduced with the Common Inspection Framework in 2015. Since September 2015, 679 independent schools have have been checked for compliance to the Independent Schools Standards at their most recent standard inspection.</t>
  </si>
  <si>
    <t>4. Not all RI and inadequate schools have been subject to a progress monitoring inspection at the time of this release. The Department for Education commission and determine the timing for Ofsted to carry out progress monitoring inspections.</t>
  </si>
  <si>
    <t>Dataset 2: Inspection outcomes of progress monitoring inspections for non-association independent schools</t>
  </si>
  <si>
    <r>
      <t>Table 4a: Non-association independent schools overall effectiveness at their most recent standard inspection</t>
    </r>
    <r>
      <rPr>
        <b/>
        <vertAlign val="superscript"/>
        <sz val="12"/>
        <color theme="1"/>
        <rFont val="Tahoma"/>
        <family val="2"/>
      </rPr>
      <t>1 2 3 4 5</t>
    </r>
  </si>
  <si>
    <r>
      <t>Table 4b: Outcomes of most recent progress monitoring inspection following their most recent standard inspection, for non-association independent schools</t>
    </r>
    <r>
      <rPr>
        <b/>
        <vertAlign val="superscript"/>
        <sz val="12"/>
        <color theme="1"/>
        <rFont val="Tahoma"/>
        <family val="2"/>
      </rPr>
      <t>1 2 3 4</t>
    </r>
  </si>
  <si>
    <r>
      <t>Table 3: Progress monitoring inspection outcomes for non-association independent schools</t>
    </r>
    <r>
      <rPr>
        <b/>
        <vertAlign val="superscript"/>
        <sz val="12"/>
        <rFont val="Tahoma"/>
        <family val="2"/>
      </rPr>
      <t xml:space="preserve"> 1 2</t>
    </r>
  </si>
  <si>
    <r>
      <t xml:space="preserve">Table 2: Compliance with regulatory standards for non-association independent schools </t>
    </r>
    <r>
      <rPr>
        <b/>
        <vertAlign val="superscript"/>
        <sz val="12"/>
        <rFont val="Tahoma"/>
        <family val="2"/>
      </rPr>
      <t>1 2 3</t>
    </r>
  </si>
  <si>
    <r>
      <t xml:space="preserve">Table 1: Non-association independent schools standard inspections and outcomes </t>
    </r>
    <r>
      <rPr>
        <b/>
        <vertAlign val="superscript"/>
        <sz val="12"/>
        <color theme="1"/>
        <rFont val="Tahoma"/>
        <family val="2"/>
      </rPr>
      <t>1 2 3</t>
    </r>
  </si>
  <si>
    <t>School information</t>
  </si>
  <si>
    <t>Unique reference number for the school</t>
  </si>
  <si>
    <t>School name</t>
  </si>
  <si>
    <t>Name of the school</t>
  </si>
  <si>
    <t>Type of education</t>
  </si>
  <si>
    <t>The type of school</t>
  </si>
  <si>
    <t>School religious character</t>
  </si>
  <si>
    <t>School religious ethos</t>
  </si>
  <si>
    <t>School Ofsted region</t>
  </si>
  <si>
    <t>School government office region</t>
  </si>
  <si>
    <t xml:space="preserve">School local authority </t>
  </si>
  <si>
    <t>School postcode</t>
  </si>
  <si>
    <t>L36 5SJ</t>
  </si>
  <si>
    <t>ITS444645</t>
  </si>
  <si>
    <t>2013/14</t>
  </si>
  <si>
    <t>Good progress</t>
  </si>
  <si>
    <t>ITS454764</t>
  </si>
  <si>
    <t>2014/15</t>
  </si>
  <si>
    <t>Standards not met</t>
  </si>
  <si>
    <t>ITS454864</t>
  </si>
  <si>
    <t>ITS463315</t>
  </si>
  <si>
    <t>NG12 3FD</t>
  </si>
  <si>
    <t>ITS450688</t>
  </si>
  <si>
    <t>Compass Community School</t>
  </si>
  <si>
    <t>Copperfield School</t>
  </si>
  <si>
    <t>ITS422781</t>
  </si>
  <si>
    <t>ITS397702</t>
  </si>
  <si>
    <t>The London School for Children With Cerebral Palsy</t>
  </si>
  <si>
    <t>ITS316892</t>
  </si>
  <si>
    <t>CACFO Uk Education Centre</t>
  </si>
  <si>
    <t>Keys 7 Ks</t>
  </si>
  <si>
    <t>ITS454294</t>
  </si>
  <si>
    <t>ITS454307</t>
  </si>
  <si>
    <t>ITS446381</t>
  </si>
  <si>
    <t>ITS446376</t>
  </si>
  <si>
    <t>ITS422775</t>
  </si>
  <si>
    <t>ITS441434</t>
  </si>
  <si>
    <t>ITS422741</t>
  </si>
  <si>
    <t>ITS446281</t>
  </si>
  <si>
    <t>Broadwood High School</t>
  </si>
  <si>
    <t>ITS446284</t>
  </si>
  <si>
    <t>ITS446280</t>
  </si>
  <si>
    <t>Brown Moss School</t>
  </si>
  <si>
    <t>ITS443011</t>
  </si>
  <si>
    <t>Ashmeads School</t>
  </si>
  <si>
    <t>NN15 5PH</t>
  </si>
  <si>
    <t>ITS422740</t>
  </si>
  <si>
    <t>WD25 8EZ</t>
  </si>
  <si>
    <t>ITS439265</t>
  </si>
  <si>
    <t>ITS341942</t>
  </si>
  <si>
    <t>Bloo House</t>
  </si>
  <si>
    <t>KT10 9LN</t>
  </si>
  <si>
    <t>ITS447232</t>
  </si>
  <si>
    <t>ITS447180</t>
  </si>
  <si>
    <t>Belgrave School</t>
  </si>
  <si>
    <t>BS8 2XH</t>
  </si>
  <si>
    <t>ITS411692</t>
  </si>
  <si>
    <t>ITS447226</t>
  </si>
  <si>
    <t>Apex Primary School</t>
  </si>
  <si>
    <t>IG1 3BG</t>
  </si>
  <si>
    <t>ITS386852</t>
  </si>
  <si>
    <t>Branwood Preparatory School</t>
  </si>
  <si>
    <t>M30 9HN</t>
  </si>
  <si>
    <t>ITS420204</t>
  </si>
  <si>
    <t>ITS463859</t>
  </si>
  <si>
    <t>ITS446261</t>
  </si>
  <si>
    <t>ITS408734</t>
  </si>
  <si>
    <t>ITS422762</t>
  </si>
  <si>
    <t>The Bridge College</t>
  </si>
  <si>
    <t>TA1 1QA</t>
  </si>
  <si>
    <t>ITS447233</t>
  </si>
  <si>
    <t>ITS443029</t>
  </si>
  <si>
    <t>ITS455956</t>
  </si>
  <si>
    <t>Huntercombe Hospital School Norwich</t>
  </si>
  <si>
    <t>NR10 5RH</t>
  </si>
  <si>
    <t>Newland College</t>
  </si>
  <si>
    <t>Rabia Girls' and Boys' School</t>
  </si>
  <si>
    <t>The King's House School, Windsor</t>
  </si>
  <si>
    <t>SL4 3AQ</t>
  </si>
  <si>
    <t>Matt Priestland</t>
  </si>
  <si>
    <t>ITS445760</t>
  </si>
  <si>
    <t>ITS442946</t>
  </si>
  <si>
    <t>ITS443462</t>
  </si>
  <si>
    <t>Three Bridges</t>
  </si>
  <si>
    <t>ITS420187</t>
  </si>
  <si>
    <t>OX4 4PU</t>
  </si>
  <si>
    <t>ITS408716</t>
  </si>
  <si>
    <t>ITS440223</t>
  </si>
  <si>
    <t>ITS364237</t>
  </si>
  <si>
    <t>Talmud Torah Chinuch Norim School</t>
  </si>
  <si>
    <t>ITS441435</t>
  </si>
  <si>
    <t>ITS447172</t>
  </si>
  <si>
    <t>Al-Risalah</t>
  </si>
  <si>
    <t>ITS410856</t>
  </si>
  <si>
    <t>ITS422619</t>
  </si>
  <si>
    <t>ITS422865</t>
  </si>
  <si>
    <t>Tlg Bradford</t>
  </si>
  <si>
    <t>Windlesham School Trust Limited</t>
  </si>
  <si>
    <t>BN1 5AA</t>
  </si>
  <si>
    <t>ITS443460</t>
  </si>
  <si>
    <t>ITS462856</t>
  </si>
  <si>
    <t>ITS387067</t>
  </si>
  <si>
    <t>ITS447241</t>
  </si>
  <si>
    <t>The Acres</t>
  </si>
  <si>
    <t>Beis Ruchel D'Satmar London</t>
  </si>
  <si>
    <t>Eaton House School</t>
  </si>
  <si>
    <t>Eaton House The Vale School</t>
  </si>
  <si>
    <t>ITS388421</t>
  </si>
  <si>
    <t>ITS464148</t>
  </si>
  <si>
    <t>L'ecole Internationale Franco-Anglaise Ltd</t>
  </si>
  <si>
    <t>Mander Portman Woodward</t>
  </si>
  <si>
    <t>ITS361408</t>
  </si>
  <si>
    <t>ITS452711</t>
  </si>
  <si>
    <t>ITS443465</t>
  </si>
  <si>
    <t>One World Preparatory School</t>
  </si>
  <si>
    <t>St Martin's Preparatory School</t>
  </si>
  <si>
    <t>DN34 5AA</t>
  </si>
  <si>
    <t>T A S I S</t>
  </si>
  <si>
    <t>TW20 8TE</t>
  </si>
  <si>
    <t>ITS420258</t>
  </si>
  <si>
    <t>Sms Education</t>
  </si>
  <si>
    <t>https://www.gov.uk/government/statistical-data-sets/non-association-independent-schools-inspections-and-outcomes-management-information</t>
  </si>
  <si>
    <t>3. Non-association independent schools that failed at least one of the Independent School Standards and were therefore judged requires improvement or inadequate at their most recent standard inspection, normally receive a progress monitoring inspection.</t>
  </si>
  <si>
    <t>Dataset 3: Overall effectiveness and standards for non-association independent schools at their most recent inspection</t>
  </si>
  <si>
    <t>Link to school on Ofsted inspection report website</t>
  </si>
  <si>
    <t>Flag to indicate whether school has special educational needs classes</t>
  </si>
  <si>
    <t>Independent school standard inspection</t>
  </si>
  <si>
    <t xml:space="preserve">Independent school standard inspection </t>
  </si>
  <si>
    <t>Independent School standard inspection
Independent School standard inspection - first
Independent School standard inspection - group
Independent School standard inspection - integrated
Independent School standard inspection - integrated - first
S162a - Boarding Pilot Historic
S162a - LTI Inspection Historic
S162a - LTI Integrated Inspection Historic
S162a - LTI Pilot Historic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</si>
</sst>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F800]dddd\,\ mmmm\ dd\,\ yyyy"/>
  </numFmts>
  <fonts count="76">
    <font>
      <sz val="11"/>
      <color theme="1"/>
      <name val="Calibri"/>
      <family val="2"/>
      <scheme val="minor"/>
    </font>
    <font>
      <sz val="10"/>
      <color theme="1"/>
      <name val="Tahoma"/>
      <family val="2"/>
    </font>
    <font>
      <sz val="10"/>
      <color theme="1"/>
      <name val="Tahoma"/>
      <family val="2"/>
    </font>
    <font>
      <sz val="10"/>
      <color theme="1"/>
      <name val="Tahoma"/>
      <family val="2"/>
    </font>
    <font>
      <sz val="10"/>
      <color theme="1"/>
      <name val="Tahoma"/>
      <family val="2"/>
    </font>
    <font>
      <sz val="10"/>
      <color theme="1"/>
      <name val="Tahoma"/>
      <family val="2"/>
    </font>
    <font>
      <sz val="10"/>
      <color theme="1"/>
      <name val="Tahoma"/>
      <family val="2"/>
    </font>
    <font>
      <sz val="10"/>
      <color theme="1"/>
      <name val="Tahoma"/>
      <family val="2"/>
    </font>
    <font>
      <sz val="10"/>
      <color theme="1"/>
      <name val="Tahoma"/>
      <family val="2"/>
    </font>
    <font>
      <sz val="10"/>
      <color theme="1"/>
      <name val="Tahoma"/>
      <family val="2"/>
    </font>
    <font>
      <sz val="10"/>
      <color theme="1"/>
      <name val="Tahoma"/>
      <family val="2"/>
    </font>
    <font>
      <sz val="10"/>
      <color theme="1"/>
      <name val="Tahoma"/>
      <family val="2"/>
    </font>
    <font>
      <sz val="10"/>
      <color theme="1"/>
      <name val="Tahoma"/>
      <family val="2"/>
    </font>
    <font>
      <sz val="10"/>
      <color theme="1"/>
      <name val="Tahoma"/>
      <family val="2"/>
    </font>
    <font>
      <sz val="10"/>
      <color theme="1"/>
      <name val="Tahoma"/>
      <family val="2"/>
    </font>
    <font>
      <sz val="10"/>
      <color theme="1"/>
      <name val="Tahoma"/>
      <family val="2"/>
    </font>
    <font>
      <sz val="10"/>
      <color theme="1"/>
      <name val="Tahoma"/>
      <family val="2"/>
    </font>
    <font>
      <sz val="10"/>
      <color theme="1"/>
      <name val="Tahoma"/>
      <family val="2"/>
    </font>
    <font>
      <sz val="10"/>
      <color theme="1"/>
      <name val="Tahoma"/>
      <family val="2"/>
    </font>
    <font>
      <sz val="11"/>
      <color theme="1"/>
      <name val="Calibri"/>
      <family val="2"/>
      <scheme val="minor"/>
    </font>
    <font>
      <sz val="11"/>
      <color theme="1"/>
      <name val="Calibri"/>
      <family val="2"/>
    </font>
    <font>
      <sz val="10"/>
      <name val="Tahoma"/>
      <family val="2"/>
    </font>
    <font>
      <b/>
      <sz val="12"/>
      <name val="Tahoma"/>
      <family val="2"/>
    </font>
    <font>
      <u/>
      <sz val="10"/>
      <color indexed="12"/>
      <name val="Tahoma"/>
      <family val="2"/>
    </font>
    <font>
      <sz val="10"/>
      <color indexed="23"/>
      <name val="Tahoma"/>
      <family val="2"/>
    </font>
    <font>
      <sz val="10"/>
      <color indexed="8"/>
      <name val="Tahoma"/>
      <family val="2"/>
    </font>
    <font>
      <sz val="10"/>
      <name val="Arial"/>
      <family val="2"/>
    </font>
    <font>
      <u/>
      <sz val="10"/>
      <color theme="10"/>
      <name val="Arial"/>
      <family val="2"/>
    </font>
    <font>
      <u/>
      <sz val="10"/>
      <color theme="10"/>
      <name val="Tahoma"/>
      <family val="2"/>
    </font>
    <font>
      <sz val="12"/>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52"/>
      <name val="Calibri"/>
      <family val="2"/>
    </font>
    <font>
      <sz val="11"/>
      <color indexed="60"/>
      <name val="Calibri"/>
      <family val="2"/>
    </font>
    <font>
      <b/>
      <sz val="11"/>
      <color indexed="8"/>
      <name val="Calibri"/>
      <family val="2"/>
    </font>
    <font>
      <sz val="11"/>
      <color indexed="10"/>
      <name val="Calibri"/>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sz val="11"/>
      <color indexed="62"/>
      <name val="Calibri"/>
      <family val="2"/>
    </font>
    <font>
      <sz val="12"/>
      <name val="Arial"/>
      <family val="2"/>
    </font>
    <font>
      <b/>
      <sz val="11"/>
      <color indexed="63"/>
      <name val="Calibri"/>
      <family val="2"/>
    </font>
    <font>
      <b/>
      <sz val="18"/>
      <color indexed="56"/>
      <name val="Cambria"/>
      <family val="2"/>
    </font>
    <font>
      <sz val="12"/>
      <color theme="1"/>
      <name val="Arial"/>
      <family val="2"/>
    </font>
    <font>
      <b/>
      <sz val="10"/>
      <color theme="1"/>
      <name val="Tahoma"/>
      <family val="2"/>
    </font>
    <font>
      <b/>
      <sz val="10"/>
      <name val="Tahoma"/>
      <family val="2"/>
    </font>
    <font>
      <sz val="10"/>
      <color rgb="FF000000"/>
      <name val="Tahoma"/>
      <family val="2"/>
    </font>
    <font>
      <b/>
      <sz val="10"/>
      <color rgb="FFFF0000"/>
      <name val="Tahoma"/>
      <family val="2"/>
    </font>
    <font>
      <i/>
      <sz val="10"/>
      <name val="Tahoma"/>
      <family val="2"/>
    </font>
    <font>
      <sz val="10"/>
      <name val="Tahoma"/>
    </font>
    <font>
      <sz val="10"/>
      <name val="Arial"/>
      <family val="4"/>
    </font>
    <font>
      <sz val="10"/>
      <color theme="1"/>
      <name val="Verdana"/>
      <family val="2"/>
    </font>
    <font>
      <u/>
      <sz val="12"/>
      <color indexed="12"/>
      <name val="Tahoma"/>
      <family val="2"/>
    </font>
    <font>
      <sz val="12"/>
      <color theme="1"/>
      <name val="Tahoma"/>
      <family val="2"/>
    </font>
    <font>
      <b/>
      <u/>
      <sz val="12"/>
      <name val="Tahoma"/>
      <family val="2"/>
    </font>
    <font>
      <u/>
      <sz val="12"/>
      <color theme="10"/>
      <name val="Tahoma"/>
      <family val="2"/>
    </font>
    <font>
      <u/>
      <sz val="11"/>
      <color rgb="FF0070C0"/>
      <name val="Calibri"/>
      <family val="2"/>
      <scheme val="minor"/>
    </font>
    <font>
      <sz val="10"/>
      <color rgb="FFFF0000"/>
      <name val="Tahoma"/>
      <family val="2"/>
    </font>
    <font>
      <u/>
      <sz val="11"/>
      <color rgb="FF0070C0"/>
      <name val="Calibri"/>
      <scheme val="minor"/>
    </font>
    <font>
      <sz val="12"/>
      <name val="Tahoma"/>
      <family val="2"/>
    </font>
    <font>
      <sz val="11"/>
      <color theme="1"/>
      <name val="Calibri"/>
      <family val="2"/>
      <scheme val="minor"/>
    </font>
    <font>
      <b/>
      <sz val="20"/>
      <color indexed="9"/>
      <name val="Tahoma"/>
      <family val="2"/>
    </font>
    <font>
      <sz val="11"/>
      <color rgb="FFFF0000"/>
      <name val="Calibri"/>
      <family val="2"/>
      <scheme val="minor"/>
    </font>
    <font>
      <b/>
      <sz val="12"/>
      <name val="Tahoma"/>
      <family val="2"/>
    </font>
    <font>
      <sz val="12"/>
      <color theme="10"/>
      <name val="Tahoma"/>
      <family val="2"/>
    </font>
    <font>
      <sz val="12"/>
      <color indexed="12"/>
      <name val="Tahoma"/>
      <family val="2"/>
    </font>
    <font>
      <sz val="11"/>
      <name val="Calibri"/>
      <family val="2"/>
      <scheme val="minor"/>
    </font>
    <font>
      <b/>
      <sz val="12"/>
      <color theme="1"/>
      <name val="Tahoma"/>
      <family val="2"/>
    </font>
    <font>
      <b/>
      <vertAlign val="superscript"/>
      <sz val="12"/>
      <color theme="1"/>
      <name val="Tahoma"/>
      <family val="2"/>
    </font>
    <font>
      <b/>
      <vertAlign val="superscript"/>
      <sz val="12"/>
      <name val="Tahoma"/>
      <family val="2"/>
    </font>
  </fonts>
  <fills count="32">
    <fill>
      <patternFill patternType="none"/>
    </fill>
    <fill>
      <patternFill patternType="gray125"/>
    </fill>
    <fill>
      <patternFill patternType="solid">
        <fgColor rgb="FFFFFFCC"/>
      </patternFill>
    </fill>
    <fill>
      <patternFill patternType="solid">
        <fgColor theme="3" tint="0.39997558519241921"/>
        <bgColor indexed="64"/>
      </patternFill>
    </fill>
    <fill>
      <patternFill patternType="solid">
        <fgColor theme="0"/>
        <bgColor indexed="64"/>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2"/>
      </patternFill>
    </fill>
    <fill>
      <patternFill patternType="solid">
        <fgColor indexed="55"/>
      </patternFill>
    </fill>
    <fill>
      <patternFill patternType="solid">
        <fgColor theme="3" tint="0.79998168889431442"/>
        <bgColor indexed="64"/>
      </patternFill>
    </fill>
    <fill>
      <patternFill patternType="solid">
        <fgColor indexed="43"/>
        <bgColor indexed="64"/>
      </patternFill>
    </fill>
    <fill>
      <patternFill patternType="solid">
        <fgColor indexed="9"/>
        <bgColor indexed="64"/>
      </patternFill>
    </fill>
    <fill>
      <patternFill patternType="solid">
        <fgColor theme="4" tint="0.79998168889431442"/>
        <bgColor indexed="64"/>
      </patternFill>
    </fill>
    <fill>
      <patternFill patternType="solid">
        <fgColor theme="9" tint="0.79998168889431442"/>
        <bgColor indexed="64"/>
      </patternFill>
    </fill>
  </fills>
  <borders count="72">
    <border>
      <left/>
      <right/>
      <top/>
      <bottom/>
      <diagonal/>
    </border>
    <border>
      <left style="thin">
        <color rgb="FFB2B2B2"/>
      </left>
      <right style="thin">
        <color rgb="FFB2B2B2"/>
      </right>
      <top style="thin">
        <color rgb="FFB2B2B2"/>
      </top>
      <bottom style="thin">
        <color rgb="FFB2B2B2"/>
      </bottom>
      <diagonal/>
    </border>
    <border>
      <left style="thin">
        <color indexed="55"/>
      </left>
      <right/>
      <top/>
      <bottom/>
      <diagonal/>
    </border>
    <border>
      <left/>
      <right style="thin">
        <color indexed="55"/>
      </right>
      <top/>
      <bottom/>
      <diagonal/>
    </border>
    <border>
      <left style="thin">
        <color indexed="55"/>
      </left>
      <right/>
      <top/>
      <bottom style="thin">
        <color indexed="55"/>
      </bottom>
      <diagonal/>
    </border>
    <border>
      <left/>
      <right style="thin">
        <color indexed="55"/>
      </right>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style="thin">
        <color indexed="55"/>
      </right>
      <top style="thin">
        <color indexed="55"/>
      </top>
      <bottom/>
      <diagonal/>
    </border>
    <border>
      <left style="hair">
        <color indexed="64"/>
      </left>
      <right style="hair">
        <color indexed="64"/>
      </right>
      <top style="hair">
        <color indexed="64"/>
      </top>
      <bottom/>
      <diagonal/>
    </border>
    <border>
      <left/>
      <right style="thin">
        <color indexed="55"/>
      </right>
      <top style="thin">
        <color indexed="55"/>
      </top>
      <bottom style="thin">
        <color indexed="55"/>
      </bottom>
      <diagonal/>
    </border>
    <border>
      <left style="thin">
        <color indexed="55"/>
      </left>
      <right style="thin">
        <color indexed="55"/>
      </right>
      <top/>
      <bottom style="thin">
        <color indexed="55"/>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55"/>
      </left>
      <right/>
      <top style="thin">
        <color indexed="55"/>
      </top>
      <bottom style="thin">
        <color indexed="55"/>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top style="thin">
        <color theme="0"/>
      </top>
      <bottom style="thin">
        <color theme="0"/>
      </bottom>
      <diagonal/>
    </border>
    <border>
      <left style="thin">
        <color theme="0"/>
      </left>
      <right style="thin">
        <color theme="0"/>
      </right>
      <top/>
      <bottom style="thin">
        <color theme="0"/>
      </bottom>
      <diagonal/>
    </border>
    <border>
      <left/>
      <right style="thin">
        <color theme="0"/>
      </right>
      <top style="thin">
        <color theme="0"/>
      </top>
      <bottom style="thin">
        <color theme="0"/>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theme="0"/>
      </left>
      <right style="thin">
        <color indexed="64"/>
      </right>
      <top style="thin">
        <color theme="0"/>
      </top>
      <bottom/>
      <diagonal/>
    </border>
    <border>
      <left/>
      <right/>
      <top style="thin">
        <color theme="0"/>
      </top>
      <bottom style="thin">
        <color theme="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theme="0"/>
      </top>
      <bottom style="thin">
        <color theme="0"/>
      </bottom>
      <diagonal/>
    </border>
    <border>
      <left/>
      <right style="thin">
        <color indexed="64"/>
      </right>
      <top style="thin">
        <color theme="0"/>
      </top>
      <bottom style="thin">
        <color indexed="64"/>
      </bottom>
      <diagonal/>
    </border>
    <border>
      <left/>
      <right style="thin">
        <color indexed="64"/>
      </right>
      <top style="thin">
        <color theme="0"/>
      </top>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thin">
        <color indexed="64"/>
      </left>
      <right style="thin">
        <color indexed="64"/>
      </right>
      <top style="thin">
        <color theme="0"/>
      </top>
      <bottom style="thin">
        <color indexed="64"/>
      </bottom>
      <diagonal/>
    </border>
    <border>
      <left style="thin">
        <color indexed="64"/>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indexed="64"/>
      </left>
      <right style="thin">
        <color theme="0"/>
      </right>
      <top style="thin">
        <color theme="0"/>
      </top>
      <bottom/>
      <diagonal/>
    </border>
    <border>
      <left style="thin">
        <color indexed="64"/>
      </left>
      <right style="thin">
        <color theme="0"/>
      </right>
      <top style="thin">
        <color theme="0"/>
      </top>
      <bottom style="thin">
        <color indexed="64"/>
      </bottom>
      <diagonal/>
    </border>
    <border>
      <left style="thin">
        <color indexed="64"/>
      </left>
      <right style="thin">
        <color indexed="64"/>
      </right>
      <top style="thin">
        <color indexed="64"/>
      </top>
      <bottom style="thin">
        <color theme="0"/>
      </bottom>
      <diagonal/>
    </border>
    <border>
      <left style="thin">
        <color indexed="64"/>
      </left>
      <right/>
      <top style="thin">
        <color theme="0"/>
      </top>
      <bottom style="thin">
        <color theme="0"/>
      </bottom>
      <diagonal/>
    </border>
    <border>
      <left/>
      <right style="thin">
        <color indexed="64"/>
      </right>
      <top style="thin">
        <color indexed="64"/>
      </top>
      <bottom style="thin">
        <color theme="0"/>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theme="0"/>
      </top>
      <bottom style="thin">
        <color indexed="64"/>
      </bottom>
      <diagonal/>
    </border>
  </borders>
  <cellStyleXfs count="353">
    <xf numFmtId="0" fontId="0" fillId="0" borderId="0"/>
    <xf numFmtId="0" fontId="18" fillId="0" borderId="0"/>
    <xf numFmtId="0" fontId="21" fillId="0" borderId="0"/>
    <xf numFmtId="43" fontId="21" fillId="0" borderId="0" applyFont="0" applyFill="0" applyBorder="0" applyAlignment="0" applyProtection="0"/>
    <xf numFmtId="0" fontId="23"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21" fillId="0" borderId="0"/>
    <xf numFmtId="0" fontId="18" fillId="0" borderId="0"/>
    <xf numFmtId="0" fontId="21" fillId="0" borderId="0"/>
    <xf numFmtId="0" fontId="18" fillId="0" borderId="0"/>
    <xf numFmtId="0" fontId="21" fillId="0" borderId="0"/>
    <xf numFmtId="0" fontId="24" fillId="2" borderId="1" applyNumberFormat="0" applyFont="0" applyAlignment="0" applyProtection="0"/>
    <xf numFmtId="9" fontId="21" fillId="0" borderId="0" applyFont="0" applyFill="0" applyBorder="0" applyAlignment="0" applyProtection="0"/>
    <xf numFmtId="9" fontId="25" fillId="0" borderId="0" applyFont="0" applyFill="0" applyBorder="0" applyAlignment="0" applyProtection="0"/>
    <xf numFmtId="43" fontId="21" fillId="0" borderId="0" applyFont="0" applyFill="0" applyBorder="0" applyAlignment="0" applyProtection="0"/>
    <xf numFmtId="0" fontId="26" fillId="0" borderId="0"/>
    <xf numFmtId="9" fontId="21" fillId="0" borderId="0" applyFont="0" applyFill="0" applyBorder="0" applyAlignment="0" applyProtection="0"/>
    <xf numFmtId="0" fontId="18" fillId="0" borderId="0"/>
    <xf numFmtId="0" fontId="26" fillId="0" borderId="0"/>
    <xf numFmtId="0" fontId="18" fillId="0" borderId="0"/>
    <xf numFmtId="0" fontId="27" fillId="0" borderId="0" applyNumberFormat="0" applyFill="0" applyBorder="0" applyAlignment="0" applyProtection="0"/>
    <xf numFmtId="0" fontId="18" fillId="0" borderId="0"/>
    <xf numFmtId="0" fontId="28" fillId="0" borderId="0" applyNumberFormat="0" applyFill="0" applyBorder="0" applyAlignment="0" applyProtection="0"/>
    <xf numFmtId="0" fontId="21" fillId="0" borderId="0"/>
    <xf numFmtId="0" fontId="2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0" fillId="5" borderId="0" applyNumberFormat="0" applyBorder="0" applyAlignment="0" applyProtection="0"/>
    <xf numFmtId="0" fontId="30" fillId="5"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1" fillId="16" borderId="0" applyNumberFormat="0" applyBorder="0" applyAlignment="0" applyProtection="0"/>
    <xf numFmtId="0" fontId="31" fillId="6" borderId="0" applyNumberFormat="0" applyBorder="0" applyAlignment="0" applyProtection="0"/>
    <xf numFmtId="0" fontId="31" fillId="14"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23" borderId="0" applyNumberFormat="0" applyBorder="0" applyAlignment="0" applyProtection="0"/>
    <xf numFmtId="0" fontId="32" fillId="7" borderId="0" applyNumberFormat="0" applyBorder="0" applyAlignment="0" applyProtection="0"/>
    <xf numFmtId="0" fontId="33" fillId="25" borderId="11" applyNumberFormat="0" applyAlignment="0" applyProtection="0"/>
    <xf numFmtId="0" fontId="34" fillId="26" borderId="12" applyNumberFormat="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8" fillId="0" borderId="0" applyFont="0" applyFill="0" applyBorder="0" applyAlignment="0" applyProtection="0"/>
    <xf numFmtId="0" fontId="35" fillId="0" borderId="0" applyNumberFormat="0" applyFill="0" applyBorder="0" applyAlignment="0" applyProtection="0"/>
    <xf numFmtId="0" fontId="36" fillId="9" borderId="0" applyNumberFormat="0" applyBorder="0" applyAlignment="0" applyProtection="0"/>
    <xf numFmtId="0" fontId="41" fillId="0" borderId="13" applyNumberFormat="0" applyFill="0" applyAlignment="0" applyProtection="0"/>
    <xf numFmtId="0" fontId="42" fillId="0" borderId="14" applyNumberFormat="0" applyFill="0" applyAlignment="0" applyProtection="0"/>
    <xf numFmtId="0" fontId="43" fillId="0" borderId="1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28" fillId="0" borderId="0" applyNumberFormat="0" applyFill="0" applyBorder="0" applyAlignment="0" applyProtection="0"/>
    <xf numFmtId="0" fontId="45" fillId="12" borderId="11" applyNumberFormat="0" applyAlignment="0" applyProtection="0"/>
    <xf numFmtId="0" fontId="37" fillId="0" borderId="16" applyNumberFormat="0" applyFill="0" applyAlignment="0" applyProtection="0"/>
    <xf numFmtId="0" fontId="38" fillId="24" borderId="0" applyNumberFormat="0" applyBorder="0" applyAlignment="0" applyProtection="0"/>
    <xf numFmtId="0" fontId="26" fillId="0" borderId="0"/>
    <xf numFmtId="0" fontId="26" fillId="0" borderId="0"/>
    <xf numFmtId="0" fontId="19" fillId="0" borderId="0"/>
    <xf numFmtId="0" fontId="26" fillId="0" borderId="0"/>
    <xf numFmtId="0" fontId="26" fillId="0" borderId="0"/>
    <xf numFmtId="0" fontId="19" fillId="0" borderId="0"/>
    <xf numFmtId="0" fontId="26" fillId="0" borderId="0"/>
    <xf numFmtId="0" fontId="26" fillId="0" borderId="0"/>
    <xf numFmtId="0" fontId="19" fillId="0" borderId="0"/>
    <xf numFmtId="0" fontId="49" fillId="0" borderId="0"/>
    <xf numFmtId="0" fontId="19" fillId="0" borderId="0"/>
    <xf numFmtId="0" fontId="19" fillId="0" borderId="0"/>
    <xf numFmtId="0" fontId="26" fillId="0" borderId="0"/>
    <xf numFmtId="0" fontId="18" fillId="0" borderId="0"/>
    <xf numFmtId="0" fontId="49" fillId="0" borderId="0"/>
    <xf numFmtId="0" fontId="26" fillId="0" borderId="0"/>
    <xf numFmtId="0" fontId="46" fillId="0" borderId="0"/>
    <xf numFmtId="0" fontId="49" fillId="0" borderId="0"/>
    <xf numFmtId="0" fontId="18" fillId="0" borderId="0"/>
    <xf numFmtId="0" fontId="21" fillId="0" borderId="0"/>
    <xf numFmtId="0" fontId="26" fillId="0" borderId="0"/>
    <xf numFmtId="0" fontId="26" fillId="0" borderId="0" applyNumberFormat="0" applyFont="0" applyFill="0" applyBorder="0" applyAlignment="0" applyProtection="0"/>
    <xf numFmtId="0" fontId="26" fillId="0" borderId="0"/>
    <xf numFmtId="0" fontId="26" fillId="0" borderId="0" applyNumberFormat="0" applyFont="0" applyFill="0" applyBorder="0" applyAlignment="0" applyProtection="0"/>
    <xf numFmtId="0" fontId="26" fillId="0" borderId="0"/>
    <xf numFmtId="0" fontId="46" fillId="0" borderId="0"/>
    <xf numFmtId="0" fontId="21" fillId="0" borderId="0"/>
    <xf numFmtId="0" fontId="26" fillId="0" borderId="0"/>
    <xf numFmtId="0" fontId="49" fillId="0" borderId="0"/>
    <xf numFmtId="0" fontId="49" fillId="0" borderId="0"/>
    <xf numFmtId="0" fontId="26" fillId="0" borderId="0"/>
    <xf numFmtId="0" fontId="49" fillId="0" borderId="0"/>
    <xf numFmtId="0" fontId="26" fillId="0" borderId="0" applyNumberFormat="0" applyFont="0" applyFill="0" applyBorder="0" applyAlignment="0" applyProtection="0"/>
    <xf numFmtId="0" fontId="21" fillId="0" borderId="0"/>
    <xf numFmtId="0" fontId="26" fillId="0" borderId="0"/>
    <xf numFmtId="0" fontId="18" fillId="0" borderId="0"/>
    <xf numFmtId="0" fontId="26" fillId="0" borderId="0"/>
    <xf numFmtId="0" fontId="49" fillId="0" borderId="0"/>
    <xf numFmtId="0" fontId="21" fillId="0" borderId="0"/>
    <xf numFmtId="0" fontId="21" fillId="0" borderId="0"/>
    <xf numFmtId="0" fontId="21" fillId="0" borderId="0"/>
    <xf numFmtId="0" fontId="21" fillId="0" borderId="0"/>
    <xf numFmtId="0" fontId="19" fillId="0" borderId="0"/>
    <xf numFmtId="0" fontId="19" fillId="0" borderId="0"/>
    <xf numFmtId="0" fontId="21" fillId="0" borderId="0"/>
    <xf numFmtId="0" fontId="21" fillId="0" borderId="0"/>
    <xf numFmtId="0" fontId="26" fillId="0" borderId="0"/>
    <xf numFmtId="0" fontId="26" fillId="8" borderId="17" applyNumberFormat="0" applyFont="0" applyAlignment="0" applyProtection="0"/>
    <xf numFmtId="0" fontId="26" fillId="8" borderId="17" applyNumberFormat="0" applyFont="0" applyAlignment="0" applyProtection="0"/>
    <xf numFmtId="0" fontId="26" fillId="8" borderId="17" applyNumberFormat="0" applyFont="0" applyAlignment="0" applyProtection="0"/>
    <xf numFmtId="0" fontId="26" fillId="8" borderId="17" applyNumberFormat="0" applyFont="0" applyAlignment="0" applyProtection="0"/>
    <xf numFmtId="0" fontId="26" fillId="8" borderId="17" applyNumberFormat="0" applyFont="0" applyAlignment="0" applyProtection="0"/>
    <xf numFmtId="0" fontId="26" fillId="8" borderId="17" applyNumberFormat="0" applyFont="0" applyAlignment="0" applyProtection="0"/>
    <xf numFmtId="0" fontId="26" fillId="8" borderId="17" applyNumberFormat="0" applyFont="0" applyAlignment="0" applyProtection="0"/>
    <xf numFmtId="0" fontId="26" fillId="8" borderId="17" applyNumberFormat="0" applyFont="0" applyAlignment="0" applyProtection="0"/>
    <xf numFmtId="0" fontId="26" fillId="8" borderId="17" applyNumberFormat="0" applyFont="0" applyAlignment="0" applyProtection="0"/>
    <xf numFmtId="0" fontId="26" fillId="8" borderId="17" applyNumberFormat="0" applyFont="0" applyAlignment="0" applyProtection="0"/>
    <xf numFmtId="0" fontId="26" fillId="8" borderId="17" applyNumberFormat="0" applyFont="0" applyAlignment="0" applyProtection="0"/>
    <xf numFmtId="0" fontId="26" fillId="8" borderId="17" applyNumberFormat="0" applyFont="0" applyAlignment="0" applyProtection="0"/>
    <xf numFmtId="0" fontId="26" fillId="8" borderId="17" applyNumberFormat="0" applyFont="0" applyAlignment="0" applyProtection="0"/>
    <xf numFmtId="0" fontId="26" fillId="8" borderId="17" applyNumberFormat="0" applyFont="0" applyAlignment="0" applyProtection="0"/>
    <xf numFmtId="0" fontId="26" fillId="8" borderId="17" applyNumberFormat="0" applyFont="0" applyAlignment="0" applyProtection="0"/>
    <xf numFmtId="0" fontId="26" fillId="8" borderId="17" applyNumberFormat="0" applyFont="0" applyAlignment="0" applyProtection="0"/>
    <xf numFmtId="0" fontId="26" fillId="8" borderId="17" applyNumberFormat="0" applyFont="0" applyAlignment="0" applyProtection="0"/>
    <xf numFmtId="0" fontId="26" fillId="8" borderId="17" applyNumberFormat="0" applyFont="0" applyAlignment="0" applyProtection="0"/>
    <xf numFmtId="0" fontId="26" fillId="8" borderId="17" applyNumberFormat="0" applyFont="0" applyAlignment="0" applyProtection="0"/>
    <xf numFmtId="0" fontId="26" fillId="8" borderId="17" applyNumberFormat="0" applyFont="0" applyAlignment="0" applyProtection="0"/>
    <xf numFmtId="0" fontId="26" fillId="8" borderId="17" applyNumberFormat="0" applyFont="0" applyAlignment="0" applyProtection="0"/>
    <xf numFmtId="0" fontId="26" fillId="8" borderId="17" applyNumberFormat="0" applyFont="0" applyAlignment="0" applyProtection="0"/>
    <xf numFmtId="0" fontId="26" fillId="8" borderId="17" applyNumberFormat="0" applyFont="0" applyAlignment="0" applyProtection="0"/>
    <xf numFmtId="0" fontId="26" fillId="8" borderId="17" applyNumberFormat="0" applyFont="0" applyAlignment="0" applyProtection="0"/>
    <xf numFmtId="0" fontId="26" fillId="8" borderId="17" applyNumberFormat="0" applyFont="0" applyAlignment="0" applyProtection="0"/>
    <xf numFmtId="0" fontId="26" fillId="8" borderId="17" applyNumberFormat="0" applyFont="0" applyAlignment="0" applyProtection="0"/>
    <xf numFmtId="0" fontId="47" fillId="25" borderId="18" applyNumberFormat="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8" fillId="0" borderId="0" applyFont="0" applyFill="0" applyBorder="0" applyAlignment="0" applyProtection="0"/>
    <xf numFmtId="0" fontId="48" fillId="0" borderId="0" applyNumberFormat="0" applyFill="0" applyBorder="0" applyAlignment="0" applyProtection="0"/>
    <xf numFmtId="0" fontId="39" fillId="0" borderId="19" applyNumberFormat="0" applyFill="0" applyAlignment="0" applyProtection="0"/>
    <xf numFmtId="0" fontId="40" fillId="0" borderId="0" applyNumberFormat="0" applyFill="0" applyBorder="0" applyAlignment="0" applyProtection="0"/>
    <xf numFmtId="0" fontId="18" fillId="0" borderId="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8" fillId="0" borderId="0" applyFont="0" applyFill="0" applyBorder="0" applyAlignment="0" applyProtection="0"/>
    <xf numFmtId="43" fontId="21" fillId="0" borderId="0" applyFont="0" applyFill="0" applyBorder="0" applyAlignment="0" applyProtection="0"/>
    <xf numFmtId="0" fontId="21" fillId="0" borderId="0"/>
    <xf numFmtId="9" fontId="21" fillId="0" borderId="0" applyFont="0" applyFill="0" applyBorder="0" applyAlignment="0" applyProtection="0"/>
    <xf numFmtId="0" fontId="21" fillId="0" borderId="0"/>
    <xf numFmtId="43" fontId="21" fillId="0" borderId="0" applyFont="0" applyFill="0" applyBorder="0" applyAlignment="0" applyProtection="0"/>
    <xf numFmtId="9" fontId="21" fillId="0" borderId="0" applyFont="0" applyFill="0" applyBorder="0" applyAlignment="0" applyProtection="0"/>
    <xf numFmtId="9" fontId="18" fillId="0" borderId="0" applyFont="0" applyFill="0" applyBorder="0" applyAlignment="0" applyProtection="0"/>
    <xf numFmtId="43" fontId="21" fillId="0" borderId="0" applyFont="0" applyFill="0" applyBorder="0" applyAlignment="0" applyProtection="0"/>
    <xf numFmtId="0" fontId="23" fillId="0" borderId="0" applyNumberFormat="0" applyFill="0" applyBorder="0" applyAlignment="0" applyProtection="0">
      <alignment vertical="top"/>
      <protection locked="0"/>
    </xf>
    <xf numFmtId="0" fontId="26" fillId="0" borderId="0"/>
    <xf numFmtId="0" fontId="18" fillId="0" borderId="0"/>
    <xf numFmtId="0" fontId="46" fillId="0" borderId="0"/>
    <xf numFmtId="0" fontId="19" fillId="0" borderId="0"/>
    <xf numFmtId="0" fontId="49" fillId="0" borderId="0"/>
    <xf numFmtId="0" fontId="20" fillId="0" borderId="0"/>
    <xf numFmtId="0" fontId="18" fillId="0" borderId="0"/>
    <xf numFmtId="0" fontId="21" fillId="0" borderId="0"/>
    <xf numFmtId="0" fontId="21" fillId="0" borderId="0"/>
    <xf numFmtId="0" fontId="18" fillId="0" borderId="0"/>
    <xf numFmtId="0" fontId="21" fillId="0" borderId="0"/>
    <xf numFmtId="0" fontId="21" fillId="0" borderId="0"/>
    <xf numFmtId="0" fontId="21" fillId="0" borderId="0"/>
    <xf numFmtId="0" fontId="21" fillId="0" borderId="0"/>
    <xf numFmtId="9"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8"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8"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9" fontId="19" fillId="0" borderId="0" applyFont="0" applyFill="0" applyBorder="0" applyAlignment="0" applyProtection="0"/>
    <xf numFmtId="0" fontId="55" fillId="0" borderId="0"/>
    <xf numFmtId="0" fontId="15" fillId="0" borderId="0"/>
    <xf numFmtId="0" fontId="19" fillId="0" borderId="0"/>
    <xf numFmtId="15" fontId="56" fillId="28" borderId="36">
      <alignment horizontal="left" vertical="center"/>
    </xf>
    <xf numFmtId="43" fontId="21" fillId="0" borderId="0" applyFont="0" applyFill="0" applyBorder="0" applyAlignment="0" applyProtection="0"/>
    <xf numFmtId="43" fontId="21" fillId="0" borderId="0" applyFont="0" applyFill="0" applyBorder="0" applyAlignment="0" applyProtection="0"/>
    <xf numFmtId="43" fontId="15"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5"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5" fillId="0" borderId="0" applyFont="0" applyFill="0" applyBorder="0" applyAlignment="0" applyProtection="0"/>
    <xf numFmtId="0" fontId="23" fillId="0" borderId="0" applyNumberFormat="0" applyFill="0" applyBorder="0" applyAlignment="0" applyProtection="0">
      <alignment vertical="top"/>
      <protection locked="0"/>
    </xf>
    <xf numFmtId="0" fontId="27" fillId="0" borderId="0" applyNumberFormat="0" applyFill="0" applyBorder="0" applyAlignment="0" applyProtection="0"/>
    <xf numFmtId="0" fontId="28" fillId="0" borderId="0" applyNumberFormat="0" applyFill="0" applyBorder="0" applyAlignment="0" applyProtection="0"/>
    <xf numFmtId="0" fontId="21" fillId="0" borderId="0"/>
    <xf numFmtId="0" fontId="15" fillId="0" borderId="0"/>
    <xf numFmtId="0" fontId="15" fillId="0" borderId="0"/>
    <xf numFmtId="0" fontId="15" fillId="0" borderId="0"/>
    <xf numFmtId="0" fontId="26" fillId="0" borderId="0"/>
    <xf numFmtId="0" fontId="21" fillId="0" borderId="0"/>
    <xf numFmtId="0" fontId="21" fillId="0" borderId="0"/>
    <xf numFmtId="0" fontId="15" fillId="0" borderId="0"/>
    <xf numFmtId="0" fontId="15" fillId="0" borderId="0"/>
    <xf numFmtId="0" fontId="15" fillId="0" borderId="0"/>
    <xf numFmtId="0" fontId="15" fillId="0" borderId="0"/>
    <xf numFmtId="0" fontId="57" fillId="0" borderId="0"/>
    <xf numFmtId="0" fontId="15" fillId="0" borderId="0"/>
    <xf numFmtId="0" fontId="19"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9" fontId="19"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21" fillId="0" borderId="0"/>
    <xf numFmtId="0" fontId="15" fillId="0" borderId="0"/>
    <xf numFmtId="9" fontId="2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15" fillId="0" borderId="0"/>
    <xf numFmtId="0" fontId="15" fillId="0" borderId="0"/>
    <xf numFmtId="0" fontId="55" fillId="0" borderId="0"/>
    <xf numFmtId="43" fontId="2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21" fillId="0" borderId="0"/>
    <xf numFmtId="9" fontId="12" fillId="0" borderId="0" applyFont="0" applyFill="0" applyBorder="0" applyAlignment="0" applyProtection="0"/>
    <xf numFmtId="0" fontId="28" fillId="0" borderId="0" applyNumberFormat="0" applyFill="0" applyBorder="0" applyAlignment="0" applyProtection="0"/>
    <xf numFmtId="0" fontId="12" fillId="0" borderId="0"/>
    <xf numFmtId="0" fontId="12" fillId="0" borderId="0"/>
    <xf numFmtId="9" fontId="12" fillId="0" borderId="0" applyFont="0" applyFill="0" applyBorder="0" applyAlignment="0" applyProtection="0"/>
    <xf numFmtId="0" fontId="12" fillId="0" borderId="0"/>
  </cellStyleXfs>
  <cellXfs count="308">
    <xf numFmtId="0" fontId="0" fillId="0" borderId="0" xfId="0"/>
    <xf numFmtId="0" fontId="0" fillId="4" borderId="0" xfId="0" applyFill="1"/>
    <xf numFmtId="0" fontId="52" fillId="4" borderId="0" xfId="0" applyFont="1" applyFill="1" applyBorder="1" applyAlignment="1">
      <alignment vertical="center"/>
    </xf>
    <xf numFmtId="0" fontId="52" fillId="4" borderId="0" xfId="0" applyFont="1" applyFill="1" applyBorder="1" applyAlignment="1">
      <alignment horizontal="center" vertical="center"/>
    </xf>
    <xf numFmtId="0" fontId="51" fillId="0" borderId="30" xfId="0" applyFont="1" applyFill="1" applyBorder="1" applyAlignment="1" applyProtection="1">
      <alignment vertical="center"/>
      <protection locked="0" hidden="1"/>
    </xf>
    <xf numFmtId="0" fontId="53" fillId="0" borderId="30" xfId="0" applyFont="1" applyFill="1" applyBorder="1" applyAlignment="1" applyProtection="1">
      <alignment vertical="center"/>
      <protection locked="0" hidden="1"/>
    </xf>
    <xf numFmtId="0" fontId="21" fillId="0" borderId="30" xfId="0" quotePrefix="1" applyFont="1" applyFill="1" applyBorder="1" applyAlignment="1" applyProtection="1">
      <alignment vertical="center"/>
      <protection hidden="1"/>
    </xf>
    <xf numFmtId="0" fontId="21" fillId="0" borderId="31" xfId="0" quotePrefix="1" applyFont="1" applyFill="1" applyBorder="1" applyAlignment="1" applyProtection="1">
      <alignment vertical="center"/>
      <protection hidden="1"/>
    </xf>
    <xf numFmtId="0" fontId="21" fillId="0" borderId="30" xfId="6" applyFont="1" applyFill="1" applyBorder="1" applyProtection="1">
      <protection locked="0" hidden="1"/>
    </xf>
    <xf numFmtId="0" fontId="50" fillId="4" borderId="0" xfId="0" applyFont="1" applyFill="1"/>
    <xf numFmtId="0" fontId="17" fillId="4" borderId="0" xfId="0" applyFont="1" applyFill="1"/>
    <xf numFmtId="0" fontId="17" fillId="0" borderId="0" xfId="0" applyFont="1"/>
    <xf numFmtId="0" fontId="51" fillId="0" borderId="31" xfId="0" applyFont="1" applyFill="1" applyBorder="1" applyAlignment="1" applyProtection="1">
      <alignment vertical="center"/>
      <protection hidden="1"/>
    </xf>
    <xf numFmtId="0" fontId="51" fillId="0" borderId="30" xfId="0" applyFont="1" applyFill="1" applyBorder="1" applyAlignment="1" applyProtection="1">
      <alignment vertical="center" wrapText="1"/>
      <protection locked="0" hidden="1"/>
    </xf>
    <xf numFmtId="0" fontId="51" fillId="0" borderId="31" xfId="0" applyFont="1" applyFill="1" applyBorder="1" applyAlignment="1" applyProtection="1">
      <alignment vertical="center" wrapText="1"/>
      <protection locked="0" hidden="1"/>
    </xf>
    <xf numFmtId="0" fontId="51" fillId="0" borderId="33" xfId="0" applyFont="1" applyFill="1" applyBorder="1" applyProtection="1">
      <protection hidden="1"/>
    </xf>
    <xf numFmtId="0" fontId="51" fillId="0" borderId="31" xfId="0" applyFont="1" applyFill="1" applyBorder="1" applyAlignment="1" applyProtection="1">
      <alignment horizontal="center" vertical="center" wrapText="1"/>
      <protection locked="0" hidden="1"/>
    </xf>
    <xf numFmtId="0" fontId="51" fillId="0" borderId="34" xfId="0" applyFont="1" applyFill="1" applyBorder="1" applyAlignment="1" applyProtection="1">
      <alignment vertical="center" wrapText="1"/>
      <protection locked="0" hidden="1"/>
    </xf>
    <xf numFmtId="0" fontId="54" fillId="0" borderId="30" xfId="0" applyFont="1" applyFill="1" applyBorder="1" applyAlignment="1" applyProtection="1">
      <alignment horizontal="right"/>
      <protection hidden="1"/>
    </xf>
    <xf numFmtId="0" fontId="21" fillId="0" borderId="33" xfId="0" applyFont="1" applyFill="1" applyBorder="1" applyAlignment="1" applyProtection="1">
      <alignment horizontal="right"/>
      <protection hidden="1"/>
    </xf>
    <xf numFmtId="0" fontId="51" fillId="0" borderId="0" xfId="0" applyFont="1" applyFill="1" applyBorder="1" applyProtection="1">
      <protection hidden="1"/>
    </xf>
    <xf numFmtId="49" fontId="51" fillId="27" borderId="23" xfId="0" applyNumberFormat="1" applyFont="1" applyFill="1" applyBorder="1" applyAlignment="1">
      <alignment horizontal="center" vertical="center" wrapText="1"/>
    </xf>
    <xf numFmtId="0" fontId="16" fillId="4" borderId="24" xfId="0" applyFont="1" applyFill="1" applyBorder="1" applyAlignment="1">
      <alignment horizontal="right"/>
    </xf>
    <xf numFmtId="0" fontId="16" fillId="4" borderId="29" xfId="0" applyFont="1" applyFill="1" applyBorder="1" applyAlignment="1">
      <alignment horizontal="right"/>
    </xf>
    <xf numFmtId="0" fontId="16" fillId="4" borderId="25" xfId="0" applyFont="1" applyFill="1" applyBorder="1" applyAlignment="1">
      <alignment horizontal="right"/>
    </xf>
    <xf numFmtId="0" fontId="16" fillId="4" borderId="26" xfId="0" applyFont="1" applyFill="1" applyBorder="1" applyAlignment="1">
      <alignment horizontal="right"/>
    </xf>
    <xf numFmtId="0" fontId="16" fillId="4" borderId="0" xfId="0" applyFont="1" applyFill="1"/>
    <xf numFmtId="0" fontId="16" fillId="0" borderId="0" xfId="0" applyFont="1"/>
    <xf numFmtId="0" fontId="16" fillId="4" borderId="0" xfId="0" applyFont="1" applyFill="1" applyBorder="1" applyAlignment="1">
      <alignment horizontal="center" vertical="center"/>
    </xf>
    <xf numFmtId="1" fontId="16" fillId="4" borderId="0" xfId="0" applyNumberFormat="1" applyFont="1" applyFill="1" applyBorder="1" applyAlignment="1">
      <alignment horizontal="center" vertical="center"/>
    </xf>
    <xf numFmtId="49" fontId="51" fillId="27" borderId="23" xfId="0" applyNumberFormat="1" applyFont="1" applyFill="1" applyBorder="1" applyAlignment="1">
      <alignment horizontal="center" vertical="center" wrapText="1"/>
    </xf>
    <xf numFmtId="0" fontId="14" fillId="4" borderId="0" xfId="0" applyFont="1" applyFill="1"/>
    <xf numFmtId="0" fontId="14" fillId="0" borderId="0" xfId="0" applyFont="1"/>
    <xf numFmtId="0" fontId="14" fillId="4" borderId="0" xfId="0" applyFont="1" applyFill="1" applyBorder="1" applyAlignment="1">
      <alignment horizontal="right"/>
    </xf>
    <xf numFmtId="0" fontId="14" fillId="4" borderId="24" xfId="0" applyFont="1" applyFill="1" applyBorder="1" applyAlignment="1">
      <alignment horizontal="right"/>
    </xf>
    <xf numFmtId="0" fontId="14" fillId="4" borderId="29" xfId="0" applyFont="1" applyFill="1" applyBorder="1" applyAlignment="1">
      <alignment horizontal="right"/>
    </xf>
    <xf numFmtId="0" fontId="14" fillId="4" borderId="23" xfId="0" applyFont="1" applyFill="1" applyBorder="1" applyAlignment="1">
      <alignment horizontal="right"/>
    </xf>
    <xf numFmtId="0" fontId="14" fillId="4" borderId="25" xfId="0" applyFont="1" applyFill="1" applyBorder="1" applyAlignment="1">
      <alignment horizontal="right"/>
    </xf>
    <xf numFmtId="0" fontId="14" fillId="4" borderId="26" xfId="0" applyFont="1" applyFill="1" applyBorder="1" applyAlignment="1">
      <alignment horizontal="right"/>
    </xf>
    <xf numFmtId="0" fontId="14" fillId="0" borderId="0" xfId="0" applyFont="1" applyFill="1"/>
    <xf numFmtId="0" fontId="14" fillId="0" borderId="30" xfId="0" applyFont="1" applyFill="1" applyBorder="1" applyAlignment="1" applyProtection="1">
      <alignment horizontal="right" vertical="top"/>
      <protection locked="0" hidden="1"/>
    </xf>
    <xf numFmtId="0" fontId="14" fillId="0" borderId="32" xfId="0" applyFont="1" applyFill="1" applyBorder="1" applyAlignment="1" applyProtection="1">
      <alignment horizontal="right" vertical="top"/>
      <protection locked="0" hidden="1"/>
    </xf>
    <xf numFmtId="0" fontId="14" fillId="0" borderId="32" xfId="0" applyFont="1" applyFill="1" applyBorder="1" applyAlignment="1" applyProtection="1">
      <alignment horizontal="right" vertical="top" wrapText="1"/>
      <protection locked="0" hidden="1"/>
    </xf>
    <xf numFmtId="0" fontId="14" fillId="0" borderId="33" xfId="0" applyFont="1" applyFill="1" applyBorder="1" applyProtection="1">
      <protection hidden="1"/>
    </xf>
    <xf numFmtId="0" fontId="21" fillId="0" borderId="30" xfId="0" applyFont="1" applyFill="1" applyBorder="1" applyProtection="1">
      <protection locked="0" hidden="1"/>
    </xf>
    <xf numFmtId="0" fontId="14" fillId="0" borderId="30" xfId="0" applyFont="1" applyFill="1" applyBorder="1" applyProtection="1">
      <protection hidden="1"/>
    </xf>
    <xf numFmtId="0" fontId="14" fillId="0" borderId="30" xfId="0" applyFont="1" applyFill="1" applyBorder="1" applyProtection="1">
      <protection locked="0" hidden="1"/>
    </xf>
    <xf numFmtId="0" fontId="14" fillId="4" borderId="0" xfId="0" applyFont="1" applyFill="1" applyAlignment="1">
      <alignment horizontal="right" vertical="top"/>
    </xf>
    <xf numFmtId="0" fontId="14" fillId="0" borderId="0" xfId="0" applyFont="1" applyAlignment="1">
      <alignment horizontal="right" vertical="top"/>
    </xf>
    <xf numFmtId="0" fontId="14" fillId="0" borderId="31" xfId="0" applyFont="1" applyFill="1" applyBorder="1" applyProtection="1">
      <protection locked="0" hidden="1"/>
    </xf>
    <xf numFmtId="0" fontId="14" fillId="0" borderId="32" xfId="0" applyFont="1" applyFill="1" applyBorder="1" applyProtection="1">
      <protection locked="0" hidden="1"/>
    </xf>
    <xf numFmtId="0" fontId="14" fillId="0" borderId="34" xfId="0" applyFont="1" applyFill="1" applyBorder="1" applyProtection="1">
      <protection locked="0" hidden="1"/>
    </xf>
    <xf numFmtId="0" fontId="14" fillId="0" borderId="33" xfId="0" applyFont="1" applyFill="1" applyBorder="1" applyProtection="1">
      <protection locked="0" hidden="1"/>
    </xf>
    <xf numFmtId="0" fontId="21" fillId="4" borderId="29" xfId="0" applyFont="1" applyFill="1" applyBorder="1" applyAlignment="1">
      <alignment horizontal="right"/>
    </xf>
    <xf numFmtId="0" fontId="21" fillId="4" borderId="26" xfId="0" applyFont="1" applyFill="1" applyBorder="1" applyAlignment="1">
      <alignment horizontal="right"/>
    </xf>
    <xf numFmtId="0" fontId="17" fillId="4" borderId="0" xfId="0" applyFont="1" applyFill="1" applyAlignment="1">
      <alignment horizontal="left"/>
    </xf>
    <xf numFmtId="0" fontId="16" fillId="0" borderId="0" xfId="0" applyFont="1" applyAlignment="1">
      <alignment horizontal="left"/>
    </xf>
    <xf numFmtId="0" fontId="13" fillId="4" borderId="0" xfId="0" applyFont="1" applyFill="1"/>
    <xf numFmtId="0" fontId="59" fillId="4" borderId="0" xfId="0" applyFont="1" applyFill="1"/>
    <xf numFmtId="0" fontId="22" fillId="29" borderId="0" xfId="338" applyFont="1" applyFill="1" applyProtection="1">
      <protection locked="0" hidden="1"/>
    </xf>
    <xf numFmtId="0" fontId="29" fillId="29" borderId="0" xfId="338" applyFont="1" applyFill="1" applyProtection="1">
      <protection locked="0" hidden="1"/>
    </xf>
    <xf numFmtId="0" fontId="60" fillId="29" borderId="0" xfId="338" applyFont="1" applyFill="1" applyProtection="1">
      <protection locked="0" hidden="1"/>
    </xf>
    <xf numFmtId="0" fontId="58" fillId="4" borderId="0" xfId="5" applyFont="1" applyFill="1" applyBorder="1" applyAlignment="1" applyProtection="1">
      <alignment horizontal="left" vertical="center"/>
      <protection hidden="1"/>
    </xf>
    <xf numFmtId="0" fontId="58" fillId="4" borderId="0" xfId="5" applyFont="1" applyFill="1" applyBorder="1" applyAlignment="1" applyProtection="1">
      <alignment horizontal="left" vertical="top"/>
      <protection hidden="1"/>
    </xf>
    <xf numFmtId="0" fontId="61" fillId="4" borderId="0" xfId="22" applyFont="1" applyFill="1"/>
    <xf numFmtId="0" fontId="16" fillId="4" borderId="0" xfId="0" applyFont="1" applyFill="1" applyBorder="1" applyAlignment="1">
      <alignment horizontal="right" indent="1"/>
    </xf>
    <xf numFmtId="0" fontId="16" fillId="4" borderId="23" xfId="0" applyFont="1" applyFill="1" applyBorder="1" applyAlignment="1">
      <alignment horizontal="right" indent="1"/>
    </xf>
    <xf numFmtId="49" fontId="51" fillId="27" borderId="27" xfId="0" applyNumberFormat="1" applyFont="1" applyFill="1" applyBorder="1" applyAlignment="1">
      <alignment horizontal="center" vertical="center" wrapText="1"/>
    </xf>
    <xf numFmtId="49" fontId="51" fillId="27" borderId="22" xfId="0" applyNumberFormat="1" applyFont="1" applyFill="1" applyBorder="1" applyAlignment="1">
      <alignment horizontal="center" vertical="center" wrapText="1"/>
    </xf>
    <xf numFmtId="49" fontId="51" fillId="27" borderId="28" xfId="0" applyNumberFormat="1" applyFont="1" applyFill="1" applyBorder="1" applyAlignment="1">
      <alignment horizontal="center" vertical="center" wrapText="1"/>
    </xf>
    <xf numFmtId="49" fontId="51" fillId="27" borderId="26" xfId="0" applyNumberFormat="1" applyFont="1" applyFill="1" applyBorder="1" applyAlignment="1">
      <alignment horizontal="center" vertical="center" wrapText="1"/>
    </xf>
    <xf numFmtId="49" fontId="51" fillId="27" borderId="23" xfId="0" applyNumberFormat="1" applyFont="1" applyFill="1" applyBorder="1" applyAlignment="1">
      <alignment horizontal="center" vertical="center" wrapText="1"/>
    </xf>
    <xf numFmtId="49" fontId="51" fillId="27" borderId="21" xfId="0" applyNumberFormat="1" applyFont="1" applyFill="1" applyBorder="1" applyAlignment="1">
      <alignment horizontal="center" vertical="center" wrapText="1"/>
    </xf>
    <xf numFmtId="49" fontId="51" fillId="27" borderId="26" xfId="0" applyNumberFormat="1" applyFont="1" applyFill="1" applyBorder="1" applyAlignment="1">
      <alignment horizontal="center" vertical="center" wrapText="1"/>
    </xf>
    <xf numFmtId="49" fontId="51" fillId="27" borderId="23" xfId="0" applyNumberFormat="1" applyFont="1" applyFill="1" applyBorder="1" applyAlignment="1">
      <alignment horizontal="center" vertical="center" wrapText="1"/>
    </xf>
    <xf numFmtId="0" fontId="50" fillId="4" borderId="40" xfId="0" applyFont="1" applyFill="1" applyBorder="1"/>
    <xf numFmtId="0" fontId="14" fillId="4" borderId="40" xfId="0" applyFont="1" applyFill="1" applyBorder="1" applyAlignment="1">
      <alignment horizontal="left" indent="1"/>
    </xf>
    <xf numFmtId="0" fontId="14" fillId="4" borderId="41" xfId="0" applyFont="1" applyFill="1" applyBorder="1" applyAlignment="1">
      <alignment horizontal="left" indent="1"/>
    </xf>
    <xf numFmtId="0" fontId="51" fillId="0" borderId="34" xfId="0" applyFont="1" applyFill="1" applyBorder="1" applyAlignment="1" applyProtection="1">
      <alignment horizontal="center" vertical="center"/>
      <protection hidden="1"/>
    </xf>
    <xf numFmtId="0" fontId="16" fillId="4" borderId="40" xfId="0" applyFont="1" applyFill="1" applyBorder="1"/>
    <xf numFmtId="0" fontId="16" fillId="4" borderId="41" xfId="0" applyFont="1" applyFill="1" applyBorder="1"/>
    <xf numFmtId="9" fontId="51" fillId="0" borderId="43" xfId="268" applyFont="1" applyFill="1" applyBorder="1" applyAlignment="1" applyProtection="1">
      <alignment horizontal="right" vertical="center" indent="2"/>
      <protection hidden="1"/>
    </xf>
    <xf numFmtId="0" fontId="50" fillId="4" borderId="39" xfId="0" applyFont="1" applyFill="1" applyBorder="1" applyAlignment="1">
      <alignment wrapText="1"/>
    </xf>
    <xf numFmtId="49" fontId="51" fillId="27" borderId="39" xfId="0" applyNumberFormat="1" applyFont="1" applyFill="1" applyBorder="1" applyAlignment="1">
      <alignment horizontal="center" vertical="center" wrapText="1"/>
    </xf>
    <xf numFmtId="49" fontId="51" fillId="27" borderId="41" xfId="0" applyNumberFormat="1" applyFont="1" applyFill="1" applyBorder="1" applyAlignment="1">
      <alignment horizontal="center" vertical="center" wrapText="1"/>
    </xf>
    <xf numFmtId="0" fontId="50" fillId="4" borderId="40" xfId="0" applyFont="1" applyFill="1" applyBorder="1" applyAlignment="1">
      <alignment horizontal="left"/>
    </xf>
    <xf numFmtId="0" fontId="51" fillId="0" borderId="46" xfId="0" applyFont="1" applyFill="1" applyBorder="1" applyAlignment="1" applyProtection="1">
      <alignment vertical="center" wrapText="1"/>
      <protection hidden="1"/>
    </xf>
    <xf numFmtId="0" fontId="51" fillId="0" borderId="46" xfId="0" applyFont="1" applyFill="1" applyBorder="1" applyAlignment="1" applyProtection="1">
      <alignment horizontal="left" vertical="center" wrapText="1" indent="1"/>
      <protection hidden="1"/>
    </xf>
    <xf numFmtId="0" fontId="21" fillId="0" borderId="46" xfId="0" applyFont="1" applyFill="1" applyBorder="1" applyAlignment="1" applyProtection="1">
      <alignment horizontal="left" vertical="top" wrapText="1" indent="1"/>
      <protection hidden="1"/>
    </xf>
    <xf numFmtId="0" fontId="21" fillId="0" borderId="47" xfId="0" applyFont="1" applyFill="1" applyBorder="1" applyAlignment="1" applyProtection="1">
      <alignment horizontal="left" vertical="top" wrapText="1" indent="1"/>
      <protection hidden="1"/>
    </xf>
    <xf numFmtId="0" fontId="51" fillId="0" borderId="46" xfId="0" applyFont="1" applyFill="1" applyBorder="1" applyAlignment="1" applyProtection="1">
      <alignment horizontal="left" vertical="center" wrapText="1" indent="2"/>
      <protection hidden="1"/>
    </xf>
    <xf numFmtId="0" fontId="21" fillId="0" borderId="46" xfId="0" applyFont="1" applyFill="1" applyBorder="1" applyAlignment="1" applyProtection="1">
      <alignment horizontal="left" vertical="top" wrapText="1" indent="2"/>
      <protection hidden="1"/>
    </xf>
    <xf numFmtId="0" fontId="21" fillId="0" borderId="47" xfId="0" applyFont="1" applyFill="1" applyBorder="1" applyAlignment="1" applyProtection="1">
      <alignment horizontal="left" vertical="top" wrapText="1" indent="2"/>
      <protection hidden="1"/>
    </xf>
    <xf numFmtId="0" fontId="21" fillId="0" borderId="48" xfId="0" applyFont="1" applyFill="1" applyBorder="1" applyAlignment="1" applyProtection="1">
      <alignment horizontal="left" vertical="top" wrapText="1" indent="2"/>
      <protection hidden="1"/>
    </xf>
    <xf numFmtId="0" fontId="50" fillId="4" borderId="42" xfId="0" applyFont="1" applyFill="1" applyBorder="1" applyAlignment="1">
      <alignment horizontal="right"/>
    </xf>
    <xf numFmtId="0" fontId="50" fillId="4" borderId="21" xfId="0" applyFont="1" applyFill="1" applyBorder="1" applyAlignment="1">
      <alignment horizontal="right"/>
    </xf>
    <xf numFmtId="0" fontId="14" fillId="0" borderId="24" xfId="0" applyFont="1" applyBorder="1"/>
    <xf numFmtId="0" fontId="14" fillId="0" borderId="0" xfId="0" applyFont="1" applyBorder="1"/>
    <xf numFmtId="0" fontId="53" fillId="0" borderId="0" xfId="0" applyFont="1"/>
    <xf numFmtId="0" fontId="51" fillId="0" borderId="49" xfId="0" applyFont="1" applyFill="1" applyBorder="1" applyAlignment="1" applyProtection="1">
      <alignment horizontal="right" vertical="center" indent="2"/>
      <protection hidden="1"/>
    </xf>
    <xf numFmtId="0" fontId="51" fillId="0" borderId="50" xfId="0" applyFont="1" applyFill="1" applyBorder="1" applyAlignment="1" applyProtection="1">
      <alignment horizontal="right" vertical="center" indent="2"/>
      <protection hidden="1"/>
    </xf>
    <xf numFmtId="0" fontId="51" fillId="0" borderId="54" xfId="0" applyFont="1" applyFill="1" applyBorder="1" applyAlignment="1" applyProtection="1">
      <alignment horizontal="right" vertical="center" indent="3"/>
      <protection hidden="1"/>
    </xf>
    <xf numFmtId="0" fontId="51" fillId="0" borderId="46" xfId="0" applyFont="1" applyFill="1" applyBorder="1" applyAlignment="1" applyProtection="1">
      <alignment horizontal="right" vertical="center" indent="3"/>
      <protection hidden="1"/>
    </xf>
    <xf numFmtId="0" fontId="21" fillId="0" borderId="47" xfId="0" applyFont="1" applyFill="1" applyBorder="1" applyAlignment="1" applyProtection="1">
      <alignment horizontal="right" vertical="center" indent="3"/>
      <protection hidden="1"/>
    </xf>
    <xf numFmtId="0" fontId="51" fillId="0" borderId="48" xfId="0" applyFont="1" applyFill="1" applyBorder="1" applyAlignment="1" applyProtection="1">
      <alignment horizontal="right" vertical="center" indent="3"/>
      <protection hidden="1"/>
    </xf>
    <xf numFmtId="0" fontId="0" fillId="0" borderId="0" xfId="0" applyAlignment="1">
      <alignment wrapText="1"/>
    </xf>
    <xf numFmtId="9" fontId="50" fillId="4" borderId="21" xfId="268" applyFont="1" applyFill="1" applyBorder="1" applyAlignment="1">
      <alignment horizontal="right"/>
    </xf>
    <xf numFmtId="9" fontId="50" fillId="4" borderId="35" xfId="268" applyFont="1" applyFill="1" applyBorder="1" applyAlignment="1">
      <alignment horizontal="right"/>
    </xf>
    <xf numFmtId="9" fontId="14" fillId="4" borderId="0" xfId="268" applyFont="1" applyFill="1" applyBorder="1" applyAlignment="1">
      <alignment horizontal="right"/>
    </xf>
    <xf numFmtId="9" fontId="14" fillId="4" borderId="29" xfId="268" applyFont="1" applyFill="1" applyBorder="1" applyAlignment="1">
      <alignment horizontal="right"/>
    </xf>
    <xf numFmtId="9" fontId="14" fillId="4" borderId="23" xfId="268" applyFont="1" applyFill="1" applyBorder="1" applyAlignment="1">
      <alignment horizontal="right"/>
    </xf>
    <xf numFmtId="9" fontId="14" fillId="4" borderId="26" xfId="268" applyFont="1" applyFill="1" applyBorder="1" applyAlignment="1">
      <alignment horizontal="right"/>
    </xf>
    <xf numFmtId="0" fontId="53" fillId="4" borderId="0" xfId="0" applyFont="1" applyFill="1"/>
    <xf numFmtId="0" fontId="51" fillId="0" borderId="55" xfId="0" applyFont="1" applyFill="1" applyBorder="1" applyAlignment="1" applyProtection="1">
      <alignment horizontal="right" vertical="center" indent="2"/>
      <protection hidden="1"/>
    </xf>
    <xf numFmtId="0" fontId="51" fillId="0" borderId="56" xfId="0" applyFont="1" applyFill="1" applyBorder="1" applyAlignment="1" applyProtection="1">
      <alignment horizontal="right" vertical="center" indent="2"/>
      <protection hidden="1"/>
    </xf>
    <xf numFmtId="0" fontId="51" fillId="0" borderId="54" xfId="0" applyFont="1" applyFill="1" applyBorder="1" applyAlignment="1" applyProtection="1">
      <alignment horizontal="right" vertical="center" indent="2"/>
      <protection hidden="1"/>
    </xf>
    <xf numFmtId="0" fontId="50" fillId="30" borderId="57" xfId="0" applyFont="1" applyFill="1" applyBorder="1" applyAlignment="1">
      <alignment wrapText="1"/>
    </xf>
    <xf numFmtId="0" fontId="50" fillId="30" borderId="68" xfId="0" applyFont="1" applyFill="1" applyBorder="1"/>
    <xf numFmtId="0" fontId="50" fillId="30" borderId="69" xfId="0" applyFont="1" applyFill="1" applyBorder="1" applyAlignment="1">
      <alignment wrapText="1"/>
    </xf>
    <xf numFmtId="0" fontId="50" fillId="30" borderId="70" xfId="0" applyFont="1" applyFill="1" applyBorder="1"/>
    <xf numFmtId="14" fontId="0" fillId="0" borderId="0" xfId="0" applyNumberFormat="1"/>
    <xf numFmtId="9" fontId="21" fillId="4" borderId="0" xfId="268" applyFont="1" applyFill="1" applyBorder="1" applyAlignment="1">
      <alignment horizontal="right"/>
    </xf>
    <xf numFmtId="9" fontId="51" fillId="0" borderId="51" xfId="268" applyFont="1" applyFill="1" applyBorder="1" applyAlignment="1" applyProtection="1">
      <alignment horizontal="right" vertical="center" indent="2"/>
      <protection hidden="1"/>
    </xf>
    <xf numFmtId="14" fontId="17" fillId="4" borderId="0" xfId="0" applyNumberFormat="1" applyFont="1" applyFill="1"/>
    <xf numFmtId="9" fontId="50" fillId="4" borderId="42" xfId="268" applyNumberFormat="1" applyFont="1" applyFill="1" applyBorder="1" applyAlignment="1">
      <alignment horizontal="right" indent="1"/>
    </xf>
    <xf numFmtId="9" fontId="50" fillId="4" borderId="21" xfId="268" applyNumberFormat="1" applyFont="1" applyFill="1" applyBorder="1" applyAlignment="1">
      <alignment horizontal="right" indent="1"/>
    </xf>
    <xf numFmtId="9" fontId="50" fillId="4" borderId="35" xfId="268" applyNumberFormat="1" applyFont="1" applyFill="1" applyBorder="1" applyAlignment="1">
      <alignment horizontal="right" indent="1"/>
    </xf>
    <xf numFmtId="9" fontId="50" fillId="4" borderId="42" xfId="268" applyNumberFormat="1" applyFont="1" applyFill="1" applyBorder="1" applyAlignment="1">
      <alignment horizontal="right"/>
    </xf>
    <xf numFmtId="9" fontId="50" fillId="4" borderId="35" xfId="268" applyNumberFormat="1" applyFont="1" applyFill="1" applyBorder="1" applyAlignment="1">
      <alignment horizontal="right"/>
    </xf>
    <xf numFmtId="9" fontId="11" fillId="4" borderId="24" xfId="268" applyNumberFormat="1" applyFont="1" applyFill="1" applyBorder="1" applyAlignment="1">
      <alignment horizontal="right"/>
    </xf>
    <xf numFmtId="9" fontId="11" fillId="4" borderId="29" xfId="268" applyNumberFormat="1" applyFont="1" applyFill="1" applyBorder="1" applyAlignment="1">
      <alignment horizontal="right"/>
    </xf>
    <xf numFmtId="9" fontId="11" fillId="4" borderId="25" xfId="268" applyNumberFormat="1" applyFont="1" applyFill="1" applyBorder="1" applyAlignment="1">
      <alignment horizontal="right"/>
    </xf>
    <xf numFmtId="9" fontId="11" fillId="4" borderId="26" xfId="268" applyNumberFormat="1" applyFont="1" applyFill="1" applyBorder="1" applyAlignment="1">
      <alignment horizontal="right"/>
    </xf>
    <xf numFmtId="9" fontId="50" fillId="4" borderId="42" xfId="0" applyNumberFormat="1" applyFont="1" applyFill="1" applyBorder="1" applyAlignment="1">
      <alignment horizontal="right"/>
    </xf>
    <xf numFmtId="9" fontId="50" fillId="4" borderId="21" xfId="0" applyNumberFormat="1" applyFont="1" applyFill="1" applyBorder="1" applyAlignment="1">
      <alignment horizontal="right"/>
    </xf>
    <xf numFmtId="9" fontId="50" fillId="4" borderId="35" xfId="0" applyNumberFormat="1" applyFont="1" applyFill="1" applyBorder="1" applyAlignment="1">
      <alignment horizontal="right"/>
    </xf>
    <xf numFmtId="9" fontId="10" fillId="4" borderId="24" xfId="268" applyNumberFormat="1" applyFont="1" applyFill="1" applyBorder="1" applyAlignment="1">
      <alignment horizontal="right"/>
    </xf>
    <xf numFmtId="9" fontId="10" fillId="4" borderId="29" xfId="268" applyNumberFormat="1" applyFont="1" applyFill="1" applyBorder="1" applyAlignment="1">
      <alignment horizontal="right"/>
    </xf>
    <xf numFmtId="9" fontId="10" fillId="4" borderId="25" xfId="268" applyNumberFormat="1" applyFont="1" applyFill="1" applyBorder="1" applyAlignment="1">
      <alignment horizontal="right"/>
    </xf>
    <xf numFmtId="9" fontId="10" fillId="4" borderId="26" xfId="268" applyNumberFormat="1" applyFont="1" applyFill="1" applyBorder="1" applyAlignment="1">
      <alignment horizontal="right"/>
    </xf>
    <xf numFmtId="9" fontId="14" fillId="4" borderId="0" xfId="0" applyNumberFormat="1" applyFont="1" applyFill="1"/>
    <xf numFmtId="9" fontId="51" fillId="0" borderId="46" xfId="268" applyNumberFormat="1" applyFont="1" applyFill="1" applyBorder="1" applyAlignment="1" applyProtection="1">
      <alignment horizontal="right" vertical="center" indent="2"/>
      <protection hidden="1"/>
    </xf>
    <xf numFmtId="9" fontId="51" fillId="0" borderId="43" xfId="268" applyNumberFormat="1" applyFont="1" applyFill="1" applyBorder="1" applyAlignment="1" applyProtection="1">
      <alignment horizontal="right" vertical="center" indent="2"/>
      <protection hidden="1"/>
    </xf>
    <xf numFmtId="9" fontId="21" fillId="0" borderId="46" xfId="268" applyNumberFormat="1" applyFont="1" applyFill="1" applyBorder="1" applyAlignment="1" applyProtection="1">
      <alignment horizontal="right" vertical="center" indent="2"/>
      <protection hidden="1"/>
    </xf>
    <xf numFmtId="9" fontId="21" fillId="0" borderId="43" xfId="268" applyNumberFormat="1" applyFont="1" applyFill="1" applyBorder="1" applyAlignment="1" applyProtection="1">
      <alignment horizontal="right" vertical="center" indent="2"/>
      <protection hidden="1"/>
    </xf>
    <xf numFmtId="9" fontId="21" fillId="0" borderId="47" xfId="268" applyNumberFormat="1" applyFont="1" applyFill="1" applyBorder="1" applyAlignment="1" applyProtection="1">
      <alignment horizontal="right" vertical="center" indent="2"/>
      <protection hidden="1"/>
    </xf>
    <xf numFmtId="9" fontId="21" fillId="0" borderId="45" xfId="268" applyNumberFormat="1" applyFont="1" applyFill="1" applyBorder="1" applyAlignment="1" applyProtection="1">
      <alignment horizontal="right" vertical="center" indent="2"/>
      <protection hidden="1"/>
    </xf>
    <xf numFmtId="9" fontId="21" fillId="0" borderId="48" xfId="268" applyNumberFormat="1" applyFont="1" applyFill="1" applyBorder="1" applyAlignment="1" applyProtection="1">
      <alignment horizontal="right" vertical="center" indent="2"/>
      <protection hidden="1"/>
    </xf>
    <xf numFmtId="9" fontId="21" fillId="0" borderId="44" xfId="268" applyNumberFormat="1" applyFont="1" applyFill="1" applyBorder="1" applyAlignment="1" applyProtection="1">
      <alignment horizontal="right" vertical="center" indent="2"/>
      <protection hidden="1"/>
    </xf>
    <xf numFmtId="0" fontId="62" fillId="0" borderId="0" xfId="0" applyFont="1"/>
    <xf numFmtId="49" fontId="51" fillId="27" borderId="24" xfId="0" applyNumberFormat="1" applyFont="1" applyFill="1" applyBorder="1" applyAlignment="1">
      <alignment horizontal="center" vertical="center" wrapText="1"/>
    </xf>
    <xf numFmtId="49" fontId="51" fillId="27" borderId="0" xfId="0" applyNumberFormat="1" applyFont="1" applyFill="1" applyBorder="1" applyAlignment="1">
      <alignment horizontal="center" vertical="center" wrapText="1"/>
    </xf>
    <xf numFmtId="9" fontId="9" fillId="4" borderId="0" xfId="0" applyNumberFormat="1" applyFont="1" applyFill="1" applyBorder="1" applyAlignment="1">
      <alignment horizontal="right"/>
    </xf>
    <xf numFmtId="9" fontId="9" fillId="4" borderId="24" xfId="0" applyNumberFormat="1" applyFont="1" applyFill="1" applyBorder="1" applyAlignment="1">
      <alignment horizontal="right"/>
    </xf>
    <xf numFmtId="9" fontId="9" fillId="4" borderId="29" xfId="0" applyNumberFormat="1" applyFont="1" applyFill="1" applyBorder="1" applyAlignment="1">
      <alignment horizontal="right"/>
    </xf>
    <xf numFmtId="9" fontId="9" fillId="4" borderId="25" xfId="0" applyNumberFormat="1" applyFont="1" applyFill="1" applyBorder="1" applyAlignment="1">
      <alignment horizontal="right"/>
    </xf>
    <xf numFmtId="9" fontId="9" fillId="4" borderId="23" xfId="0" applyNumberFormat="1" applyFont="1" applyFill="1" applyBorder="1" applyAlignment="1">
      <alignment horizontal="right"/>
    </xf>
    <xf numFmtId="9" fontId="9" fillId="4" borderId="26" xfId="0" applyNumberFormat="1" applyFont="1" applyFill="1" applyBorder="1" applyAlignment="1">
      <alignment horizontal="right"/>
    </xf>
    <xf numFmtId="0" fontId="9" fillId="0" borderId="0" xfId="0" applyFont="1"/>
    <xf numFmtId="0" fontId="53" fillId="0" borderId="34" xfId="0" applyFont="1" applyFill="1" applyBorder="1" applyAlignment="1" applyProtection="1">
      <alignment horizontal="center" vertical="center"/>
      <protection hidden="1"/>
    </xf>
    <xf numFmtId="3" fontId="16" fillId="4" borderId="40" xfId="0" applyNumberFormat="1" applyFont="1" applyFill="1" applyBorder="1" applyAlignment="1">
      <alignment horizontal="right" indent="1"/>
    </xf>
    <xf numFmtId="3" fontId="16" fillId="4" borderId="41" xfId="0" applyNumberFormat="1" applyFont="1" applyFill="1" applyBorder="1" applyAlignment="1">
      <alignment horizontal="right" indent="1"/>
    </xf>
    <xf numFmtId="9" fontId="9" fillId="4" borderId="24" xfId="268" applyNumberFormat="1" applyFont="1" applyFill="1" applyBorder="1" applyAlignment="1">
      <alignment horizontal="right" indent="1"/>
    </xf>
    <xf numFmtId="9" fontId="9" fillId="4" borderId="0" xfId="268" applyNumberFormat="1" applyFont="1" applyFill="1" applyBorder="1" applyAlignment="1">
      <alignment horizontal="right" indent="1"/>
    </xf>
    <xf numFmtId="9" fontId="9" fillId="4" borderId="29" xfId="268" applyNumberFormat="1" applyFont="1" applyFill="1" applyBorder="1" applyAlignment="1">
      <alignment horizontal="right" indent="1"/>
    </xf>
    <xf numFmtId="9" fontId="9" fillId="4" borderId="25" xfId="268" applyNumberFormat="1" applyFont="1" applyFill="1" applyBorder="1" applyAlignment="1">
      <alignment horizontal="right" indent="1"/>
    </xf>
    <xf numFmtId="9" fontId="9" fillId="4" borderId="23" xfId="268" applyNumberFormat="1" applyFont="1" applyFill="1" applyBorder="1" applyAlignment="1">
      <alignment horizontal="right" indent="1"/>
    </xf>
    <xf numFmtId="9" fontId="9" fillId="4" borderId="26" xfId="268" applyNumberFormat="1" applyFont="1" applyFill="1" applyBorder="1" applyAlignment="1">
      <alignment horizontal="right" indent="1"/>
    </xf>
    <xf numFmtId="0" fontId="63" fillId="4" borderId="0" xfId="0" applyFont="1" applyFill="1" applyBorder="1" applyAlignment="1">
      <alignment horizontal="center" vertical="center"/>
    </xf>
    <xf numFmtId="0" fontId="63" fillId="4" borderId="0" xfId="0" applyFont="1" applyFill="1"/>
    <xf numFmtId="0" fontId="63" fillId="0" borderId="0" xfId="0" applyFont="1"/>
    <xf numFmtId="0" fontId="64" fillId="0" borderId="0" xfId="0" applyFont="1"/>
    <xf numFmtId="9" fontId="21" fillId="0" borderId="51" xfId="268" applyFont="1" applyFill="1" applyBorder="1" applyAlignment="1" applyProtection="1">
      <alignment horizontal="right" vertical="center" indent="2"/>
      <protection hidden="1"/>
    </xf>
    <xf numFmtId="9" fontId="21" fillId="0" borderId="43" xfId="268" applyFont="1" applyFill="1" applyBorder="1" applyAlignment="1" applyProtection="1">
      <alignment horizontal="right" vertical="center" indent="2"/>
      <protection hidden="1"/>
    </xf>
    <xf numFmtId="9" fontId="21" fillId="0" borderId="53" xfId="268" applyFont="1" applyFill="1" applyBorder="1" applyAlignment="1" applyProtection="1">
      <alignment horizontal="right" vertical="center" indent="2"/>
      <protection hidden="1"/>
    </xf>
    <xf numFmtId="9" fontId="21" fillId="0" borderId="44" xfId="268" applyFont="1" applyFill="1" applyBorder="1" applyAlignment="1" applyProtection="1">
      <alignment horizontal="right" vertical="center" indent="2"/>
      <protection hidden="1"/>
    </xf>
    <xf numFmtId="49" fontId="51" fillId="31" borderId="27" xfId="0" applyNumberFormat="1" applyFont="1" applyFill="1" applyBorder="1" applyAlignment="1">
      <alignment horizontal="center" vertical="center" wrapText="1"/>
    </xf>
    <xf numFmtId="49" fontId="51" fillId="31" borderId="28" xfId="0" applyNumberFormat="1" applyFont="1" applyFill="1" applyBorder="1" applyAlignment="1">
      <alignment horizontal="center" vertical="center" wrapText="1"/>
    </xf>
    <xf numFmtId="49" fontId="51" fillId="31" borderId="22" xfId="0" applyNumberFormat="1" applyFont="1" applyFill="1" applyBorder="1" applyAlignment="1">
      <alignment horizontal="center" vertical="center" wrapText="1"/>
    </xf>
    <xf numFmtId="0" fontId="21" fillId="4" borderId="52" xfId="0" applyFont="1" applyFill="1" applyBorder="1" applyAlignment="1" applyProtection="1">
      <alignment horizontal="right" vertical="center" indent="2"/>
      <protection hidden="1"/>
    </xf>
    <xf numFmtId="0" fontId="21" fillId="4" borderId="37" xfId="0" applyFont="1" applyFill="1" applyBorder="1" applyAlignment="1" applyProtection="1">
      <alignment horizontal="right" vertical="center" indent="2"/>
      <protection hidden="1"/>
    </xf>
    <xf numFmtId="0" fontId="51" fillId="4" borderId="55" xfId="0" applyFont="1" applyFill="1" applyBorder="1" applyAlignment="1" applyProtection="1">
      <alignment horizontal="right" vertical="center" indent="2"/>
      <protection hidden="1"/>
    </xf>
    <xf numFmtId="49" fontId="51" fillId="27" borderId="26" xfId="0" applyNumberFormat="1" applyFont="1" applyFill="1" applyBorder="1" applyAlignment="1">
      <alignment horizontal="center" vertical="center" wrapText="1"/>
    </xf>
    <xf numFmtId="49" fontId="51" fillId="27" borderId="23" xfId="0" applyNumberFormat="1" applyFont="1" applyFill="1" applyBorder="1" applyAlignment="1">
      <alignment horizontal="center" vertical="center" wrapText="1"/>
    </xf>
    <xf numFmtId="0" fontId="7" fillId="4" borderId="0" xfId="0" applyFont="1" applyFill="1"/>
    <xf numFmtId="0" fontId="7" fillId="4" borderId="0" xfId="0" applyFont="1" applyFill="1" applyAlignment="1"/>
    <xf numFmtId="9" fontId="21" fillId="4" borderId="26" xfId="268" applyFont="1" applyFill="1" applyBorder="1" applyAlignment="1">
      <alignment horizontal="right"/>
    </xf>
    <xf numFmtId="49" fontId="51" fillId="27" borderId="25" xfId="0" applyNumberFormat="1" applyFont="1" applyFill="1" applyBorder="1" applyAlignment="1">
      <alignment horizontal="center" vertical="center" wrapText="1"/>
    </xf>
    <xf numFmtId="0" fontId="66" fillId="4" borderId="0" xfId="0" applyFont="1" applyFill="1"/>
    <xf numFmtId="0" fontId="65" fillId="0" borderId="6" xfId="2" applyFont="1" applyBorder="1" applyAlignment="1" applyProtection="1">
      <alignment vertical="center" wrapText="1"/>
      <protection locked="0" hidden="1"/>
    </xf>
    <xf numFmtId="164" fontId="65" fillId="4" borderId="6" xfId="2" quotePrefix="1" applyNumberFormat="1" applyFont="1" applyFill="1" applyBorder="1" applyAlignment="1" applyProtection="1">
      <alignment horizontal="left" vertical="center" wrapText="1"/>
      <protection hidden="1"/>
    </xf>
    <xf numFmtId="0" fontId="65" fillId="0" borderId="7" xfId="2" applyFont="1" applyBorder="1" applyAlignment="1" applyProtection="1">
      <alignment vertical="center" wrapText="1"/>
      <protection locked="0" hidden="1"/>
    </xf>
    <xf numFmtId="0" fontId="65" fillId="0" borderId="8" xfId="2" applyFont="1" applyBorder="1" applyAlignment="1" applyProtection="1">
      <alignment vertical="center" wrapText="1"/>
      <protection locked="0" hidden="1"/>
    </xf>
    <xf numFmtId="0" fontId="65" fillId="0" borderId="9" xfId="2" applyFont="1" applyBorder="1" applyAlignment="1" applyProtection="1">
      <alignment vertical="center" wrapText="1"/>
      <protection hidden="1"/>
    </xf>
    <xf numFmtId="0" fontId="68" fillId="4" borderId="0" xfId="0" applyFont="1" applyFill="1"/>
    <xf numFmtId="0" fontId="65" fillId="0" borderId="10" xfId="2" applyFont="1" applyBorder="1" applyAlignment="1" applyProtection="1">
      <alignment vertical="center" wrapText="1"/>
      <protection locked="0" hidden="1"/>
    </xf>
    <xf numFmtId="0" fontId="69" fillId="0" borderId="6" xfId="2" applyFont="1" applyBorder="1" applyAlignment="1" applyProtection="1">
      <alignment vertical="center" wrapText="1"/>
      <protection locked="0" hidden="1"/>
    </xf>
    <xf numFmtId="0" fontId="65" fillId="4" borderId="6" xfId="2" applyFont="1" applyFill="1" applyBorder="1" applyAlignment="1" applyProtection="1">
      <alignment horizontal="left" vertical="center" wrapText="1"/>
      <protection locked="0" hidden="1"/>
    </xf>
    <xf numFmtId="0" fontId="65" fillId="0" borderId="6" xfId="2" applyFont="1" applyBorder="1" applyAlignment="1" applyProtection="1">
      <alignment horizontal="left" vertical="center" wrapText="1"/>
      <protection locked="0" hidden="1"/>
    </xf>
    <xf numFmtId="0" fontId="70" fillId="0" borderId="6" xfId="22" applyFont="1" applyBorder="1" applyAlignment="1" applyProtection="1">
      <alignment horizontal="left" vertical="center" wrapText="1"/>
      <protection locked="0" hidden="1"/>
    </xf>
    <xf numFmtId="0" fontId="65" fillId="4" borderId="2" xfId="2" applyFont="1" applyFill="1" applyBorder="1" applyProtection="1">
      <protection locked="0" hidden="1"/>
    </xf>
    <xf numFmtId="0" fontId="65" fillId="4" borderId="3" xfId="2" applyFont="1" applyFill="1" applyBorder="1" applyProtection="1">
      <protection locked="0" hidden="1"/>
    </xf>
    <xf numFmtId="3" fontId="65" fillId="4" borderId="2" xfId="2" applyNumberFormat="1" applyFont="1" applyFill="1" applyBorder="1" applyProtection="1">
      <protection locked="0" hidden="1"/>
    </xf>
    <xf numFmtId="3" fontId="65" fillId="4" borderId="3" xfId="2" applyNumberFormat="1" applyFont="1" applyFill="1" applyBorder="1" applyProtection="1">
      <protection locked="0" hidden="1"/>
    </xf>
    <xf numFmtId="3" fontId="69" fillId="4" borderId="3" xfId="2" applyNumberFormat="1" applyFont="1" applyFill="1" applyBorder="1" applyProtection="1">
      <protection locked="0" hidden="1"/>
    </xf>
    <xf numFmtId="3" fontId="65" fillId="4" borderId="3" xfId="2" applyNumberFormat="1" applyFont="1" applyFill="1" applyBorder="1" applyAlignment="1" applyProtection="1">
      <alignment wrapText="1"/>
      <protection locked="0" hidden="1"/>
    </xf>
    <xf numFmtId="3" fontId="65" fillId="4" borderId="2" xfId="2" applyNumberFormat="1" applyFont="1" applyFill="1" applyBorder="1" applyAlignment="1" applyProtection="1">
      <alignment wrapText="1"/>
      <protection locked="0" hidden="1"/>
    </xf>
    <xf numFmtId="3" fontId="70" fillId="4" borderId="2" xfId="22" applyNumberFormat="1" applyFont="1" applyFill="1" applyBorder="1" applyAlignment="1" applyProtection="1">
      <protection locked="0" hidden="1"/>
    </xf>
    <xf numFmtId="3" fontId="71" fillId="4" borderId="3" xfId="5" applyNumberFormat="1" applyFont="1" applyFill="1" applyBorder="1" applyAlignment="1" applyProtection="1">
      <protection locked="0" hidden="1"/>
    </xf>
    <xf numFmtId="3" fontId="65" fillId="4" borderId="4" xfId="2" applyNumberFormat="1" applyFont="1" applyFill="1" applyBorder="1" applyProtection="1">
      <protection locked="0" hidden="1"/>
    </xf>
    <xf numFmtId="3" fontId="65" fillId="4" borderId="5" xfId="2" applyNumberFormat="1" applyFont="1" applyFill="1" applyBorder="1" applyProtection="1">
      <protection locked="0" hidden="1"/>
    </xf>
    <xf numFmtId="0" fontId="72" fillId="4" borderId="0" xfId="0" applyFont="1" applyFill="1"/>
    <xf numFmtId="0" fontId="50" fillId="4" borderId="39" xfId="0" applyFont="1" applyFill="1" applyBorder="1" applyAlignment="1">
      <alignment horizontal="right"/>
    </xf>
    <xf numFmtId="0" fontId="50" fillId="4" borderId="35" xfId="0" applyFont="1" applyFill="1" applyBorder="1" applyAlignment="1">
      <alignment horizontal="right"/>
    </xf>
    <xf numFmtId="0" fontId="8" fillId="4" borderId="40" xfId="0" applyFont="1" applyFill="1" applyBorder="1" applyAlignment="1">
      <alignment horizontal="right"/>
    </xf>
    <xf numFmtId="0" fontId="8" fillId="4" borderId="41" xfId="0" applyFont="1" applyFill="1" applyBorder="1" applyAlignment="1">
      <alignment horizontal="right"/>
    </xf>
    <xf numFmtId="0" fontId="14" fillId="0" borderId="25" xfId="0" applyFont="1" applyBorder="1"/>
    <xf numFmtId="0" fontId="14" fillId="0" borderId="29" xfId="0" applyFont="1" applyBorder="1"/>
    <xf numFmtId="0" fontId="14" fillId="0" borderId="23" xfId="0" applyFont="1" applyBorder="1"/>
    <xf numFmtId="0" fontId="14" fillId="0" borderId="26" xfId="0" applyFont="1" applyBorder="1"/>
    <xf numFmtId="0" fontId="21" fillId="4" borderId="55" xfId="0" applyFont="1" applyFill="1" applyBorder="1" applyAlignment="1" applyProtection="1">
      <alignment horizontal="right" vertical="center" indent="2"/>
      <protection hidden="1"/>
    </xf>
    <xf numFmtId="0" fontId="51" fillId="0" borderId="43" xfId="0" applyFont="1" applyFill="1" applyBorder="1" applyAlignment="1" applyProtection="1">
      <alignment horizontal="right" vertical="center" indent="2"/>
      <protection hidden="1"/>
    </xf>
    <xf numFmtId="0" fontId="21" fillId="4" borderId="43" xfId="0" applyFont="1" applyFill="1" applyBorder="1" applyAlignment="1" applyProtection="1">
      <alignment horizontal="right" vertical="center" indent="2"/>
      <protection hidden="1"/>
    </xf>
    <xf numFmtId="0" fontId="51" fillId="4" borderId="43" xfId="0" applyFont="1" applyFill="1" applyBorder="1" applyAlignment="1" applyProtection="1">
      <alignment horizontal="right" vertical="center" indent="2"/>
      <protection hidden="1"/>
    </xf>
    <xf numFmtId="0" fontId="21" fillId="4" borderId="71" xfId="0" applyFont="1" applyFill="1" applyBorder="1" applyAlignment="1" applyProtection="1">
      <alignment horizontal="right" vertical="center" indent="2"/>
      <protection hidden="1"/>
    </xf>
    <xf numFmtId="0" fontId="21" fillId="4" borderId="44" xfId="0" applyFont="1" applyFill="1" applyBorder="1" applyAlignment="1" applyProtection="1">
      <alignment horizontal="right" vertical="center" indent="2"/>
      <protection hidden="1"/>
    </xf>
    <xf numFmtId="3" fontId="50" fillId="4" borderId="39" xfId="0" applyNumberFormat="1" applyFont="1" applyFill="1" applyBorder="1" applyAlignment="1">
      <alignment horizontal="right" indent="1"/>
    </xf>
    <xf numFmtId="0" fontId="50" fillId="4" borderId="42" xfId="0" applyFont="1" applyFill="1" applyBorder="1" applyAlignment="1">
      <alignment horizontal="right" indent="1"/>
    </xf>
    <xf numFmtId="0" fontId="50" fillId="4" borderId="21" xfId="0" applyFont="1" applyFill="1" applyBorder="1" applyAlignment="1">
      <alignment horizontal="right" indent="1"/>
    </xf>
    <xf numFmtId="0" fontId="16" fillId="4" borderId="24" xfId="0" applyFont="1" applyFill="1" applyBorder="1" applyAlignment="1">
      <alignment horizontal="right" indent="1"/>
    </xf>
    <xf numFmtId="0" fontId="16" fillId="4" borderId="25" xfId="0" applyFont="1" applyFill="1" applyBorder="1" applyAlignment="1">
      <alignment horizontal="right" indent="1"/>
    </xf>
    <xf numFmtId="0" fontId="51" fillId="4" borderId="35" xfId="0" applyFont="1" applyFill="1" applyBorder="1" applyAlignment="1">
      <alignment horizontal="right"/>
    </xf>
    <xf numFmtId="9" fontId="51" fillId="4" borderId="21" xfId="268" applyFont="1" applyFill="1" applyBorder="1" applyAlignment="1">
      <alignment horizontal="right"/>
    </xf>
    <xf numFmtId="0" fontId="21" fillId="0" borderId="46" xfId="0" applyFont="1" applyFill="1" applyBorder="1" applyAlignment="1" applyProtection="1">
      <alignment horizontal="right" vertical="center" indent="3"/>
      <protection hidden="1"/>
    </xf>
    <xf numFmtId="0" fontId="21" fillId="0" borderId="43" xfId="0" applyFont="1" applyFill="1" applyBorder="1" applyAlignment="1" applyProtection="1">
      <alignment horizontal="right" vertical="center" indent="2"/>
      <protection hidden="1"/>
    </xf>
    <xf numFmtId="0" fontId="21" fillId="0" borderId="48" xfId="0" applyFont="1" applyFill="1" applyBorder="1" applyAlignment="1" applyProtection="1">
      <alignment horizontal="right" vertical="center" indent="3"/>
      <protection hidden="1"/>
    </xf>
    <xf numFmtId="0" fontId="21" fillId="0" borderId="44" xfId="0" applyFont="1" applyFill="1" applyBorder="1" applyAlignment="1" applyProtection="1">
      <alignment horizontal="right" vertical="center" indent="2"/>
      <protection hidden="1"/>
    </xf>
    <xf numFmtId="9" fontId="21" fillId="4" borderId="23" xfId="268" applyFont="1" applyFill="1" applyBorder="1" applyAlignment="1">
      <alignment horizontal="right"/>
    </xf>
    <xf numFmtId="0" fontId="51" fillId="4" borderId="42" xfId="0" applyFont="1" applyFill="1" applyBorder="1" applyAlignment="1">
      <alignment horizontal="right"/>
    </xf>
    <xf numFmtId="0" fontId="21" fillId="4" borderId="24" xfId="0" applyFont="1" applyFill="1" applyBorder="1" applyAlignment="1">
      <alignment horizontal="right"/>
    </xf>
    <xf numFmtId="0" fontId="21" fillId="4" borderId="25" xfId="0" applyFont="1" applyFill="1" applyBorder="1" applyAlignment="1">
      <alignment horizontal="right"/>
    </xf>
    <xf numFmtId="0" fontId="21" fillId="0" borderId="0" xfId="0" applyFont="1" applyFill="1" applyBorder="1" applyAlignment="1" applyProtection="1">
      <alignment horizontal="right"/>
      <protection hidden="1"/>
    </xf>
    <xf numFmtId="0" fontId="29" fillId="0" borderId="9" xfId="2" applyFont="1" applyBorder="1" applyAlignment="1" applyProtection="1">
      <alignment vertical="center" wrapText="1"/>
      <protection hidden="1"/>
    </xf>
    <xf numFmtId="0" fontId="6" fillId="4" borderId="0" xfId="0" applyFont="1" applyFill="1"/>
    <xf numFmtId="0" fontId="6" fillId="0" borderId="0" xfId="0" applyFont="1"/>
    <xf numFmtId="0" fontId="6" fillId="4" borderId="61" xfId="0" applyFont="1" applyFill="1" applyBorder="1"/>
    <xf numFmtId="0" fontId="6" fillId="4" borderId="63" xfId="0" applyFont="1" applyFill="1" applyBorder="1"/>
    <xf numFmtId="0" fontId="6" fillId="4" borderId="28" xfId="0" applyFont="1" applyFill="1" applyBorder="1"/>
    <xf numFmtId="0" fontId="6" fillId="4" borderId="36" xfId="0" applyFont="1" applyFill="1" applyBorder="1" applyAlignment="1">
      <alignment wrapText="1"/>
    </xf>
    <xf numFmtId="0" fontId="6" fillId="4" borderId="64" xfId="0" applyFont="1" applyFill="1" applyBorder="1"/>
    <xf numFmtId="0" fontId="6" fillId="4" borderId="64" xfId="0" applyFont="1" applyFill="1" applyBorder="1" applyAlignment="1">
      <alignment wrapText="1"/>
    </xf>
    <xf numFmtId="0" fontId="6" fillId="0" borderId="64" xfId="0" applyFont="1" applyFill="1" applyBorder="1" applyAlignment="1">
      <alignment wrapText="1"/>
    </xf>
    <xf numFmtId="0" fontId="6" fillId="4" borderId="65" xfId="0" applyFont="1" applyFill="1" applyBorder="1"/>
    <xf numFmtId="0" fontId="6" fillId="4" borderId="66" xfId="0" applyFont="1" applyFill="1" applyBorder="1" applyAlignment="1">
      <alignment wrapText="1"/>
    </xf>
    <xf numFmtId="0" fontId="6" fillId="4" borderId="67" xfId="0" applyFont="1" applyFill="1" applyBorder="1" applyAlignment="1">
      <alignment wrapText="1"/>
    </xf>
    <xf numFmtId="0" fontId="6" fillId="4" borderId="0" xfId="0" applyFont="1" applyFill="1" applyAlignment="1">
      <alignment wrapText="1"/>
    </xf>
    <xf numFmtId="0" fontId="6" fillId="0" borderId="0" xfId="0" applyFont="1" applyAlignment="1">
      <alignment wrapText="1"/>
    </xf>
    <xf numFmtId="0" fontId="5" fillId="4" borderId="64" xfId="0" applyFont="1" applyFill="1" applyBorder="1" applyAlignment="1">
      <alignment wrapText="1"/>
    </xf>
    <xf numFmtId="0" fontId="73" fillId="4" borderId="0" xfId="0" applyFont="1" applyFill="1"/>
    <xf numFmtId="0" fontId="22" fillId="0" borderId="31" xfId="0" applyFont="1" applyFill="1" applyBorder="1" applyAlignment="1" applyProtection="1">
      <alignment vertical="center"/>
      <protection hidden="1"/>
    </xf>
    <xf numFmtId="0" fontId="22" fillId="0" borderId="30" xfId="0" applyFont="1" applyFill="1" applyBorder="1" applyAlignment="1" applyProtection="1">
      <alignment vertical="center"/>
      <protection hidden="1"/>
    </xf>
    <xf numFmtId="0" fontId="4" fillId="4" borderId="36" xfId="0" applyFont="1" applyFill="1" applyBorder="1" applyAlignment="1">
      <alignment wrapText="1"/>
    </xf>
    <xf numFmtId="0" fontId="4" fillId="4" borderId="28" xfId="0" applyFont="1" applyFill="1" applyBorder="1"/>
    <xf numFmtId="0" fontId="21" fillId="0" borderId="51" xfId="0" applyFont="1" applyFill="1" applyBorder="1" applyAlignment="1" applyProtection="1">
      <alignment horizontal="right" vertical="center" indent="2"/>
      <protection hidden="1"/>
    </xf>
    <xf numFmtId="0" fontId="21" fillId="0" borderId="53" xfId="0" applyFont="1" applyFill="1" applyBorder="1" applyAlignment="1" applyProtection="1">
      <alignment horizontal="right" vertical="center" indent="2"/>
      <protection hidden="1"/>
    </xf>
    <xf numFmtId="0" fontId="65" fillId="0" borderId="6" xfId="2" applyFont="1" applyFill="1" applyBorder="1" applyAlignment="1" applyProtection="1">
      <alignment horizontal="left" vertical="center" wrapText="1"/>
      <protection locked="0" hidden="1"/>
    </xf>
    <xf numFmtId="0" fontId="29" fillId="4" borderId="6" xfId="2" applyFont="1" applyFill="1" applyBorder="1" applyAlignment="1" applyProtection="1">
      <alignment horizontal="left" vertical="center" wrapText="1"/>
      <protection locked="0" hidden="1"/>
    </xf>
    <xf numFmtId="0" fontId="2" fillId="4" borderId="62" xfId="0" applyFont="1" applyFill="1" applyBorder="1" applyAlignment="1">
      <alignment wrapText="1"/>
    </xf>
    <xf numFmtId="0" fontId="2" fillId="4" borderId="36" xfId="0" applyFont="1" applyFill="1" applyBorder="1" applyAlignment="1">
      <alignment wrapText="1"/>
    </xf>
    <xf numFmtId="0" fontId="1" fillId="0" borderId="64" xfId="0" applyFont="1" applyFill="1" applyBorder="1" applyAlignment="1">
      <alignment wrapText="1"/>
    </xf>
    <xf numFmtId="0" fontId="67" fillId="3" borderId="6" xfId="2" applyFont="1" applyFill="1" applyBorder="1" applyAlignment="1" applyProtection="1">
      <alignment horizontal="left" vertical="center" wrapText="1"/>
      <protection locked="0" hidden="1"/>
    </xf>
    <xf numFmtId="0" fontId="65" fillId="0" borderId="20" xfId="2" applyFont="1" applyBorder="1" applyAlignment="1" applyProtection="1">
      <alignment horizontal="center" vertical="center" wrapText="1"/>
      <protection locked="0" hidden="1"/>
    </xf>
    <xf numFmtId="0" fontId="65" fillId="0" borderId="9" xfId="2" applyFont="1" applyBorder="1" applyAlignment="1" applyProtection="1">
      <alignment horizontal="center" vertical="center" wrapText="1"/>
      <protection locked="0" hidden="1"/>
    </xf>
    <xf numFmtId="0" fontId="29" fillId="29" borderId="0" xfId="338" applyFont="1" applyFill="1" applyBorder="1" applyAlignment="1" applyProtection="1">
      <alignment horizontal="left" vertical="center" wrapText="1"/>
      <protection hidden="1"/>
    </xf>
    <xf numFmtId="0" fontId="22" fillId="0" borderId="0" xfId="6" applyFont="1" applyAlignment="1" applyProtection="1">
      <alignment horizontal="left" vertical="top" wrapText="1"/>
      <protection locked="0" hidden="1"/>
    </xf>
    <xf numFmtId="0" fontId="29" fillId="4" borderId="0" xfId="5" applyFont="1" applyFill="1" applyBorder="1" applyAlignment="1" applyProtection="1">
      <alignment horizontal="left" vertical="top" wrapText="1"/>
      <protection locked="0" hidden="1"/>
    </xf>
    <xf numFmtId="0" fontId="29" fillId="4" borderId="0" xfId="338" applyFont="1" applyFill="1" applyBorder="1" applyAlignment="1" applyProtection="1">
      <alignment horizontal="left" vertical="center" wrapText="1"/>
      <protection hidden="1"/>
    </xf>
    <xf numFmtId="0" fontId="58" fillId="4" borderId="0" xfId="5" applyFont="1" applyFill="1" applyBorder="1" applyAlignment="1" applyProtection="1">
      <alignment horizontal="left" vertical="top" wrapText="1"/>
      <protection hidden="1"/>
    </xf>
    <xf numFmtId="0" fontId="4" fillId="4" borderId="58" xfId="0" applyFont="1" applyFill="1" applyBorder="1" applyAlignment="1">
      <alignment horizontal="center" vertical="center" wrapText="1"/>
    </xf>
    <xf numFmtId="0" fontId="6" fillId="4" borderId="59" xfId="0" applyFont="1" applyFill="1" applyBorder="1" applyAlignment="1">
      <alignment horizontal="center" vertical="center" wrapText="1"/>
    </xf>
    <xf numFmtId="0" fontId="6" fillId="4" borderId="60" xfId="0" applyFont="1" applyFill="1" applyBorder="1" applyAlignment="1">
      <alignment horizontal="center" vertical="center" wrapText="1"/>
    </xf>
    <xf numFmtId="49" fontId="51" fillId="27" borderId="27" xfId="0" applyNumberFormat="1" applyFont="1" applyFill="1" applyBorder="1" applyAlignment="1">
      <alignment horizontal="center" vertical="center" wrapText="1"/>
    </xf>
    <xf numFmtId="49" fontId="51" fillId="27" borderId="22" xfId="0" applyNumberFormat="1" applyFont="1" applyFill="1" applyBorder="1" applyAlignment="1">
      <alignment horizontal="center" vertical="center" wrapText="1"/>
    </xf>
    <xf numFmtId="49" fontId="51" fillId="27" borderId="28" xfId="0" applyNumberFormat="1" applyFont="1" applyFill="1" applyBorder="1" applyAlignment="1">
      <alignment horizontal="center" vertical="center" wrapText="1"/>
    </xf>
    <xf numFmtId="49" fontId="51" fillId="27" borderId="39" xfId="0" applyNumberFormat="1" applyFont="1" applyFill="1" applyBorder="1" applyAlignment="1">
      <alignment horizontal="left" vertical="center" wrapText="1"/>
    </xf>
    <xf numFmtId="49" fontId="51" fillId="27" borderId="40" xfId="0" applyNumberFormat="1" applyFont="1" applyFill="1" applyBorder="1" applyAlignment="1">
      <alignment horizontal="left" vertical="center" wrapText="1"/>
    </xf>
    <xf numFmtId="49" fontId="51" fillId="27" borderId="41" xfId="0" applyNumberFormat="1" applyFont="1" applyFill="1" applyBorder="1" applyAlignment="1">
      <alignment horizontal="left" vertical="center" wrapText="1"/>
    </xf>
    <xf numFmtId="49" fontId="51" fillId="27" borderId="35" xfId="0" applyNumberFormat="1" applyFont="1" applyFill="1" applyBorder="1" applyAlignment="1">
      <alignment horizontal="center" vertical="center" wrapText="1"/>
    </xf>
    <xf numFmtId="49" fontId="51" fillId="27" borderId="29" xfId="0" applyNumberFormat="1" applyFont="1" applyFill="1" applyBorder="1" applyAlignment="1">
      <alignment horizontal="center" vertical="center" wrapText="1"/>
    </xf>
    <xf numFmtId="49" fontId="51" fillId="27" borderId="26" xfId="0" applyNumberFormat="1" applyFont="1" applyFill="1" applyBorder="1" applyAlignment="1">
      <alignment horizontal="center" vertical="center" wrapText="1"/>
    </xf>
    <xf numFmtId="49" fontId="51" fillId="27" borderId="23" xfId="0" applyNumberFormat="1" applyFont="1" applyFill="1" applyBorder="1" applyAlignment="1">
      <alignment horizontal="center" vertical="center" wrapText="1"/>
    </xf>
    <xf numFmtId="0" fontId="21" fillId="0" borderId="32" xfId="0" applyFont="1" applyFill="1" applyBorder="1" applyAlignment="1" applyProtection="1">
      <alignment horizontal="left" wrapText="1"/>
      <protection locked="0" hidden="1"/>
    </xf>
    <xf numFmtId="0" fontId="21" fillId="0" borderId="38" xfId="0" applyFont="1" applyFill="1" applyBorder="1" applyAlignment="1" applyProtection="1">
      <alignment horizontal="left" wrapText="1"/>
      <protection locked="0" hidden="1"/>
    </xf>
    <xf numFmtId="0" fontId="21" fillId="0" borderId="34" xfId="0" applyFont="1" applyFill="1" applyBorder="1" applyAlignment="1" applyProtection="1">
      <alignment horizontal="left" wrapText="1"/>
      <protection locked="0" hidden="1"/>
    </xf>
    <xf numFmtId="0" fontId="14" fillId="4" borderId="0" xfId="0" applyFont="1" applyFill="1" applyAlignment="1">
      <alignment horizontal="left" vertical="top" wrapText="1"/>
    </xf>
    <xf numFmtId="49" fontId="51" fillId="27" borderId="21" xfId="0" applyNumberFormat="1" applyFont="1" applyFill="1" applyBorder="1" applyAlignment="1">
      <alignment horizontal="center" vertical="center" wrapText="1"/>
    </xf>
    <xf numFmtId="0" fontId="3" fillId="4" borderId="0" xfId="0" applyFont="1" applyFill="1" applyAlignment="1">
      <alignment horizontal="left" wrapText="1"/>
    </xf>
    <xf numFmtId="0" fontId="14" fillId="4" borderId="0" xfId="0" applyFont="1" applyFill="1" applyAlignment="1">
      <alignment horizontal="left" wrapText="1"/>
    </xf>
    <xf numFmtId="0" fontId="6" fillId="4" borderId="0" xfId="0" applyFont="1" applyFill="1" applyAlignment="1">
      <alignment horizontal="left" wrapText="1"/>
    </xf>
    <xf numFmtId="0" fontId="73" fillId="0" borderId="0" xfId="0" applyFont="1" applyFill="1" applyAlignment="1">
      <alignment horizontal="left" vertical="top" wrapText="1"/>
    </xf>
    <xf numFmtId="49" fontId="51" fillId="27" borderId="39" xfId="0" applyNumberFormat="1" applyFont="1" applyFill="1" applyBorder="1" applyAlignment="1">
      <alignment horizontal="center" vertical="center" wrapText="1"/>
    </xf>
    <xf numFmtId="49" fontId="51" fillId="27" borderId="40" xfId="0" applyNumberFormat="1" applyFont="1" applyFill="1" applyBorder="1" applyAlignment="1">
      <alignment horizontal="center" vertical="center" wrapText="1"/>
    </xf>
    <xf numFmtId="49" fontId="51" fillId="27" borderId="41" xfId="0" applyNumberFormat="1" applyFont="1" applyFill="1" applyBorder="1" applyAlignment="1">
      <alignment horizontal="center" vertical="center" wrapText="1"/>
    </xf>
    <xf numFmtId="0" fontId="6" fillId="4" borderId="0" xfId="0" applyFont="1" applyFill="1" applyAlignment="1">
      <alignment horizontal="left" vertical="top" wrapText="1"/>
    </xf>
    <xf numFmtId="0" fontId="7" fillId="4" borderId="0" xfId="0" applyFont="1" applyFill="1" applyAlignment="1">
      <alignment horizontal="left" vertical="top" wrapText="1"/>
    </xf>
    <xf numFmtId="49" fontId="51" fillId="31" borderId="27" xfId="0" applyNumberFormat="1" applyFont="1" applyFill="1" applyBorder="1" applyAlignment="1">
      <alignment horizontal="center" vertical="center" wrapText="1"/>
    </xf>
    <xf numFmtId="49" fontId="51" fillId="31" borderId="22" xfId="0" applyNumberFormat="1" applyFont="1" applyFill="1" applyBorder="1" applyAlignment="1">
      <alignment horizontal="center" vertical="center" wrapText="1"/>
    </xf>
    <xf numFmtId="49" fontId="51" fillId="31" borderId="28" xfId="0" applyNumberFormat="1" applyFont="1" applyFill="1" applyBorder="1" applyAlignment="1">
      <alignment horizontal="center" vertical="center" wrapText="1"/>
    </xf>
  </cellXfs>
  <cellStyles count="353">
    <cellStyle name=" 1" xfId="25" xr:uid="{00000000-0005-0000-0000-000000000000}"/>
    <cellStyle name=" 2" xfId="26" xr:uid="{00000000-0005-0000-0000-000001000000}"/>
    <cellStyle name=" 3" xfId="27" xr:uid="{00000000-0005-0000-0000-000002000000}"/>
    <cellStyle name="]_x000d__x000a_Zoomed=1_x000d__x000a_Row=0_x000d__x000a_Column=0_x000d__x000a_Height=0_x000d__x000a_Width=0_x000d__x000a_FontName=FoxFont_x000d__x000a_FontStyle=0_x000d__x000a_FontSize=9_x000d__x000a_PrtFontName=FoxPrin" xfId="28" xr:uid="{00000000-0005-0000-0000-000003000000}"/>
    <cellStyle name="]_x000d__x000a_Zoomed=1_x000d__x000a_Row=0_x000d__x000a_Column=0_x000d__x000a_Height=0_x000d__x000a_Width=0_x000d__x000a_FontName=FoxFont_x000d__x000a_FontStyle=0_x000d__x000a_FontSize=9_x000d__x000a_PrtFontName=FoxPrin 2" xfId="29" xr:uid="{00000000-0005-0000-0000-000004000000}"/>
    <cellStyle name="]_x000d__x000a_Zoomed=1_x000d__x000a_Row=0_x000d__x000a_Column=0_x000d__x000a_Height=0_x000d__x000a_Width=0_x000d__x000a_FontName=FoxFont_x000d__x000a_FontStyle=0_x000d__x000a_FontSize=9_x000d__x000a_PrtFontName=FoxPrin 2 2" xfId="30" xr:uid="{00000000-0005-0000-0000-000005000000}"/>
    <cellStyle name="]_x000d__x000a_Zoomed=1_x000d__x000a_Row=0_x000d__x000a_Column=0_x000d__x000a_Height=0_x000d__x000a_Width=0_x000d__x000a_FontName=FoxFont_x000d__x000a_FontStyle=0_x000d__x000a_FontSize=9_x000d__x000a_PrtFontName=FoxPrin 3" xfId="31" xr:uid="{00000000-0005-0000-0000-000006000000}"/>
    <cellStyle name="]_x000d__x000a_Zoomed=1_x000d__x000a_Row=0_x000d__x000a_Column=0_x000d__x000a_Height=0_x000d__x000a_Width=0_x000d__x000a_FontName=FoxFont_x000d__x000a_FontStyle=0_x000d__x000a_FontSize=9_x000d__x000a_PrtFontName=FoxPrin 3 2" xfId="32" xr:uid="{00000000-0005-0000-0000-000007000000}"/>
    <cellStyle name="]_x000d__x000a_Zoomed=1_x000d__x000a_Row=0_x000d__x000a_Column=0_x000d__x000a_Height=0_x000d__x000a_Width=0_x000d__x000a_FontName=FoxFont_x000d__x000a_FontStyle=0_x000d__x000a_FontSize=9_x000d__x000a_PrtFontName=FoxPrin 3_All Schools2" xfId="33" xr:uid="{00000000-0005-0000-0000-000008000000}"/>
    <cellStyle name="]_x000d__x000a_Zoomed=1_x000d__x000a_Row=0_x000d__x000a_Column=0_x000d__x000a_Height=0_x000d__x000a_Width=0_x000d__x000a_FontName=FoxFont_x000d__x000a_FontStyle=0_x000d__x000a_FontSize=9_x000d__x000a_PrtFontName=FoxPrin_All Schools2" xfId="34" xr:uid="{00000000-0005-0000-0000-000009000000}"/>
    <cellStyle name="20% - Accent1 2" xfId="35" xr:uid="{00000000-0005-0000-0000-00000A000000}"/>
    <cellStyle name="20% - Accent1 2 2" xfId="36" xr:uid="{00000000-0005-0000-0000-00000B000000}"/>
    <cellStyle name="20% - Accent2 2" xfId="37" xr:uid="{00000000-0005-0000-0000-00000C000000}"/>
    <cellStyle name="20% - Accent2 2 2" xfId="38" xr:uid="{00000000-0005-0000-0000-00000D000000}"/>
    <cellStyle name="20% - Accent3 2" xfId="39" xr:uid="{00000000-0005-0000-0000-00000E000000}"/>
    <cellStyle name="20% - Accent3 2 2" xfId="40" xr:uid="{00000000-0005-0000-0000-00000F000000}"/>
    <cellStyle name="20% - Accent4 2" xfId="41" xr:uid="{00000000-0005-0000-0000-000010000000}"/>
    <cellStyle name="20% - Accent4 2 2" xfId="42" xr:uid="{00000000-0005-0000-0000-000011000000}"/>
    <cellStyle name="20% - Accent5 2" xfId="43" xr:uid="{00000000-0005-0000-0000-000012000000}"/>
    <cellStyle name="20% - Accent5 2 2" xfId="44" xr:uid="{00000000-0005-0000-0000-000013000000}"/>
    <cellStyle name="20% - Accent6 2" xfId="45" xr:uid="{00000000-0005-0000-0000-000014000000}"/>
    <cellStyle name="20% - Accent6 2 2" xfId="46" xr:uid="{00000000-0005-0000-0000-000015000000}"/>
    <cellStyle name="40% - Accent1 2" xfId="47" xr:uid="{00000000-0005-0000-0000-000016000000}"/>
    <cellStyle name="40% - Accent1 2 2" xfId="48" xr:uid="{00000000-0005-0000-0000-000017000000}"/>
    <cellStyle name="40% - Accent2 2" xfId="49" xr:uid="{00000000-0005-0000-0000-000018000000}"/>
    <cellStyle name="40% - Accent2 2 2" xfId="50" xr:uid="{00000000-0005-0000-0000-000019000000}"/>
    <cellStyle name="40% - Accent3 2" xfId="51" xr:uid="{00000000-0005-0000-0000-00001A000000}"/>
    <cellStyle name="40% - Accent3 2 2" xfId="52" xr:uid="{00000000-0005-0000-0000-00001B000000}"/>
    <cellStyle name="40% - Accent4 2" xfId="53" xr:uid="{00000000-0005-0000-0000-00001C000000}"/>
    <cellStyle name="40% - Accent4 2 2" xfId="54" xr:uid="{00000000-0005-0000-0000-00001D000000}"/>
    <cellStyle name="40% - Accent5 2" xfId="55" xr:uid="{00000000-0005-0000-0000-00001E000000}"/>
    <cellStyle name="40% - Accent5 2 2" xfId="56" xr:uid="{00000000-0005-0000-0000-00001F000000}"/>
    <cellStyle name="40% - Accent6 2" xfId="57" xr:uid="{00000000-0005-0000-0000-000020000000}"/>
    <cellStyle name="40% - Accent6 2 2" xfId="58" xr:uid="{00000000-0005-0000-0000-000021000000}"/>
    <cellStyle name="60% - Accent1 2" xfId="59" xr:uid="{00000000-0005-0000-0000-000022000000}"/>
    <cellStyle name="60% - Accent2 2" xfId="60" xr:uid="{00000000-0005-0000-0000-000023000000}"/>
    <cellStyle name="60% - Accent3 2" xfId="61" xr:uid="{00000000-0005-0000-0000-000024000000}"/>
    <cellStyle name="60% - Accent4 2" xfId="62" xr:uid="{00000000-0005-0000-0000-000025000000}"/>
    <cellStyle name="60% - Accent5 2" xfId="63" xr:uid="{00000000-0005-0000-0000-000026000000}"/>
    <cellStyle name="60% - Accent6 2" xfId="64" xr:uid="{00000000-0005-0000-0000-000027000000}"/>
    <cellStyle name="Accent1 2" xfId="65" xr:uid="{00000000-0005-0000-0000-000028000000}"/>
    <cellStyle name="Accent2 2" xfId="66" xr:uid="{00000000-0005-0000-0000-000029000000}"/>
    <cellStyle name="Accent3 2" xfId="67" xr:uid="{00000000-0005-0000-0000-00002A000000}"/>
    <cellStyle name="Accent4 2" xfId="68" xr:uid="{00000000-0005-0000-0000-00002B000000}"/>
    <cellStyle name="Accent5 2" xfId="69" xr:uid="{00000000-0005-0000-0000-00002C000000}"/>
    <cellStyle name="Accent6 2" xfId="70" xr:uid="{00000000-0005-0000-0000-00002D000000}"/>
    <cellStyle name="Bad 2" xfId="71" xr:uid="{00000000-0005-0000-0000-00002E000000}"/>
    <cellStyle name="Calculation 2" xfId="72" xr:uid="{00000000-0005-0000-0000-00002F000000}"/>
    <cellStyle name="Check Cell 2" xfId="73" xr:uid="{00000000-0005-0000-0000-000030000000}"/>
    <cellStyle name="Comma 2" xfId="3" xr:uid="{00000000-0005-0000-0000-000031000000}"/>
    <cellStyle name="Comma 2 2" xfId="180" xr:uid="{00000000-0005-0000-0000-000032000000}"/>
    <cellStyle name="Comma 2 2 2" xfId="237" xr:uid="{00000000-0005-0000-0000-000033000000}"/>
    <cellStyle name="Comma 2 2 3" xfId="259" xr:uid="{00000000-0005-0000-0000-000034000000}"/>
    <cellStyle name="Comma 2 2 4" xfId="274" xr:uid="{00000000-0005-0000-0000-000035000000}"/>
    <cellStyle name="Comma 2 3" xfId="75" xr:uid="{00000000-0005-0000-0000-000036000000}"/>
    <cellStyle name="Comma 2 3 2" xfId="230" xr:uid="{00000000-0005-0000-0000-000037000000}"/>
    <cellStyle name="Comma 2 3 2 2" xfId="318" xr:uid="{00000000-0005-0000-0000-000038000000}"/>
    <cellStyle name="Comma 2 3 3" xfId="252" xr:uid="{00000000-0005-0000-0000-000039000000}"/>
    <cellStyle name="Comma 2 3 4" xfId="275" xr:uid="{00000000-0005-0000-0000-00003A000000}"/>
    <cellStyle name="Comma 2 4" xfId="210" xr:uid="{00000000-0005-0000-0000-00003B000000}"/>
    <cellStyle name="Comma 2 4 2" xfId="245" xr:uid="{00000000-0005-0000-0000-00003C000000}"/>
    <cellStyle name="Comma 2 4 3" xfId="267" xr:uid="{00000000-0005-0000-0000-00003D000000}"/>
    <cellStyle name="Comma 2 5" xfId="227" xr:uid="{00000000-0005-0000-0000-00003E000000}"/>
    <cellStyle name="Comma 2 6" xfId="249" xr:uid="{00000000-0005-0000-0000-00003F000000}"/>
    <cellStyle name="Comma 2 7" xfId="273" xr:uid="{00000000-0005-0000-0000-000040000000}"/>
    <cellStyle name="Comma 2 8" xfId="339" xr:uid="{00000000-0005-0000-0000-000041000000}"/>
    <cellStyle name="Comma 3" xfId="14" xr:uid="{00000000-0005-0000-0000-000042000000}"/>
    <cellStyle name="Comma 3 2" xfId="181" xr:uid="{00000000-0005-0000-0000-000043000000}"/>
    <cellStyle name="Comma 3 2 2" xfId="238" xr:uid="{00000000-0005-0000-0000-000044000000}"/>
    <cellStyle name="Comma 3 2 3" xfId="260" xr:uid="{00000000-0005-0000-0000-000045000000}"/>
    <cellStyle name="Comma 3 2 4" xfId="277" xr:uid="{00000000-0005-0000-0000-000046000000}"/>
    <cellStyle name="Comma 3 3" xfId="76" xr:uid="{00000000-0005-0000-0000-000047000000}"/>
    <cellStyle name="Comma 3 3 2" xfId="231" xr:uid="{00000000-0005-0000-0000-000048000000}"/>
    <cellStyle name="Comma 3 3 3" xfId="253" xr:uid="{00000000-0005-0000-0000-000049000000}"/>
    <cellStyle name="Comma 3 4" xfId="228" xr:uid="{00000000-0005-0000-0000-00004A000000}"/>
    <cellStyle name="Comma 3 5" xfId="250" xr:uid="{00000000-0005-0000-0000-00004B000000}"/>
    <cellStyle name="Comma 3 6" xfId="276" xr:uid="{00000000-0005-0000-0000-00004C000000}"/>
    <cellStyle name="Comma 4" xfId="77" xr:uid="{00000000-0005-0000-0000-00004D000000}"/>
    <cellStyle name="Comma 4 2" xfId="78" xr:uid="{00000000-0005-0000-0000-00004E000000}"/>
    <cellStyle name="Comma 4 2 2" xfId="183" xr:uid="{00000000-0005-0000-0000-00004F000000}"/>
    <cellStyle name="Comma 4 2 2 2" xfId="240" xr:uid="{00000000-0005-0000-0000-000050000000}"/>
    <cellStyle name="Comma 4 2 2 3" xfId="262" xr:uid="{00000000-0005-0000-0000-000051000000}"/>
    <cellStyle name="Comma 4 2 2 4" xfId="280" xr:uid="{00000000-0005-0000-0000-000052000000}"/>
    <cellStyle name="Comma 4 2 3" xfId="233" xr:uid="{00000000-0005-0000-0000-000053000000}"/>
    <cellStyle name="Comma 4 2 4" xfId="255" xr:uid="{00000000-0005-0000-0000-000054000000}"/>
    <cellStyle name="Comma 4 2 5" xfId="279" xr:uid="{00000000-0005-0000-0000-000055000000}"/>
    <cellStyle name="Comma 4 3" xfId="182" xr:uid="{00000000-0005-0000-0000-000056000000}"/>
    <cellStyle name="Comma 4 3 2" xfId="239" xr:uid="{00000000-0005-0000-0000-000057000000}"/>
    <cellStyle name="Comma 4 3 3" xfId="261" xr:uid="{00000000-0005-0000-0000-000058000000}"/>
    <cellStyle name="Comma 4 3 4" xfId="281" xr:uid="{00000000-0005-0000-0000-000059000000}"/>
    <cellStyle name="Comma 4 4" xfId="232" xr:uid="{00000000-0005-0000-0000-00005A000000}"/>
    <cellStyle name="Comma 4 5" xfId="254" xr:uid="{00000000-0005-0000-0000-00005B000000}"/>
    <cellStyle name="Comma 4 6" xfId="278" xr:uid="{00000000-0005-0000-0000-00005C000000}"/>
    <cellStyle name="Comma 5" xfId="79" xr:uid="{00000000-0005-0000-0000-00005D000000}"/>
    <cellStyle name="Comma 5 2" xfId="80" xr:uid="{00000000-0005-0000-0000-00005E000000}"/>
    <cellStyle name="Comma 5 2 2" xfId="185" xr:uid="{00000000-0005-0000-0000-00005F000000}"/>
    <cellStyle name="Comma 5 2 2 2" xfId="242" xr:uid="{00000000-0005-0000-0000-000060000000}"/>
    <cellStyle name="Comma 5 2 2 3" xfId="264" xr:uid="{00000000-0005-0000-0000-000061000000}"/>
    <cellStyle name="Comma 5 2 2 4" xfId="284" xr:uid="{00000000-0005-0000-0000-000062000000}"/>
    <cellStyle name="Comma 5 2 3" xfId="235" xr:uid="{00000000-0005-0000-0000-000063000000}"/>
    <cellStyle name="Comma 5 2 4" xfId="257" xr:uid="{00000000-0005-0000-0000-000064000000}"/>
    <cellStyle name="Comma 5 2 5" xfId="283" xr:uid="{00000000-0005-0000-0000-000065000000}"/>
    <cellStyle name="Comma 5 3" xfId="184" xr:uid="{00000000-0005-0000-0000-000066000000}"/>
    <cellStyle name="Comma 5 3 2" xfId="241" xr:uid="{00000000-0005-0000-0000-000067000000}"/>
    <cellStyle name="Comma 5 3 3" xfId="263" xr:uid="{00000000-0005-0000-0000-000068000000}"/>
    <cellStyle name="Comma 5 3 4" xfId="285" xr:uid="{00000000-0005-0000-0000-000069000000}"/>
    <cellStyle name="Comma 5 4" xfId="234" xr:uid="{00000000-0005-0000-0000-00006A000000}"/>
    <cellStyle name="Comma 5 5" xfId="256" xr:uid="{00000000-0005-0000-0000-00006B000000}"/>
    <cellStyle name="Comma 5 6" xfId="282" xr:uid="{00000000-0005-0000-0000-00006C000000}"/>
    <cellStyle name="Comma 6" xfId="81" xr:uid="{00000000-0005-0000-0000-00006D000000}"/>
    <cellStyle name="Comma 6 2" xfId="236" xr:uid="{00000000-0005-0000-0000-00006E000000}"/>
    <cellStyle name="Comma 6 2 2" xfId="319" xr:uid="{00000000-0005-0000-0000-00006F000000}"/>
    <cellStyle name="Comma 6 3" xfId="258" xr:uid="{00000000-0005-0000-0000-000070000000}"/>
    <cellStyle name="Comma 6 4" xfId="286" xr:uid="{00000000-0005-0000-0000-000071000000}"/>
    <cellStyle name="Comma 7" xfId="74" xr:uid="{00000000-0005-0000-0000-000072000000}"/>
    <cellStyle name="Comma 7 2" xfId="229" xr:uid="{00000000-0005-0000-0000-000073000000}"/>
    <cellStyle name="Comma 7 3" xfId="251" xr:uid="{00000000-0005-0000-0000-000074000000}"/>
    <cellStyle name="Comma 7 4" xfId="287" xr:uid="{00000000-0005-0000-0000-000075000000}"/>
    <cellStyle name="Comma 8" xfId="203" xr:uid="{00000000-0005-0000-0000-000076000000}"/>
    <cellStyle name="Comma 8 2" xfId="243" xr:uid="{00000000-0005-0000-0000-000077000000}"/>
    <cellStyle name="Comma 8 3" xfId="265" xr:uid="{00000000-0005-0000-0000-000078000000}"/>
    <cellStyle name="Comma 8 4" xfId="288" xr:uid="{00000000-0005-0000-0000-000079000000}"/>
    <cellStyle name="Comma 9" xfId="207" xr:uid="{00000000-0005-0000-0000-00007A000000}"/>
    <cellStyle name="Comma 9 2" xfId="244" xr:uid="{00000000-0005-0000-0000-00007B000000}"/>
    <cellStyle name="Comma 9 2 2" xfId="320" xr:uid="{00000000-0005-0000-0000-00007C000000}"/>
    <cellStyle name="Comma 9 3" xfId="266" xr:uid="{00000000-0005-0000-0000-00007D000000}"/>
    <cellStyle name="Comma 9 4" xfId="289" xr:uid="{00000000-0005-0000-0000-00007E000000}"/>
    <cellStyle name="Explanatory Text 2" xfId="82" xr:uid="{00000000-0005-0000-0000-00007F000000}"/>
    <cellStyle name="Good 2" xfId="83" xr:uid="{00000000-0005-0000-0000-000080000000}"/>
    <cellStyle name="Heading 1 2" xfId="84" xr:uid="{00000000-0005-0000-0000-000081000000}"/>
    <cellStyle name="Heading 2 2" xfId="85" xr:uid="{00000000-0005-0000-0000-000082000000}"/>
    <cellStyle name="Heading 3 2" xfId="86" xr:uid="{00000000-0005-0000-0000-000083000000}"/>
    <cellStyle name="Heading 4 2" xfId="87" xr:uid="{00000000-0005-0000-0000-000084000000}"/>
    <cellStyle name="Hyperlink" xfId="22" builtinId="8"/>
    <cellStyle name="Hyperlink 2" xfId="5" xr:uid="{00000000-0005-0000-0000-000086000000}"/>
    <cellStyle name="Hyperlink 2 2" xfId="88" xr:uid="{00000000-0005-0000-0000-000087000000}"/>
    <cellStyle name="Hyperlink 2 3" xfId="290" xr:uid="{00000000-0005-0000-0000-000088000000}"/>
    <cellStyle name="Hyperlink 3" xfId="20" xr:uid="{00000000-0005-0000-0000-000089000000}"/>
    <cellStyle name="Hyperlink 3 2" xfId="89" xr:uid="{00000000-0005-0000-0000-00008A000000}"/>
    <cellStyle name="Hyperlink 3 2 2" xfId="291" xr:uid="{00000000-0005-0000-0000-00008B000000}"/>
    <cellStyle name="Hyperlink 3 3" xfId="211" xr:uid="{00000000-0005-0000-0000-00008C000000}"/>
    <cellStyle name="Hyperlink 4" xfId="4" xr:uid="{00000000-0005-0000-0000-00008D000000}"/>
    <cellStyle name="Hyperlink 4 2" xfId="348" xr:uid="{00000000-0005-0000-0000-00008E000000}"/>
    <cellStyle name="Hyperlink 5" xfId="90" xr:uid="{00000000-0005-0000-0000-00008F000000}"/>
    <cellStyle name="Hyperlink 6" xfId="292" xr:uid="{00000000-0005-0000-0000-000090000000}"/>
    <cellStyle name="Input 2" xfId="91" xr:uid="{00000000-0005-0000-0000-000091000000}"/>
    <cellStyle name="Linked Cell 2" xfId="92" xr:uid="{00000000-0005-0000-0000-000092000000}"/>
    <cellStyle name="Neutral 2" xfId="93" xr:uid="{00000000-0005-0000-0000-000093000000}"/>
    <cellStyle name="Normal" xfId="0" builtinId="0"/>
    <cellStyle name="Normal 10" xfId="2" xr:uid="{00000000-0005-0000-0000-000095000000}"/>
    <cellStyle name="Normal 10 2" xfId="95" xr:uid="{00000000-0005-0000-0000-000096000000}"/>
    <cellStyle name="Normal 10 2 2" xfId="346" xr:uid="{00000000-0005-0000-0000-000097000000}"/>
    <cellStyle name="Normal 10 3" xfId="94" xr:uid="{00000000-0005-0000-0000-000098000000}"/>
    <cellStyle name="Normal 10 3 2" xfId="293" xr:uid="{00000000-0005-0000-0000-000099000000}"/>
    <cellStyle name="Normal 10 4" xfId="212" xr:uid="{00000000-0005-0000-0000-00009A000000}"/>
    <cellStyle name="Normal 10 5" xfId="345" xr:uid="{00000000-0005-0000-0000-00009B000000}"/>
    <cellStyle name="Normal 11" xfId="96" xr:uid="{00000000-0005-0000-0000-00009C000000}"/>
    <cellStyle name="Normal 11 2" xfId="349" xr:uid="{00000000-0005-0000-0000-00009D000000}"/>
    <cellStyle name="Normal 12" xfId="97" xr:uid="{00000000-0005-0000-0000-00009E000000}"/>
    <cellStyle name="Normal 12 2" xfId="98" xr:uid="{00000000-0005-0000-0000-00009F000000}"/>
    <cellStyle name="Normal 12 3" xfId="350" xr:uid="{00000000-0005-0000-0000-0000A0000000}"/>
    <cellStyle name="Normal 128" xfId="213" xr:uid="{00000000-0005-0000-0000-0000A1000000}"/>
    <cellStyle name="Normal 128 2" xfId="321" xr:uid="{00000000-0005-0000-0000-0000A2000000}"/>
    <cellStyle name="Normal 128 3" xfId="294" xr:uid="{00000000-0005-0000-0000-0000A3000000}"/>
    <cellStyle name="Normal 13" xfId="99" xr:uid="{00000000-0005-0000-0000-0000A4000000}"/>
    <cellStyle name="Normal 13 2" xfId="352" xr:uid="{00000000-0005-0000-0000-0000A5000000}"/>
    <cellStyle name="Normal 14" xfId="100" xr:uid="{00000000-0005-0000-0000-0000A6000000}"/>
    <cellStyle name="Normal 14 2" xfId="101" xr:uid="{00000000-0005-0000-0000-0000A7000000}"/>
    <cellStyle name="Normal 15" xfId="102" xr:uid="{00000000-0005-0000-0000-0000A8000000}"/>
    <cellStyle name="Normal 16" xfId="103" xr:uid="{00000000-0005-0000-0000-0000A9000000}"/>
    <cellStyle name="Normal 17" xfId="104" xr:uid="{00000000-0005-0000-0000-0000AA000000}"/>
    <cellStyle name="Normal 18" xfId="105" xr:uid="{00000000-0005-0000-0000-0000AB000000}"/>
    <cellStyle name="Normal 19" xfId="106" xr:uid="{00000000-0005-0000-0000-0000AC000000}"/>
    <cellStyle name="Normal 2" xfId="6" xr:uid="{00000000-0005-0000-0000-0000AD000000}"/>
    <cellStyle name="Normal 2 2" xfId="7" xr:uid="{00000000-0005-0000-0000-0000AE000000}"/>
    <cellStyle name="Normal 2 2 2" xfId="107" xr:uid="{00000000-0005-0000-0000-0000AF000000}"/>
    <cellStyle name="Normal 2 2 2 2" xfId="108" xr:uid="{00000000-0005-0000-0000-0000B0000000}"/>
    <cellStyle name="Normal 2 2 2 3" xfId="323" xr:uid="{00000000-0005-0000-0000-0000B1000000}"/>
    <cellStyle name="Normal 2 2 2 4" xfId="296" xr:uid="{00000000-0005-0000-0000-0000B2000000}"/>
    <cellStyle name="Normal 2 2 3" xfId="109" xr:uid="{00000000-0005-0000-0000-0000B3000000}"/>
    <cellStyle name="Normal 2 2 4" xfId="322" xr:uid="{00000000-0005-0000-0000-0000B4000000}"/>
    <cellStyle name="Normal 2 2 5" xfId="295" xr:uid="{00000000-0005-0000-0000-0000B5000000}"/>
    <cellStyle name="Normal 2 2 6" xfId="340" xr:uid="{00000000-0005-0000-0000-0000B6000000}"/>
    <cellStyle name="Normal 2 3" xfId="18" xr:uid="{00000000-0005-0000-0000-0000B7000000}"/>
    <cellStyle name="Normal 2 3 2" xfId="110" xr:uid="{00000000-0005-0000-0000-0000B8000000}"/>
    <cellStyle name="Normal 2 3 2 2" xfId="297" xr:uid="{00000000-0005-0000-0000-0000B9000000}"/>
    <cellStyle name="Normal 2 3 3" xfId="214" xr:uid="{00000000-0005-0000-0000-0000BA000000}"/>
    <cellStyle name="Normal 2 4" xfId="23" xr:uid="{00000000-0005-0000-0000-0000BB000000}"/>
    <cellStyle name="Normal 2 4 2" xfId="111" xr:uid="{00000000-0005-0000-0000-0000BC000000}"/>
    <cellStyle name="Normal 2 4 2 2" xfId="298" xr:uid="{00000000-0005-0000-0000-0000BD000000}"/>
    <cellStyle name="Normal 2 4 3" xfId="215" xr:uid="{00000000-0005-0000-0000-0000BE000000}"/>
    <cellStyle name="Normal 2 4 4" xfId="216" xr:uid="{00000000-0005-0000-0000-0000BF000000}"/>
    <cellStyle name="Normal 2 5" xfId="186" xr:uid="{00000000-0005-0000-0000-0000C0000000}"/>
    <cellStyle name="Normal 2 6" xfId="299" xr:uid="{00000000-0005-0000-0000-0000C1000000}"/>
    <cellStyle name="Normal 2_Contents" xfId="246" xr:uid="{00000000-0005-0000-0000-0000C2000000}"/>
    <cellStyle name="Normal 20" xfId="112" xr:uid="{00000000-0005-0000-0000-0000C3000000}"/>
    <cellStyle name="Normal 20 2" xfId="324" xr:uid="{00000000-0005-0000-0000-0000C4000000}"/>
    <cellStyle name="Normal 20 3" xfId="300" xr:uid="{00000000-0005-0000-0000-0000C5000000}"/>
    <cellStyle name="Normal 21" xfId="24" xr:uid="{00000000-0005-0000-0000-0000C6000000}"/>
    <cellStyle name="Normal 22" xfId="179" xr:uid="{00000000-0005-0000-0000-0000C7000000}"/>
    <cellStyle name="Normal 22 2" xfId="325" xr:uid="{00000000-0005-0000-0000-0000C8000000}"/>
    <cellStyle name="Normal 22 3" xfId="301" xr:uid="{00000000-0005-0000-0000-0000C9000000}"/>
    <cellStyle name="Normal 23" xfId="204" xr:uid="{00000000-0005-0000-0000-0000CA000000}"/>
    <cellStyle name="Normal 24" xfId="206" xr:uid="{00000000-0005-0000-0000-0000CB000000}"/>
    <cellStyle name="Normal 24 2" xfId="326" xr:uid="{00000000-0005-0000-0000-0000CC000000}"/>
    <cellStyle name="Normal 24 3" xfId="302" xr:uid="{00000000-0005-0000-0000-0000CD000000}"/>
    <cellStyle name="Normal 25" xfId="1" xr:uid="{00000000-0005-0000-0000-0000CE000000}"/>
    <cellStyle name="Normal 25 2" xfId="315" xr:uid="{00000000-0005-0000-0000-0000CF000000}"/>
    <cellStyle name="Normal 26" xfId="336" xr:uid="{00000000-0005-0000-0000-0000D0000000}"/>
    <cellStyle name="Normal 27" xfId="337" xr:uid="{00000000-0005-0000-0000-0000D1000000}"/>
    <cellStyle name="Normal 28" xfId="269" xr:uid="{00000000-0005-0000-0000-0000D2000000}"/>
    <cellStyle name="Normal 29" xfId="338" xr:uid="{00000000-0005-0000-0000-0000D3000000}"/>
    <cellStyle name="Normal 3" xfId="8" xr:uid="{00000000-0005-0000-0000-0000D4000000}"/>
    <cellStyle name="Normal 3 2" xfId="114" xr:uid="{00000000-0005-0000-0000-0000D5000000}"/>
    <cellStyle name="Normal 3 2 2" xfId="115" xr:uid="{00000000-0005-0000-0000-0000D6000000}"/>
    <cellStyle name="Normal 3 3" xfId="116" xr:uid="{00000000-0005-0000-0000-0000D7000000}"/>
    <cellStyle name="Normal 3 4" xfId="117" xr:uid="{00000000-0005-0000-0000-0000D8000000}"/>
    <cellStyle name="Normal 3 5" xfId="187" xr:uid="{00000000-0005-0000-0000-0000D9000000}"/>
    <cellStyle name="Normal 3 6" xfId="113" xr:uid="{00000000-0005-0000-0000-0000DA000000}"/>
    <cellStyle name="Normal 3_Contents" xfId="247" xr:uid="{00000000-0005-0000-0000-0000DB000000}"/>
    <cellStyle name="Normal 4" xfId="9" xr:uid="{00000000-0005-0000-0000-0000DC000000}"/>
    <cellStyle name="Normal 4 2" xfId="118" xr:uid="{00000000-0005-0000-0000-0000DD000000}"/>
    <cellStyle name="Normal 4 3" xfId="119" xr:uid="{00000000-0005-0000-0000-0000DE000000}"/>
    <cellStyle name="Normal 4 4" xfId="217" xr:uid="{00000000-0005-0000-0000-0000DF000000}"/>
    <cellStyle name="Normal 4 5" xfId="218" xr:uid="{00000000-0005-0000-0000-0000E0000000}"/>
    <cellStyle name="Normal 4 5 2" xfId="327" xr:uid="{00000000-0005-0000-0000-0000E1000000}"/>
    <cellStyle name="Normal 4 5 3" xfId="303" xr:uid="{00000000-0005-0000-0000-0000E2000000}"/>
    <cellStyle name="Normal 4 6" xfId="341" xr:uid="{00000000-0005-0000-0000-0000E3000000}"/>
    <cellStyle name="Normal 5" xfId="10" xr:uid="{00000000-0005-0000-0000-0000E4000000}"/>
    <cellStyle name="Normal 5 10" xfId="270" xr:uid="{00000000-0005-0000-0000-0000E5000000}"/>
    <cellStyle name="Normal 5 2" xfId="121" xr:uid="{00000000-0005-0000-0000-0000E6000000}"/>
    <cellStyle name="Normal 5 2 2" xfId="122" xr:uid="{00000000-0005-0000-0000-0000E7000000}"/>
    <cellStyle name="Normal 5 3" xfId="123" xr:uid="{00000000-0005-0000-0000-0000E8000000}"/>
    <cellStyle name="Normal 5 3 2" xfId="124" xr:uid="{00000000-0005-0000-0000-0000E9000000}"/>
    <cellStyle name="Normal 5 4" xfId="125" xr:uid="{00000000-0005-0000-0000-0000EA000000}"/>
    <cellStyle name="Normal 5 5" xfId="126" xr:uid="{00000000-0005-0000-0000-0000EB000000}"/>
    <cellStyle name="Normal 5 6" xfId="188" xr:uid="{00000000-0005-0000-0000-0000EC000000}"/>
    <cellStyle name="Normal 5 7" xfId="120" xr:uid="{00000000-0005-0000-0000-0000ED000000}"/>
    <cellStyle name="Normal 5 7 2" xfId="304" xr:uid="{00000000-0005-0000-0000-0000EE000000}"/>
    <cellStyle name="Normal 5 8" xfId="219" xr:uid="{00000000-0005-0000-0000-0000EF000000}"/>
    <cellStyle name="Normal 5 9" xfId="316" xr:uid="{00000000-0005-0000-0000-0000F0000000}"/>
    <cellStyle name="Normal 5_Contents" xfId="248" xr:uid="{00000000-0005-0000-0000-0000F1000000}"/>
    <cellStyle name="Normal 6" xfId="15" xr:uid="{00000000-0005-0000-0000-0000F2000000}"/>
    <cellStyle name="Normal 6 2" xfId="128" xr:uid="{00000000-0005-0000-0000-0000F3000000}"/>
    <cellStyle name="Normal 6 3" xfId="129" xr:uid="{00000000-0005-0000-0000-0000F4000000}"/>
    <cellStyle name="Normal 6 3 2" xfId="130" xr:uid="{00000000-0005-0000-0000-0000F5000000}"/>
    <cellStyle name="Normal 6 3 3" xfId="328" xr:uid="{00000000-0005-0000-0000-0000F6000000}"/>
    <cellStyle name="Normal 6 3 4" xfId="305" xr:uid="{00000000-0005-0000-0000-0000F7000000}"/>
    <cellStyle name="Normal 6 4" xfId="131" xr:uid="{00000000-0005-0000-0000-0000F8000000}"/>
    <cellStyle name="Normal 6 5" xfId="189" xr:uid="{00000000-0005-0000-0000-0000F9000000}"/>
    <cellStyle name="Normal 6 6" xfId="127" xr:uid="{00000000-0005-0000-0000-0000FA000000}"/>
    <cellStyle name="Normal 6 6 2" xfId="306" xr:uid="{00000000-0005-0000-0000-0000FB000000}"/>
    <cellStyle name="Normal 6 7" xfId="220" xr:uid="{00000000-0005-0000-0000-0000FC000000}"/>
    <cellStyle name="Normal 7" xfId="17" xr:uid="{00000000-0005-0000-0000-0000FD000000}"/>
    <cellStyle name="Normal 7 2" xfId="133" xr:uid="{00000000-0005-0000-0000-0000FE000000}"/>
    <cellStyle name="Normal 7 2 2" xfId="191" xr:uid="{00000000-0005-0000-0000-0000FF000000}"/>
    <cellStyle name="Normal 7 2 3" xfId="221" xr:uid="{00000000-0005-0000-0000-000000010000}"/>
    <cellStyle name="Normal 7 2 3 2" xfId="329" xr:uid="{00000000-0005-0000-0000-000001010000}"/>
    <cellStyle name="Normal 7 2 3 3" xfId="307" xr:uid="{00000000-0005-0000-0000-000002010000}"/>
    <cellStyle name="Normal 7 2 4" xfId="222" xr:uid="{00000000-0005-0000-0000-000003010000}"/>
    <cellStyle name="Normal 7 3" xfId="134" xr:uid="{00000000-0005-0000-0000-000004010000}"/>
    <cellStyle name="Normal 7 3 2" xfId="192" xr:uid="{00000000-0005-0000-0000-000005010000}"/>
    <cellStyle name="Normal 7 4" xfId="190" xr:uid="{00000000-0005-0000-0000-000006010000}"/>
    <cellStyle name="Normal 7 5" xfId="132" xr:uid="{00000000-0005-0000-0000-000007010000}"/>
    <cellStyle name="Normal 7 5 2" xfId="330" xr:uid="{00000000-0005-0000-0000-000008010000}"/>
    <cellStyle name="Normal 7 5 3" xfId="308" xr:uid="{00000000-0005-0000-0000-000009010000}"/>
    <cellStyle name="Normal 7 6" xfId="223" xr:uid="{00000000-0005-0000-0000-00000A010000}"/>
    <cellStyle name="Normal 7 7" xfId="271" xr:uid="{00000000-0005-0000-0000-00000B010000}"/>
    <cellStyle name="Normal 7 8" xfId="342" xr:uid="{00000000-0005-0000-0000-00000C010000}"/>
    <cellStyle name="Normal 8" xfId="21" xr:uid="{00000000-0005-0000-0000-00000D010000}"/>
    <cellStyle name="Normal 8 2" xfId="136" xr:uid="{00000000-0005-0000-0000-00000E010000}"/>
    <cellStyle name="Normal 8 2 2" xfId="137" xr:uid="{00000000-0005-0000-0000-00000F010000}"/>
    <cellStyle name="Normal 8 3" xfId="138" xr:uid="{00000000-0005-0000-0000-000010010000}"/>
    <cellStyle name="Normal 8 3 2" xfId="194" xr:uid="{00000000-0005-0000-0000-000011010000}"/>
    <cellStyle name="Normal 8 4" xfId="193" xr:uid="{00000000-0005-0000-0000-000012010000}"/>
    <cellStyle name="Normal 8 5" xfId="135" xr:uid="{00000000-0005-0000-0000-000013010000}"/>
    <cellStyle name="Normal 8 5 2" xfId="331" xr:uid="{00000000-0005-0000-0000-000014010000}"/>
    <cellStyle name="Normal 8 5 3" xfId="309" xr:uid="{00000000-0005-0000-0000-000015010000}"/>
    <cellStyle name="Normal 8 6" xfId="224" xr:uid="{00000000-0005-0000-0000-000016010000}"/>
    <cellStyle name="Normal 8 7" xfId="343" xr:uid="{00000000-0005-0000-0000-000017010000}"/>
    <cellStyle name="Normal 9" xfId="19" xr:uid="{00000000-0005-0000-0000-000018010000}"/>
    <cellStyle name="Normal 9 2" xfId="140" xr:uid="{00000000-0005-0000-0000-000019010000}"/>
    <cellStyle name="Normal 9 3" xfId="195" xr:uid="{00000000-0005-0000-0000-00001A010000}"/>
    <cellStyle name="Normal 9 4" xfId="139" xr:uid="{00000000-0005-0000-0000-00001B010000}"/>
    <cellStyle name="Normal 9 4 2" xfId="332" xr:uid="{00000000-0005-0000-0000-00001C010000}"/>
    <cellStyle name="Normal 9 4 3" xfId="310" xr:uid="{00000000-0005-0000-0000-00001D010000}"/>
    <cellStyle name="Normal 9 5" xfId="225" xr:uid="{00000000-0005-0000-0000-00001E010000}"/>
    <cellStyle name="Normal 9 6" xfId="344" xr:uid="{00000000-0005-0000-0000-00001F010000}"/>
    <cellStyle name="Note 2" xfId="11" xr:uid="{00000000-0005-0000-0000-000020010000}"/>
    <cellStyle name="Note 2 2" xfId="141" xr:uid="{00000000-0005-0000-0000-000021010000}"/>
    <cellStyle name="Note 2 2 2" xfId="142" xr:uid="{00000000-0005-0000-0000-000022010000}"/>
    <cellStyle name="Note 2 3" xfId="143" xr:uid="{00000000-0005-0000-0000-000023010000}"/>
    <cellStyle name="Note 2 3 2" xfId="144" xr:uid="{00000000-0005-0000-0000-000024010000}"/>
    <cellStyle name="Note 2 4" xfId="145" xr:uid="{00000000-0005-0000-0000-000025010000}"/>
    <cellStyle name="Note 2 4 2" xfId="146" xr:uid="{00000000-0005-0000-0000-000026010000}"/>
    <cellStyle name="Note 2 5" xfId="147" xr:uid="{00000000-0005-0000-0000-000027010000}"/>
    <cellStyle name="Note 2 5 2" xfId="148" xr:uid="{00000000-0005-0000-0000-000028010000}"/>
    <cellStyle name="Note 2 6" xfId="149" xr:uid="{00000000-0005-0000-0000-000029010000}"/>
    <cellStyle name="Note 2 6 2" xfId="150" xr:uid="{00000000-0005-0000-0000-00002A010000}"/>
    <cellStyle name="Note 3" xfId="151" xr:uid="{00000000-0005-0000-0000-00002B010000}"/>
    <cellStyle name="Note 3 2" xfId="152" xr:uid="{00000000-0005-0000-0000-00002C010000}"/>
    <cellStyle name="Note 3 2 2" xfId="153" xr:uid="{00000000-0005-0000-0000-00002D010000}"/>
    <cellStyle name="Note 3 3" xfId="154" xr:uid="{00000000-0005-0000-0000-00002E010000}"/>
    <cellStyle name="Note 3 3 2" xfId="155" xr:uid="{00000000-0005-0000-0000-00002F010000}"/>
    <cellStyle name="Note 3 4" xfId="156" xr:uid="{00000000-0005-0000-0000-000030010000}"/>
    <cellStyle name="Note 4" xfId="157" xr:uid="{00000000-0005-0000-0000-000031010000}"/>
    <cellStyle name="Note 4 2" xfId="158" xr:uid="{00000000-0005-0000-0000-000032010000}"/>
    <cellStyle name="Note 5" xfId="159" xr:uid="{00000000-0005-0000-0000-000033010000}"/>
    <cellStyle name="Note 5 2" xfId="160" xr:uid="{00000000-0005-0000-0000-000034010000}"/>
    <cellStyle name="Note 6" xfId="161" xr:uid="{00000000-0005-0000-0000-000035010000}"/>
    <cellStyle name="Note 6 2" xfId="162" xr:uid="{00000000-0005-0000-0000-000036010000}"/>
    <cellStyle name="Note 7" xfId="163" xr:uid="{00000000-0005-0000-0000-000037010000}"/>
    <cellStyle name="Note 7 2" xfId="164" xr:uid="{00000000-0005-0000-0000-000038010000}"/>
    <cellStyle name="Note 8" xfId="165" xr:uid="{00000000-0005-0000-0000-000039010000}"/>
    <cellStyle name="Note 8 2" xfId="166" xr:uid="{00000000-0005-0000-0000-00003A010000}"/>
    <cellStyle name="Output 2" xfId="167" xr:uid="{00000000-0005-0000-0000-00003B010000}"/>
    <cellStyle name="Percent" xfId="268" builtinId="5"/>
    <cellStyle name="Percent 10" xfId="205" xr:uid="{00000000-0005-0000-0000-00003D010000}"/>
    <cellStyle name="Percent 11" xfId="208" xr:uid="{00000000-0005-0000-0000-00003E010000}"/>
    <cellStyle name="Percent 11 2" xfId="333" xr:uid="{00000000-0005-0000-0000-00003F010000}"/>
    <cellStyle name="Percent 11 3" xfId="311" xr:uid="{00000000-0005-0000-0000-000040010000}"/>
    <cellStyle name="Percent 12" xfId="209" xr:uid="{00000000-0005-0000-0000-000041010000}"/>
    <cellStyle name="Percent 12 2" xfId="317" xr:uid="{00000000-0005-0000-0000-000042010000}"/>
    <cellStyle name="Percent 2" xfId="12" xr:uid="{00000000-0005-0000-0000-000043010000}"/>
    <cellStyle name="Percent 2 2" xfId="196" xr:uid="{00000000-0005-0000-0000-000044010000}"/>
    <cellStyle name="Percent 2 3" xfId="169" xr:uid="{00000000-0005-0000-0000-000045010000}"/>
    <cellStyle name="Percent 2 3 2" xfId="312" xr:uid="{00000000-0005-0000-0000-000046010000}"/>
    <cellStyle name="Percent 2 4" xfId="226" xr:uid="{00000000-0005-0000-0000-000047010000}"/>
    <cellStyle name="Percent 3" xfId="13" xr:uid="{00000000-0005-0000-0000-000048010000}"/>
    <cellStyle name="Percent 4" xfId="16" xr:uid="{00000000-0005-0000-0000-000049010000}"/>
    <cellStyle name="Percent 4 2" xfId="197" xr:uid="{00000000-0005-0000-0000-00004A010000}"/>
    <cellStyle name="Percent 4 3" xfId="170" xr:uid="{00000000-0005-0000-0000-00004B010000}"/>
    <cellStyle name="Percent 4 4" xfId="347" xr:uid="{00000000-0005-0000-0000-00004C010000}"/>
    <cellStyle name="Percent 5" xfId="171" xr:uid="{00000000-0005-0000-0000-00004D010000}"/>
    <cellStyle name="Percent 5 2" xfId="172" xr:uid="{00000000-0005-0000-0000-00004E010000}"/>
    <cellStyle name="Percent 5 2 2" xfId="199" xr:uid="{00000000-0005-0000-0000-00004F010000}"/>
    <cellStyle name="Percent 5 3" xfId="198" xr:uid="{00000000-0005-0000-0000-000050010000}"/>
    <cellStyle name="Percent 5 4" xfId="351" xr:uid="{00000000-0005-0000-0000-000051010000}"/>
    <cellStyle name="Percent 6" xfId="173" xr:uid="{00000000-0005-0000-0000-000052010000}"/>
    <cellStyle name="Percent 6 2" xfId="174" xr:uid="{00000000-0005-0000-0000-000053010000}"/>
    <cellStyle name="Percent 6 2 2" xfId="201" xr:uid="{00000000-0005-0000-0000-000054010000}"/>
    <cellStyle name="Percent 6 3" xfId="200" xr:uid="{00000000-0005-0000-0000-000055010000}"/>
    <cellStyle name="Percent 7" xfId="175" xr:uid="{00000000-0005-0000-0000-000056010000}"/>
    <cellStyle name="Percent 7 2" xfId="334" xr:uid="{00000000-0005-0000-0000-000057010000}"/>
    <cellStyle name="Percent 7 3" xfId="313" xr:uid="{00000000-0005-0000-0000-000058010000}"/>
    <cellStyle name="Percent 8" xfId="168" xr:uid="{00000000-0005-0000-0000-000059010000}"/>
    <cellStyle name="Percent 9" xfId="202" xr:uid="{00000000-0005-0000-0000-00005A010000}"/>
    <cellStyle name="Percent 9 2" xfId="335" xr:uid="{00000000-0005-0000-0000-00005B010000}"/>
    <cellStyle name="Percent 9 3" xfId="314" xr:uid="{00000000-0005-0000-0000-00005C010000}"/>
    <cellStyle name="Title 2" xfId="176" xr:uid="{00000000-0005-0000-0000-00005D010000}"/>
    <cellStyle name="Total 2" xfId="177" xr:uid="{00000000-0005-0000-0000-00005E010000}"/>
    <cellStyle name="Tracking" xfId="272" xr:uid="{00000000-0005-0000-0000-00005F010000}"/>
    <cellStyle name="Warning Text 2" xfId="178" xr:uid="{00000000-0005-0000-0000-000060010000}"/>
  </cellStyles>
  <dxfs count="3">
    <dxf>
      <font>
        <strike val="0"/>
        <outline val="0"/>
        <shadow val="0"/>
        <u/>
        <vertAlign val="baseline"/>
        <sz val="11"/>
        <color rgb="FF0070C0"/>
        <name val="Calibri"/>
        <scheme val="minor"/>
      </font>
    </dxf>
    <dxf>
      <font>
        <strike val="0"/>
        <outline val="0"/>
        <shadow val="0"/>
        <u/>
        <vertAlign val="baseline"/>
        <sz val="11"/>
        <color rgb="FF0070C0"/>
        <name val="Calibri"/>
        <scheme val="minor"/>
      </font>
    </dxf>
    <dxf>
      <alignment horizontal="general" vertical="bottom" textRotation="0" wrapText="1"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onnections" Target="connections.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4053840</xdr:colOff>
      <xdr:row>1</xdr:row>
      <xdr:rowOff>99060</xdr:rowOff>
    </xdr:from>
    <xdr:to>
      <xdr:col>2</xdr:col>
      <xdr:colOff>5308759</xdr:colOff>
      <xdr:row>1</xdr:row>
      <xdr:rowOff>1162050</xdr:rowOff>
    </xdr:to>
    <xdr:pic>
      <xdr:nvPicPr>
        <xdr:cNvPr id="5" name="Picture 4" descr="ofsted_logo">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22820" y="281940"/>
          <a:ext cx="1254919" cy="10629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clu7sql1_ssdb REPORT vw_IE_External_MI_InYear" connectionId="1" xr16:uid="{00000000-0016-0000-0700-000000000000}" autoFormatId="16" applyNumberFormats="0" applyBorderFormats="0" applyFontFormats="0" applyPatternFormats="0" applyAlignmentFormats="0" applyWidthHeightFormats="0">
  <queryTableRefresh nextId="288">
    <queryTableFields count="277">
      <queryTableField id="1" name="Report" tableColumnId="1"/>
      <queryTableField id="2" name="Organisation ID" tableColumnId="2"/>
      <queryTableField id="3" name="URN" tableColumnId="3"/>
      <queryTableField id="4" name="LAESTAB" tableColumnId="4"/>
      <queryTableField id="5" name="Provider name" tableColumnId="5"/>
      <queryTableField id="6" name="Provider type" tableColumnId="6"/>
      <queryTableField id="7" name="Provider Group" tableColumnId="7"/>
      <queryTableField id="8" name="Ofsted Region" tableColumnId="8"/>
      <queryTableField id="9" name="Government Office Region" tableColumnId="9"/>
      <queryTableField id="10" name="Local Authority" tableColumnId="10"/>
      <queryTableField id="11" name="Postcode" tableColumnId="11"/>
      <queryTableField id="13" name="Religious character" tableColumnId="13"/>
      <queryTableField id="14" name="Religious character grouping" tableColumnId="14"/>
      <queryTableField id="15" name="Religious ethos" tableColumnId="15"/>
      <queryTableField id="16" name="Special Needs" tableColumnId="16"/>
      <queryTableField id="17" name="Inspectorate" tableColumnId="17"/>
      <queryTableField id="18" name="Inspection number" tableColumnId="18"/>
      <queryTableField id="19" name="First day of inspection" tableColumnId="19"/>
      <queryTableField id="20" name="Last day of inspection" tableColumnId="20"/>
      <queryTableField id="21" name="Publication date" tableColumnId="21"/>
      <queryTableField id="22" name="Withheld/Withdrawn information date" tableColumnId="22"/>
      <queryTableField id="23" name="Inspection type" tableColumnId="23"/>
      <queryTableField id="24" name="Inspection grouping" tableColumnId="24"/>
      <queryTableField id="25" name="Inspection Grouping Name" tableColumnId="25"/>
      <queryTableField id="26" name="Overall effectiveness" tableColumnId="26"/>
      <queryTableField id="27" name="Effectiveness of leadership and management" tableColumnId="27"/>
      <queryTableField id="28" name="Personal development, behaviour and welfare" tableColumnId="28"/>
      <queryTableField id="29" name="Quality of teaching" tableColumnId="29"/>
      <queryTableField id="30" name="Outcomes for pupils" tableColumnId="30"/>
      <queryTableField id="31" name="Early years provision" tableColumnId="31"/>
      <queryTableField id="32" name="Sixth form provision" tableColumnId="32"/>
      <queryTableField id="33" name="Safeguarding" tableColumnId="33"/>
      <queryTableField id="34" name="Overall outcome" tableColumnId="34"/>
      <queryTableField id="278" dataBound="0" tableColumnId="270"/>
      <queryTableField id="277" dataBound="0" tableColumnId="271"/>
      <queryTableField id="276" dataBound="0" tableColumnId="272"/>
      <queryTableField id="275" dataBound="0" tableColumnId="273"/>
      <queryTableField id="274" dataBound="0" tableColumnId="274"/>
      <queryTableField id="273" dataBound="0" tableColumnId="275"/>
      <queryTableField id="272" dataBound="0" tableColumnId="276"/>
      <queryTableField id="271" dataBound="0" tableColumnId="277"/>
      <queryTableField id="270" dataBound="0" tableColumnId="278"/>
      <queryTableField id="35" name="2(1)" tableColumnId="35"/>
      <queryTableField id="36" name="2(1)(a)" tableColumnId="36"/>
      <queryTableField id="37" name="2(1)(b)" tableColumnId="37"/>
      <queryTableField id="38" name="2(1)(b)(i)" tableColumnId="38"/>
      <queryTableField id="39" name="2(1)(b)(ii)" tableColumnId="39"/>
      <queryTableField id="40" name="2(2)" tableColumnId="40"/>
      <queryTableField id="41" name="2(2)(a)" tableColumnId="41"/>
      <queryTableField id="42" name="2(2)(b)" tableColumnId="42"/>
      <queryTableField id="43" name="2(2)(c)" tableColumnId="43"/>
      <queryTableField id="44" name="2(2)(d)" tableColumnId="44"/>
      <queryTableField id="45" name="2(2)(d)(i)" tableColumnId="45"/>
      <queryTableField id="46" name="2(2)(d)(ii)" tableColumnId="46"/>
      <queryTableField id="47" name="2(2)(e)" tableColumnId="47"/>
      <queryTableField id="48" name="2(2)(e)(i)" tableColumnId="48"/>
      <queryTableField id="49" name="2(2)(e)(ii)" tableColumnId="49"/>
      <queryTableField id="50" name="2(2)(e)(iii)" tableColumnId="50"/>
      <queryTableField id="51" name="2(2)(f)" tableColumnId="51"/>
      <queryTableField id="52" name="2(2)(g)" tableColumnId="52"/>
      <queryTableField id="53" name="2(2)(h)" tableColumnId="53"/>
      <queryTableField id="54" name="2(2)(i)" tableColumnId="54"/>
      <queryTableField id="55" name="3" tableColumnId="55"/>
      <queryTableField id="56" name="3(a)" tableColumnId="56"/>
      <queryTableField id="57" name="3(b)" tableColumnId="57"/>
      <queryTableField id="58" name="3(c)" tableColumnId="58"/>
      <queryTableField id="59" name="3(d)" tableColumnId="59"/>
      <queryTableField id="60" name="3(e)" tableColumnId="60"/>
      <queryTableField id="61" name="3(f)" tableColumnId="61"/>
      <queryTableField id="62" name="3(g)" tableColumnId="62"/>
      <queryTableField id="63" name="3(h)" tableColumnId="63"/>
      <queryTableField id="64" name="3(i)" tableColumnId="64"/>
      <queryTableField id="65" name="3(j)" tableColumnId="65"/>
      <queryTableField id="66" name="4" tableColumnId="66"/>
      <queryTableField id="67" name="5" tableColumnId="67"/>
      <queryTableField id="68" name="5(a)" tableColumnId="68"/>
      <queryTableField id="69" name="5(b)" tableColumnId="69"/>
      <queryTableField id="70" name="5(b)(i)" tableColumnId="70"/>
      <queryTableField id="71" name="5(b)(ii)" tableColumnId="71"/>
      <queryTableField id="72" name="5(b)(iii)" tableColumnId="72"/>
      <queryTableField id="73" name="5(b)(iv)" tableColumnId="73"/>
      <queryTableField id="74" name="5(b)(v)" tableColumnId="74"/>
      <queryTableField id="75" name="5(b)(vi)" tableColumnId="75"/>
      <queryTableField id="76" name="5(b)(vii)" tableColumnId="76"/>
      <queryTableField id="77" name="5(c)" tableColumnId="77"/>
      <queryTableField id="78" name="5(d)" tableColumnId="78"/>
      <queryTableField id="79" name="5(d)(i)" tableColumnId="79"/>
      <queryTableField id="80" name="5(d)(ii)" tableColumnId="80"/>
      <queryTableField id="81" name="5(d)(iii)" tableColumnId="81"/>
      <queryTableField id="82" name="7" tableColumnId="82"/>
      <queryTableField id="83" name="7(a)" tableColumnId="83"/>
      <queryTableField id="84" name="7(b)" tableColumnId="84"/>
      <queryTableField id="85" name="8" tableColumnId="85"/>
      <queryTableField id="86" name="8(a)" tableColumnId="86"/>
      <queryTableField id="87" name="8(b)" tableColumnId="87"/>
      <queryTableField id="88" name="9" tableColumnId="88"/>
      <queryTableField id="89" name="9(a)" tableColumnId="89"/>
      <queryTableField id="90" name="9(b)" tableColumnId="90"/>
      <queryTableField id="91" name="9(c)" tableColumnId="91"/>
      <queryTableField id="92" name="10" tableColumnId="92"/>
      <queryTableField id="93" name="11" tableColumnId="93"/>
      <queryTableField id="94" name="12" tableColumnId="94"/>
      <queryTableField id="95" name="13" tableColumnId="95"/>
      <queryTableField id="96" name="14" tableColumnId="96"/>
      <queryTableField id="97" name="15" tableColumnId="97"/>
      <queryTableField id="98" name="16" tableColumnId="98"/>
      <queryTableField id="99" name="16(a)" tableColumnId="99"/>
      <queryTableField id="100" name="16(b)" tableColumnId="100"/>
      <queryTableField id="101" name="18(2)" tableColumnId="101"/>
      <queryTableField id="102" name="18(2)(a)" tableColumnId="102"/>
      <queryTableField id="103" name="18(2)(b)" tableColumnId="103"/>
      <queryTableField id="104" name="18(2)(c)" tableColumnId="104"/>
      <queryTableField id="105" name="18(2)(c)(i)" tableColumnId="105"/>
      <queryTableField id="106" name="18(2)(c)(ii)" tableColumnId="106"/>
      <queryTableField id="107" name="18(2)(c)(iii)" tableColumnId="107"/>
      <queryTableField id="108" name="18(2)(c)(iv)" tableColumnId="108"/>
      <queryTableField id="109" name="18(2)(d)" tableColumnId="109"/>
      <queryTableField id="110" name="18(2)(e)" tableColumnId="110"/>
      <queryTableField id="111" name="18(2)(f)" tableColumnId="111"/>
      <queryTableField id="112" name="18(3)" tableColumnId="112"/>
      <queryTableField id="113" name="19(2)" tableColumnId="113"/>
      <queryTableField id="114" name="19(2)(a)" tableColumnId="114"/>
      <queryTableField id="115" name="19(2)(a)(i)" tableColumnId="115"/>
      <queryTableField id="116" name="19(2)(a)(i)(aa)" tableColumnId="116"/>
      <queryTableField id="117" name="19(2)(a)(i)(bb)" tableColumnId="117"/>
      <queryTableField id="118" name="19(2)(a)(i)(cc)" tableColumnId="118"/>
      <queryTableField id="119" name="19(2)(a)(ii)" tableColumnId="119"/>
      <queryTableField id="120" name="19(2)(b)" tableColumnId="120"/>
      <queryTableField id="121" name="19(2)(c)" tableColumnId="121"/>
      <queryTableField id="122" name="19(2)(d)" tableColumnId="122"/>
      <queryTableField id="123" name="19(2)(d)(i)" tableColumnId="123"/>
      <queryTableField id="124" name="19(2)(d)(ii)" tableColumnId="124"/>
      <queryTableField id="125" name="19(2)(e)" tableColumnId="125"/>
      <queryTableField id="126" name="19(3)" tableColumnId="126"/>
      <queryTableField id="127" name="20(6)" tableColumnId="127"/>
      <queryTableField id="128" name="20(6)(a)" tableColumnId="128"/>
      <queryTableField id="129" name="20(6)(a)(i)" tableColumnId="129"/>
      <queryTableField id="130" name="20(6)(a)(ii)" tableColumnId="130"/>
      <queryTableField id="131" name="20(6)(b)" tableColumnId="131"/>
      <queryTableField id="132" name="20(6)(b)(i)" tableColumnId="132"/>
      <queryTableField id="133" name="20(6)(b)(ii)" tableColumnId="133"/>
      <queryTableField id="134" name="20(6)(b)(iii)" tableColumnId="134"/>
      <queryTableField id="135" name="20(6)(c)" tableColumnId="135"/>
      <queryTableField id="136" name="21(1)" tableColumnId="136"/>
      <queryTableField id="137" name="21(2)" tableColumnId="137"/>
      <queryTableField id="138" name="21(3)" tableColumnId="138"/>
      <queryTableField id="139" name="21(3)(a)" tableColumnId="139"/>
      <queryTableField id="140" name="21(3)(a)(i)" tableColumnId="140"/>
      <queryTableField id="141" name="21(3)(a)(ii)" tableColumnId="141"/>
      <queryTableField id="142" name="21(3)(a)(iii)" tableColumnId="142"/>
      <queryTableField id="143" name="21(3)(a)(iv)" tableColumnId="143"/>
      <queryTableField id="144" name="21(3)(a)(v)" tableColumnId="144"/>
      <queryTableField id="145" name="21(3)(a)(vi)" tableColumnId="145"/>
      <queryTableField id="146" name="21(3)(a)(vii)" tableColumnId="146"/>
      <queryTableField id="147" name="21(3)(a)(viii)" tableColumnId="147"/>
      <queryTableField id="148" name="21(3)(b)" tableColumnId="148"/>
      <queryTableField id="149" name="21(4)" tableColumnId="149"/>
      <queryTableField id="150" name="21(5)" tableColumnId="150"/>
      <queryTableField id="151" name="21(5)(a)" tableColumnId="151"/>
      <queryTableField id="152" name="21(5)(a)(i)" tableColumnId="152"/>
      <queryTableField id="153" name="21(5)(a)(ii)" tableColumnId="153"/>
      <queryTableField id="154" name="21(5)(b)" tableColumnId="154"/>
      <queryTableField id="155" name="21(5)(c)" tableColumnId="155"/>
      <queryTableField id="156" name="21(6)" tableColumnId="156"/>
      <queryTableField id="157" name="21(7)" tableColumnId="157"/>
      <queryTableField id="158" name="21(7)(a)" tableColumnId="158"/>
      <queryTableField id="159" name="21(7)(b)" tableColumnId="159"/>
      <queryTableField id="160" name="23(1)" tableColumnId="160"/>
      <queryTableField id="161" name="23(1)(a)" tableColumnId="161"/>
      <queryTableField id="162" name="23(1)(b)" tableColumnId="162"/>
      <queryTableField id="163" name="23(1)(c)" tableColumnId="163"/>
      <queryTableField id="164" name="24(1)" tableColumnId="164"/>
      <queryTableField id="165" name="24(1)(a)" tableColumnId="165"/>
      <queryTableField id="166" name="24(1)(b)" tableColumnId="166"/>
      <queryTableField id="167" name="24(1)(c)" tableColumnId="167"/>
      <queryTableField id="168" name="24(2)" tableColumnId="168"/>
      <queryTableField id="169" name="25" tableColumnId="169"/>
      <queryTableField id="170" name="26" tableColumnId="170"/>
      <queryTableField id="171" name="27" tableColumnId="171"/>
      <queryTableField id="172" name="27(a)" tableColumnId="172"/>
      <queryTableField id="173" name="27(b)" tableColumnId="173"/>
      <queryTableField id="174" name="28(1)" tableColumnId="174"/>
      <queryTableField id="175" name="28(1)(a)" tableColumnId="175"/>
      <queryTableField id="176" name="28(1)(b)" tableColumnId="176"/>
      <queryTableField id="177" name="28(1)(c)" tableColumnId="177"/>
      <queryTableField id="178" name="28(1)(d)" tableColumnId="178"/>
      <queryTableField id="179" name="28(2)" tableColumnId="179"/>
      <queryTableField id="180" name="28(2)(a)" tableColumnId="180"/>
      <queryTableField id="181" name="28(2)(b)" tableColumnId="181"/>
      <queryTableField id="182" name="29(1)" tableColumnId="182"/>
      <queryTableField id="183" name="29(1)(a)" tableColumnId="183"/>
      <queryTableField id="184" name="29(1)(b)" tableColumnId="184"/>
      <queryTableField id="185" name="30" tableColumnId="185"/>
      <queryTableField id="186" name="32(1)" tableColumnId="186"/>
      <queryTableField id="187" name="32(1)(a)" tableColumnId="187"/>
      <queryTableField id="188" name="32(1)(b)" tableColumnId="188"/>
      <queryTableField id="189" name="32(1)(c)" tableColumnId="189"/>
      <queryTableField id="190" name="32(1)(d)" tableColumnId="190"/>
      <queryTableField id="191" name="32(1)(e)" tableColumnId="191"/>
      <queryTableField id="192" name="32(1)(f)" tableColumnId="192"/>
      <queryTableField id="193" name="32(1)(g)" tableColumnId="193"/>
      <queryTableField id="194" name="32(1)(h)" tableColumnId="194"/>
      <queryTableField id="195" name="32(1)(i)" tableColumnId="195"/>
      <queryTableField id="196" name="32(1)(j)" tableColumnId="196"/>
      <queryTableField id="197" name="32(2)" tableColumnId="197"/>
      <queryTableField id="198" name="32(2)(a)" tableColumnId="198"/>
      <queryTableField id="199" name="32(2)(b)" tableColumnId="199"/>
      <queryTableField id="200" name="32(2)(b)(i)" tableColumnId="200"/>
      <queryTableField id="201" name="32(2)(b)(ii)" tableColumnId="201"/>
      <queryTableField id="202" name="32(2)(c)" tableColumnId="202"/>
      <queryTableField id="203" name="32(2)(d)" tableColumnId="203"/>
      <queryTableField id="204" name="32(3)" tableColumnId="204"/>
      <queryTableField id="205" name="32(3)(a)" tableColumnId="205"/>
      <queryTableField id="206" name="32(3)(b)" tableColumnId="206"/>
      <queryTableField id="207" name="32(3)(c)" tableColumnId="207"/>
      <queryTableField id="208" name="32(3)(d)" tableColumnId="208"/>
      <queryTableField id="209" name="32(3)(e)" tableColumnId="209"/>
      <queryTableField id="210" name="32(3)(f)" tableColumnId="210"/>
      <queryTableField id="211" name="32(3)(g)" tableColumnId="211"/>
      <queryTableField id="212" name="32(4)" tableColumnId="212"/>
      <queryTableField id="213" name="32(4)(a)" tableColumnId="213"/>
      <queryTableField id="214" name="32(4)(b)" tableColumnId="214"/>
      <queryTableField id="215" name="32(4)(c)" tableColumnId="215"/>
      <queryTableField id="216" name="33" tableColumnId="216"/>
      <queryTableField id="217" name="33(a)" tableColumnId="217"/>
      <queryTableField id="218" name="33(b)" tableColumnId="218"/>
      <queryTableField id="219" name="33(c)" tableColumnId="219"/>
      <queryTableField id="220" name="33(d)" tableColumnId="220"/>
      <queryTableField id="221" name="33(e)" tableColumnId="221"/>
      <queryTableField id="222" name="33(f)" tableColumnId="222"/>
      <queryTableField id="223" name="33(g)" tableColumnId="223"/>
      <queryTableField id="224" name="33(h)" tableColumnId="224"/>
      <queryTableField id="225" name="33(i)" tableColumnId="225"/>
      <queryTableField id="226" name="33(i)(i)" tableColumnId="226"/>
      <queryTableField id="227" name="33(i)(ii)" tableColumnId="227"/>
      <queryTableField id="228" name="33(j)" tableColumnId="228"/>
      <queryTableField id="229" name="33(j)(i)" tableColumnId="229"/>
      <queryTableField id="230" name="33(j)(ii)" tableColumnId="230"/>
      <queryTableField id="231" name="33(k)" tableColumnId="231"/>
      <queryTableField id="232" name="34(1)" tableColumnId="232"/>
      <queryTableField id="233" name="34(1)(a)" tableColumnId="233"/>
      <queryTableField id="234" name="34(1)(b)" tableColumnId="234"/>
      <queryTableField id="235" name="34(1)(c)" tableColumnId="235"/>
      <queryTableField id="236" name="Safeguarding Procedure 1" tableColumnId="236"/>
      <queryTableField id="237" name="Safeguarding Procedure 2" tableColumnId="237"/>
      <queryTableField id="238" name="Safeguarding Procedure 3" tableColumnId="238"/>
      <queryTableField id="239" name="Schedule 10 Equality Act 2010" tableColumnId="239"/>
      <queryTableField id="240" name="Part 1. Quality of education provided - (Met)" tableColumnId="240"/>
      <queryTableField id="241" name="Part 1. Quality of education provided - (No response)" tableColumnId="241"/>
      <queryTableField id="242" name="Part 1. Quality of education provided - (Not applicable)" tableColumnId="242"/>
      <queryTableField id="243" name="Part 1. Quality of education provided - (Not met)" tableColumnId="243"/>
      <queryTableField id="244" name="Part 2. Spiritual, moral, social and cultural development of pupils - (Met)" tableColumnId="244"/>
      <queryTableField id="245" name="Part 2. Spiritual, moral, social and cultural development of pupils - (No response)" tableColumnId="245"/>
      <queryTableField id="246" name="Part 2. Spiritual, moral, social and cultural development of pupils - (Not applicable)" tableColumnId="246"/>
      <queryTableField id="247" name="Part 2. Spiritual, moral, social and cultural development of pupils - (Not met)" tableColumnId="247"/>
      <queryTableField id="248" name="Part 3. Welfare, health and safety of pupils - (Met)" tableColumnId="248"/>
      <queryTableField id="249" name="Part 3. Welfare, health and safety of pupils - (No response)" tableColumnId="249"/>
      <queryTableField id="250" name="Part 3. Welfare, health and safety of pupils - (Not applicable)" tableColumnId="250"/>
      <queryTableField id="251" name="Part 3. Welfare, health and safety of pupils - (Not met)" tableColumnId="251"/>
      <queryTableField id="252" name="Part 4. Suitability of staff, supply staff, and proprietors - (Met)" tableColumnId="252"/>
      <queryTableField id="253" name="Part 4. Suitability of staff, supply staff, and proprietors - (No response)" tableColumnId="253"/>
      <queryTableField id="254" name="Part 4. Suitability of staff, supply staff, and proprietors - (Not applicable)" tableColumnId="254"/>
      <queryTableField id="255" name="Part 4. Suitability of staff, supply staff, and proprietors - (Not met)" tableColumnId="255"/>
      <queryTableField id="256" name="Part 5. Premises of and accommodation at schools - (Met)" tableColumnId="256"/>
      <queryTableField id="257" name="Part 5. Premises of and accommodation at schools - (No response)" tableColumnId="257"/>
      <queryTableField id="258" name="Part 5. Premises of and accommodation at schools - (Not applicable)" tableColumnId="258"/>
      <queryTableField id="259" name="Part 5. Premises of and accommodation at schools - (Not met)" tableColumnId="259"/>
      <queryTableField id="260" name="Part 6. Provision of information - (Met)" tableColumnId="260"/>
      <queryTableField id="261" name="Part 6. Provision of information - (No response)" tableColumnId="261"/>
      <queryTableField id="262" name="Part 6. Provision of information - (Not applicable)" tableColumnId="262"/>
      <queryTableField id="263" name="Part 6. Provision of information - (Not met)" tableColumnId="263"/>
      <queryTableField id="264" name="Part 7. Manner in which complaints are handled - (Met)" tableColumnId="264"/>
      <queryTableField id="265" name="Part 7. Manner in which complaints are handled - (No response)" tableColumnId="265"/>
      <queryTableField id="266" name="Part 7. Manner in which complaints are handled - (Not met)" tableColumnId="266"/>
      <queryTableField id="267" name="Part 8. Quality of leadership in and management of schools - (Met)" tableColumnId="267"/>
      <queryTableField id="268" name="Part 8. Quality of leadership in and management of schools - (No response)" tableColumnId="268"/>
      <queryTableField id="269" name="Part 8. Quality of leadership in and management of schools - (Not met)" tableColumnId="269"/>
    </queryTableFields>
    <queryTableDeletedFields count="1">
      <deletedField name="Boarders"/>
    </queryTableDeletedFields>
  </queryTableRefresh>
</queryTable>
</file>

<file path=xl/queryTables/queryTable2.xml><?xml version="1.0" encoding="utf-8"?>
<queryTable xmlns="http://schemas.openxmlformats.org/spreadsheetml/2006/main" xmlns:mc="http://schemas.openxmlformats.org/markup-compatibility/2006" xmlns:xr16="http://schemas.microsoft.com/office/spreadsheetml/2017/revision16" mc:Ignorable="xr16" name="clu7sql1_ssdb REPORT vw_IE_External_MI_InYear_Monitoring_Only" connectionId="2" xr16:uid="{00000000-0016-0000-0800-000001000000}" autoFormatId="16" applyNumberFormats="0" applyBorderFormats="0" applyFontFormats="0" applyPatternFormats="0" applyAlignmentFormats="0" applyWidthHeightFormats="0">
  <queryTableRefresh nextId="287">
    <queryTableFields count="277">
      <queryTableField id="1" name="Report" tableColumnId="1"/>
      <queryTableField id="2" name="Organisation ID" tableColumnId="2"/>
      <queryTableField id="3" name="URN" tableColumnId="3"/>
      <queryTableField id="4" name="LAESTAB" tableColumnId="4"/>
      <queryTableField id="5" name="Provider name" tableColumnId="5"/>
      <queryTableField id="6" name="Provider type" tableColumnId="6"/>
      <queryTableField id="7" name="Provider Group" tableColumnId="7"/>
      <queryTableField id="8" name="Ofsted Region" tableColumnId="8"/>
      <queryTableField id="9" name="Government Office Region" tableColumnId="9"/>
      <queryTableField id="10" name="Local Authority" tableColumnId="10"/>
      <queryTableField id="11" name="Postcode" tableColumnId="11"/>
      <queryTableField id="13" name="Religious character" tableColumnId="13"/>
      <queryTableField id="14" name="Religious character grouping" tableColumnId="14"/>
      <queryTableField id="15" name="Religious ethos" tableColumnId="15"/>
      <queryTableField id="16" name="Special Needs" tableColumnId="16"/>
      <queryTableField id="17" name="Inspectorate" tableColumnId="17"/>
      <queryTableField id="18" name="Inspection number" tableColumnId="18"/>
      <queryTableField id="19" name="First day of inspection" tableColumnId="19"/>
      <queryTableField id="20" name="Last day of inspection" tableColumnId="20"/>
      <queryTableField id="21" name="Publication date" tableColumnId="21"/>
      <queryTableField id="22" name="Withheld/Withdrawn information date" tableColumnId="22"/>
      <queryTableField id="23" name="Inspection type" tableColumnId="23"/>
      <queryTableField id="24" name="Inspection grouping" tableColumnId="24"/>
      <queryTableField id="25" name="Inspection Grouping Name" tableColumnId="25"/>
      <queryTableField id="26" name="Overall effectiveness" tableColumnId="26"/>
      <queryTableField id="27" name="Effectiveness of leadership and management" tableColumnId="27"/>
      <queryTableField id="28" name="Personal development, behaviour and welfare" tableColumnId="28"/>
      <queryTableField id="29" name="Quality of teaching" tableColumnId="29"/>
      <queryTableField id="30" name="Outcomes for pupils" tableColumnId="30"/>
      <queryTableField id="31" name="Early years provision" tableColumnId="31"/>
      <queryTableField id="32" name="Sixth form provision" tableColumnId="32"/>
      <queryTableField id="33" name="Safeguarding" tableColumnId="33"/>
      <queryTableField id="34" name="Overall outcome" tableColumnId="34"/>
      <queryTableField id="286" dataBound="0" tableColumnId="278"/>
      <queryTableField id="277" dataBound="0" tableColumnId="270"/>
      <queryTableField id="276" dataBound="0" tableColumnId="271"/>
      <queryTableField id="275" dataBound="0" tableColumnId="272"/>
      <queryTableField id="274" dataBound="0" tableColumnId="273"/>
      <queryTableField id="273" dataBound="0" tableColumnId="274"/>
      <queryTableField id="272" dataBound="0" tableColumnId="275"/>
      <queryTableField id="271" dataBound="0" tableColumnId="276"/>
      <queryTableField id="270" dataBound="0" tableColumnId="277"/>
      <queryTableField id="35" name="2(1)" tableColumnId="35"/>
      <queryTableField id="36" name="2(1)(a)" tableColumnId="36"/>
      <queryTableField id="37" name="2(1)(b)" tableColumnId="37"/>
      <queryTableField id="38" name="2(1)(b)(i)" tableColumnId="38"/>
      <queryTableField id="39" name="2(1)(b)(ii)" tableColumnId="39"/>
      <queryTableField id="40" name="2(2)" tableColumnId="40"/>
      <queryTableField id="41" name="2(2)(a)" tableColumnId="41"/>
      <queryTableField id="42" name="2(2)(b)" tableColumnId="42"/>
      <queryTableField id="43" name="2(2)(c)" tableColumnId="43"/>
      <queryTableField id="44" name="2(2)(d)" tableColumnId="44"/>
      <queryTableField id="45" name="2(2)(d)(i)" tableColumnId="45"/>
      <queryTableField id="46" name="2(2)(d)(ii)" tableColumnId="46"/>
      <queryTableField id="47" name="2(2)(e)" tableColumnId="47"/>
      <queryTableField id="48" name="2(2)(e)(i)" tableColumnId="48"/>
      <queryTableField id="49" name="2(2)(e)(ii)" tableColumnId="49"/>
      <queryTableField id="50" name="2(2)(e)(iii)" tableColumnId="50"/>
      <queryTableField id="51" name="2(2)(f)" tableColumnId="51"/>
      <queryTableField id="52" name="2(2)(g)" tableColumnId="52"/>
      <queryTableField id="53" name="2(2)(h)" tableColumnId="53"/>
      <queryTableField id="54" name="2(2)(i)" tableColumnId="54"/>
      <queryTableField id="55" name="3" tableColumnId="55"/>
      <queryTableField id="56" name="3(a)" tableColumnId="56"/>
      <queryTableField id="57" name="3(b)" tableColumnId="57"/>
      <queryTableField id="58" name="3(c)" tableColumnId="58"/>
      <queryTableField id="59" name="3(d)" tableColumnId="59"/>
      <queryTableField id="60" name="3(e)" tableColumnId="60"/>
      <queryTableField id="61" name="3(f)" tableColumnId="61"/>
      <queryTableField id="62" name="3(g)" tableColumnId="62"/>
      <queryTableField id="63" name="3(h)" tableColumnId="63"/>
      <queryTableField id="64" name="3(i)" tableColumnId="64"/>
      <queryTableField id="65" name="3(j)" tableColumnId="65"/>
      <queryTableField id="66" name="4" tableColumnId="66"/>
      <queryTableField id="67" name="5" tableColumnId="67"/>
      <queryTableField id="68" name="5(a)" tableColumnId="68"/>
      <queryTableField id="69" name="5(b)" tableColumnId="69"/>
      <queryTableField id="70" name="5(b)(i)" tableColumnId="70"/>
      <queryTableField id="71" name="5(b)(ii)" tableColumnId="71"/>
      <queryTableField id="72" name="5(b)(iii)" tableColumnId="72"/>
      <queryTableField id="73" name="5(b)(iv)" tableColumnId="73"/>
      <queryTableField id="74" name="5(b)(v)" tableColumnId="74"/>
      <queryTableField id="75" name="5(b)(vi)" tableColumnId="75"/>
      <queryTableField id="76" name="5(b)(vii)" tableColumnId="76"/>
      <queryTableField id="77" name="5(c)" tableColumnId="77"/>
      <queryTableField id="78" name="5(d)" tableColumnId="78"/>
      <queryTableField id="79" name="5(d)(i)" tableColumnId="79"/>
      <queryTableField id="80" name="5(d)(ii)" tableColumnId="80"/>
      <queryTableField id="81" name="5(d)(iii)" tableColumnId="81"/>
      <queryTableField id="82" name="7" tableColumnId="82"/>
      <queryTableField id="83" name="7(a)" tableColumnId="83"/>
      <queryTableField id="84" name="7(b)" tableColumnId="84"/>
      <queryTableField id="85" name="8" tableColumnId="85"/>
      <queryTableField id="86" name="8(a)" tableColumnId="86"/>
      <queryTableField id="87" name="8(b)" tableColumnId="87"/>
      <queryTableField id="88" name="9" tableColumnId="88"/>
      <queryTableField id="89" name="9(a)" tableColumnId="89"/>
      <queryTableField id="90" name="9(b)" tableColumnId="90"/>
      <queryTableField id="91" name="9(c)" tableColumnId="91"/>
      <queryTableField id="92" name="10" tableColumnId="92"/>
      <queryTableField id="93" name="11" tableColumnId="93"/>
      <queryTableField id="94" name="12" tableColumnId="94"/>
      <queryTableField id="95" name="13" tableColumnId="95"/>
      <queryTableField id="96" name="14" tableColumnId="96"/>
      <queryTableField id="97" name="15" tableColumnId="97"/>
      <queryTableField id="98" name="16" tableColumnId="98"/>
      <queryTableField id="99" name="16(a)" tableColumnId="99"/>
      <queryTableField id="100" name="16(b)" tableColumnId="100"/>
      <queryTableField id="101" name="18(2)" tableColumnId="101"/>
      <queryTableField id="102" name="18(2)(a)" tableColumnId="102"/>
      <queryTableField id="103" name="18(2)(b)" tableColumnId="103"/>
      <queryTableField id="104" name="18(2)(c)" tableColumnId="104"/>
      <queryTableField id="105" name="18(2)(c)(i)" tableColumnId="105"/>
      <queryTableField id="106" name="18(2)(c)(ii)" tableColumnId="106"/>
      <queryTableField id="107" name="18(2)(c)(iii)" tableColumnId="107"/>
      <queryTableField id="108" name="18(2)(c)(iv)" tableColumnId="108"/>
      <queryTableField id="109" name="18(2)(d)" tableColumnId="109"/>
      <queryTableField id="110" name="18(2)(e)" tableColumnId="110"/>
      <queryTableField id="111" name="18(2)(f)" tableColumnId="111"/>
      <queryTableField id="112" name="18(3)" tableColumnId="112"/>
      <queryTableField id="113" name="19(2)" tableColumnId="113"/>
      <queryTableField id="114" name="19(2)(a)" tableColumnId="114"/>
      <queryTableField id="115" name="19(2)(a)(i)" tableColumnId="115"/>
      <queryTableField id="116" name="19(2)(a)(i)(aa)" tableColumnId="116"/>
      <queryTableField id="117" name="19(2)(a)(i)(bb)" tableColumnId="117"/>
      <queryTableField id="118" name="19(2)(a)(i)(cc)" tableColumnId="118"/>
      <queryTableField id="119" name="19(2)(a)(ii)" tableColumnId="119"/>
      <queryTableField id="120" name="19(2)(b)" tableColumnId="120"/>
      <queryTableField id="121" name="19(2)(c)" tableColumnId="121"/>
      <queryTableField id="122" name="19(2)(d)" tableColumnId="122"/>
      <queryTableField id="123" name="19(2)(d)(i)" tableColumnId="123"/>
      <queryTableField id="124" name="19(2)(d)(ii)" tableColumnId="124"/>
      <queryTableField id="125" name="19(2)(e)" tableColumnId="125"/>
      <queryTableField id="126" name="19(3)" tableColumnId="126"/>
      <queryTableField id="127" name="20(6)" tableColumnId="127"/>
      <queryTableField id="128" name="20(6)(a)" tableColumnId="128"/>
      <queryTableField id="129" name="20(6)(a)(i)" tableColumnId="129"/>
      <queryTableField id="130" name="20(6)(a)(ii)" tableColumnId="130"/>
      <queryTableField id="131" name="20(6)(b)" tableColumnId="131"/>
      <queryTableField id="132" name="20(6)(b)(i)" tableColumnId="132"/>
      <queryTableField id="133" name="20(6)(b)(ii)" tableColumnId="133"/>
      <queryTableField id="134" name="20(6)(b)(iii)" tableColumnId="134"/>
      <queryTableField id="135" name="20(6)(c)" tableColumnId="135"/>
      <queryTableField id="136" name="21(1)" tableColumnId="136"/>
      <queryTableField id="137" name="21(2)" tableColumnId="137"/>
      <queryTableField id="138" name="21(3)" tableColumnId="138"/>
      <queryTableField id="139" name="21(3)(a)" tableColumnId="139"/>
      <queryTableField id="140" name="21(3)(a)(i)" tableColumnId="140"/>
      <queryTableField id="141" name="21(3)(a)(ii)" tableColumnId="141"/>
      <queryTableField id="142" name="21(3)(a)(iii)" tableColumnId="142"/>
      <queryTableField id="143" name="21(3)(a)(iv)" tableColumnId="143"/>
      <queryTableField id="144" name="21(3)(a)(v)" tableColumnId="144"/>
      <queryTableField id="145" name="21(3)(a)(vi)" tableColumnId="145"/>
      <queryTableField id="146" name="21(3)(a)(vii)" tableColumnId="146"/>
      <queryTableField id="147" name="21(3)(a)(viii)" tableColumnId="147"/>
      <queryTableField id="148" name="21(3)(b)" tableColumnId="148"/>
      <queryTableField id="149" name="21(4)" tableColumnId="149"/>
      <queryTableField id="150" name="21(5)" tableColumnId="150"/>
      <queryTableField id="151" name="21(5)(a)" tableColumnId="151"/>
      <queryTableField id="152" name="21(5)(a)(i)" tableColumnId="152"/>
      <queryTableField id="153" name="21(5)(a)(ii)" tableColumnId="153"/>
      <queryTableField id="154" name="21(5)(b)" tableColumnId="154"/>
      <queryTableField id="155" name="21(5)(c)" tableColumnId="155"/>
      <queryTableField id="156" name="21(6)" tableColumnId="156"/>
      <queryTableField id="157" name="21(7)" tableColumnId="157"/>
      <queryTableField id="158" name="21(7)(a)" tableColumnId="158"/>
      <queryTableField id="159" name="21(7)(b)" tableColumnId="159"/>
      <queryTableField id="160" name="23(1)" tableColumnId="160"/>
      <queryTableField id="161" name="23(1)(a)" tableColumnId="161"/>
      <queryTableField id="162" name="23(1)(b)" tableColumnId="162"/>
      <queryTableField id="163" name="23(1)(c)" tableColumnId="163"/>
      <queryTableField id="164" name="24(1)" tableColumnId="164"/>
      <queryTableField id="165" name="24(1)(a)" tableColumnId="165"/>
      <queryTableField id="166" name="24(1)(b)" tableColumnId="166"/>
      <queryTableField id="167" name="24(1)(c)" tableColumnId="167"/>
      <queryTableField id="168" name="24(2)" tableColumnId="168"/>
      <queryTableField id="169" name="25" tableColumnId="169"/>
      <queryTableField id="170" name="26" tableColumnId="170"/>
      <queryTableField id="171" name="27" tableColumnId="171"/>
      <queryTableField id="172" name="27(a)" tableColumnId="172"/>
      <queryTableField id="173" name="27(b)" tableColumnId="173"/>
      <queryTableField id="174" name="28(1)" tableColumnId="174"/>
      <queryTableField id="175" name="28(1)(a)" tableColumnId="175"/>
      <queryTableField id="176" name="28(1)(b)" tableColumnId="176"/>
      <queryTableField id="177" name="28(1)(c)" tableColumnId="177"/>
      <queryTableField id="178" name="28(1)(d)" tableColumnId="178"/>
      <queryTableField id="179" name="28(2)" tableColumnId="179"/>
      <queryTableField id="180" name="28(2)(a)" tableColumnId="180"/>
      <queryTableField id="181" name="28(2)(b)" tableColumnId="181"/>
      <queryTableField id="182" name="29(1)" tableColumnId="182"/>
      <queryTableField id="183" name="29(1)(a)" tableColumnId="183"/>
      <queryTableField id="184" name="29(1)(b)" tableColumnId="184"/>
      <queryTableField id="185" name="30" tableColumnId="185"/>
      <queryTableField id="186" name="32(1)" tableColumnId="186"/>
      <queryTableField id="187" name="32(1)(a)" tableColumnId="187"/>
      <queryTableField id="188" name="32(1)(b)" tableColumnId="188"/>
      <queryTableField id="189" name="32(1)(c)" tableColumnId="189"/>
      <queryTableField id="190" name="32(1)(d)" tableColumnId="190"/>
      <queryTableField id="191" name="32(1)(e)" tableColumnId="191"/>
      <queryTableField id="192" name="32(1)(f)" tableColumnId="192"/>
      <queryTableField id="193" name="32(1)(g)" tableColumnId="193"/>
      <queryTableField id="194" name="32(1)(h)" tableColumnId="194"/>
      <queryTableField id="195" name="32(1)(i)" tableColumnId="195"/>
      <queryTableField id="196" name="32(1)(j)" tableColumnId="196"/>
      <queryTableField id="197" name="32(2)" tableColumnId="197"/>
      <queryTableField id="198" name="32(2)(a)" tableColumnId="198"/>
      <queryTableField id="199" name="32(2)(b)" tableColumnId="199"/>
      <queryTableField id="200" name="32(2)(b)(i)" tableColumnId="200"/>
      <queryTableField id="201" name="32(2)(b)(ii)" tableColumnId="201"/>
      <queryTableField id="202" name="32(2)(c)" tableColumnId="202"/>
      <queryTableField id="203" name="32(2)(d)" tableColumnId="203"/>
      <queryTableField id="204" name="32(3)" tableColumnId="204"/>
      <queryTableField id="205" name="32(3)(a)" tableColumnId="205"/>
      <queryTableField id="206" name="32(3)(b)" tableColumnId="206"/>
      <queryTableField id="207" name="32(3)(c)" tableColumnId="207"/>
      <queryTableField id="208" name="32(3)(d)" tableColumnId="208"/>
      <queryTableField id="209" name="32(3)(e)" tableColumnId="209"/>
      <queryTableField id="210" name="32(3)(f)" tableColumnId="210"/>
      <queryTableField id="211" name="32(3)(g)" tableColumnId="211"/>
      <queryTableField id="212" name="32(4)" tableColumnId="212"/>
      <queryTableField id="213" name="32(4)(a)" tableColumnId="213"/>
      <queryTableField id="214" name="32(4)(b)" tableColumnId="214"/>
      <queryTableField id="215" name="32(4)(c)" tableColumnId="215"/>
      <queryTableField id="216" name="33" tableColumnId="216"/>
      <queryTableField id="217" name="33(a)" tableColumnId="217"/>
      <queryTableField id="218" name="33(b)" tableColumnId="218"/>
      <queryTableField id="219" name="33(c)" tableColumnId="219"/>
      <queryTableField id="220" name="33(d)" tableColumnId="220"/>
      <queryTableField id="221" name="33(e)" tableColumnId="221"/>
      <queryTableField id="222" name="33(f)" tableColumnId="222"/>
      <queryTableField id="223" name="33(g)" tableColumnId="223"/>
      <queryTableField id="224" name="33(h)" tableColumnId="224"/>
      <queryTableField id="225" name="33(i)" tableColumnId="225"/>
      <queryTableField id="226" name="33(i)(i)" tableColumnId="226"/>
      <queryTableField id="227" name="33(i)(ii)" tableColumnId="227"/>
      <queryTableField id="228" name="33(j)" tableColumnId="228"/>
      <queryTableField id="229" name="33(j)(i)" tableColumnId="229"/>
      <queryTableField id="230" name="33(j)(ii)" tableColumnId="230"/>
      <queryTableField id="231" name="33(k)" tableColumnId="231"/>
      <queryTableField id="232" name="34(1)" tableColumnId="232"/>
      <queryTableField id="233" name="34(1)(a)" tableColumnId="233"/>
      <queryTableField id="234" name="34(1)(b)" tableColumnId="234"/>
      <queryTableField id="235" name="34(1)(c)" tableColumnId="235"/>
      <queryTableField id="236" name="Safeguarding Procedure 1" tableColumnId="236"/>
      <queryTableField id="237" name="Safeguarding Procedure 2" tableColumnId="237"/>
      <queryTableField id="238" name="Safeguarding Procedure 3" tableColumnId="238"/>
      <queryTableField id="239" name="Schedule 10 Equality Act 2010" tableColumnId="239"/>
      <queryTableField id="240" name="Part 1. Quality of education provided - (Met)" tableColumnId="240"/>
      <queryTableField id="241" name="Part 1. Quality of education provided - (No response)" tableColumnId="241"/>
      <queryTableField id="242" name="Part 1. Quality of education provided - (Not applicable)" tableColumnId="242"/>
      <queryTableField id="243" name="Part 1. Quality of education provided - (Not met)" tableColumnId="243"/>
      <queryTableField id="244" name="Part 2. Spiritual, moral, social and cultural development of pupils - (Met)" tableColumnId="244"/>
      <queryTableField id="245" name="Part 2. Spiritual, moral, social and cultural development of pupils - (No response)" tableColumnId="245"/>
      <queryTableField id="246" name="Part 2. Spiritual, moral, social and cultural development of pupils - (Not applicable)" tableColumnId="246"/>
      <queryTableField id="247" name="Part 2. Spiritual, moral, social and cultural development of pupils - (Not met)" tableColumnId="247"/>
      <queryTableField id="248" name="Part 3. Welfare, health and safety of pupils - (Met)" tableColumnId="248"/>
      <queryTableField id="249" name="Part 3. Welfare, health and safety of pupils - (No response)" tableColumnId="249"/>
      <queryTableField id="250" name="Part 3. Welfare, health and safety of pupils - (Not applicable)" tableColumnId="250"/>
      <queryTableField id="251" name="Part 3. Welfare, health and safety of pupils - (Not met)" tableColumnId="251"/>
      <queryTableField id="252" name="Part 4. Suitability of staff, supply staff, and proprietors - (Met)" tableColumnId="252"/>
      <queryTableField id="253" name="Part 4. Suitability of staff, supply staff, and proprietors - (No response)" tableColumnId="253"/>
      <queryTableField id="254" name="Part 4. Suitability of staff, supply staff, and proprietors - (Not applicable)" tableColumnId="254"/>
      <queryTableField id="255" name="Part 4. Suitability of staff, supply staff, and proprietors - (Not met)" tableColumnId="255"/>
      <queryTableField id="256" name="Part 5. Premises of and accommodation at schools - (Met)" tableColumnId="256"/>
      <queryTableField id="257" name="Part 5. Premises of and accommodation at schools - (No response)" tableColumnId="257"/>
      <queryTableField id="258" name="Part 5. Premises of and accommodation at schools - (Not applicable)" tableColumnId="258"/>
      <queryTableField id="259" name="Part 5. Premises of and accommodation at schools - (Not met)" tableColumnId="259"/>
      <queryTableField id="260" name="Part 6. Provision of information - (Met)" tableColumnId="260"/>
      <queryTableField id="261" name="Part 6. Provision of information - (No response)" tableColumnId="261"/>
      <queryTableField id="262" name="Part 6. Provision of information - (Not applicable)" tableColumnId="262"/>
      <queryTableField id="263" name="Part 6. Provision of information - (Not met)" tableColumnId="263"/>
      <queryTableField id="264" name="Part 7. Manner in which complaints are handled - (Met)" tableColumnId="264"/>
      <queryTableField id="265" name="Part 7. Manner in which complaints are handled - (No response)" tableColumnId="265"/>
      <queryTableField id="266" name="Part 7. Manner in which complaints are handled - (Not met)" tableColumnId="266"/>
      <queryTableField id="267" name="Part 8. Quality of leadership in and management of schools - (Met)" tableColumnId="267"/>
      <queryTableField id="268" name="Part 8. Quality of leadership in and management of schools - (No response)" tableColumnId="268"/>
      <queryTableField id="269" name="Part 8. Quality of leadership in and management of schools - (Not met)" tableColumnId="269"/>
    </queryTableFields>
    <queryTableDeletedFields count="1">
      <deletedField name="Boarders"/>
    </queryTableDeletedFields>
  </queryTableRefresh>
</queryTable>
</file>

<file path=xl/queryTables/queryTable3.xml><?xml version="1.0" encoding="utf-8"?>
<queryTable xmlns="http://schemas.openxmlformats.org/spreadsheetml/2006/main" xmlns:mc="http://schemas.openxmlformats.org/markup-compatibility/2006" xmlns:xr16="http://schemas.microsoft.com/office/spreadsheetml/2017/revision16" mc:Ignorable="xr16" name="clu7sql1_ssdb REPORT vw_IE_External_MI_SON" connectionId="3" xr16:uid="{00000000-0016-0000-0900-000002000000}" autoFormatId="16" applyNumberFormats="0" applyBorderFormats="0" applyFontFormats="0" applyPatternFormats="0" applyAlignmentFormats="0" applyWidthHeightFormats="0">
  <queryTableRefresh nextId="41" unboundColumnsRight="7">
    <queryTableFields count="34">
      <queryTableField id="1" name="Report" tableColumnId="1"/>
      <queryTableField id="2" name="URN" tableColumnId="2"/>
      <queryTableField id="3" name="LAESTAB" tableColumnId="3"/>
      <queryTableField id="4" name="Provider name" tableColumnId="4"/>
      <queryTableField id="5" name="Provider type" tableColumnId="5"/>
      <queryTableField id="27" name="Provider open / closed status" tableColumnId="27"/>
      <queryTableField id="6" name="Religious character" tableColumnId="6"/>
      <queryTableField id="8" name="Boarders" tableColumnId="8"/>
      <queryTableField id="9" name="Special needs" tableColumnId="9"/>
      <queryTableField id="10" name="Inspectorate" tableColumnId="10"/>
      <queryTableField id="11" name="Ofsted region" tableColumnId="11"/>
      <queryTableField id="12" name="Region" tableColumnId="12"/>
      <queryTableField id="13" name="Local authority" tableColumnId="13"/>
      <queryTableField id="14" name="Postcode" tableColumnId="14"/>
      <queryTableField id="15" name="Inspection number" tableColumnId="15"/>
      <queryTableField id="16" name="First day of inspection" tableColumnId="16"/>
      <queryTableField id="17" name="Last day of inspection" tableColumnId="17"/>
      <queryTableField id="18" name="Publication date" tableColumnId="18"/>
      <queryTableField id="19" name="Inspection type" tableColumnId="19"/>
      <queryTableField id="20" name="Overall effectiveness" tableColumnId="20"/>
      <queryTableField id="28" name="Safeguarding is effective?" tableColumnId="28"/>
      <queryTableField id="21" name="Effectiveness of leadership and management" tableColumnId="21"/>
      <queryTableField id="22" name="Personal development, behaviour and welfare" tableColumnId="22"/>
      <queryTableField id="23" name="Quality of teaching" tableColumnId="23"/>
      <queryTableField id="24" dataBound="0" tableColumnId="24"/>
      <queryTableField id="25" name="Early years provision" tableColumnId="25"/>
      <queryTableField id="26" name="Sixth form provision" tableColumnId="26"/>
      <queryTableField id="31" dataBound="0" tableColumnId="29"/>
      <queryTableField id="33" dataBound="0" tableColumnId="30"/>
      <queryTableField id="38" dataBound="0" tableColumnId="31"/>
      <queryTableField id="37" dataBound="0" tableColumnId="32"/>
      <queryTableField id="36" dataBound="0" tableColumnId="33"/>
      <queryTableField id="35" dataBound="0" tableColumnId="34"/>
      <queryTableField id="34" dataBound="0" tableColumnId="35"/>
    </queryTableFields>
    <queryTableDeletedFields count="2">
      <deletedField name="Outcomes for pupils"/>
      <deletedField name="Religious ethos"/>
    </queryTableDeleted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clu7sql1_ssdb_REPORT_vw_IE_External_MI_InYear" displayName="Table_clu7sql1_ssdb_REPORT_vw_IE_External_MI_InYear" ref="A4:JQ146" tableType="queryTable" totalsRowShown="0" headerRowDxfId="2">
  <autoFilter ref="A4:JQ146" xr:uid="{00000000-0009-0000-0100-000001000000}"/>
  <tableColumns count="277">
    <tableColumn id="1" xr3:uid="{00000000-0010-0000-0000-000001000000}" uniqueName="1" name="Report" queryTableFieldId="1"/>
    <tableColumn id="2" xr3:uid="{00000000-0010-0000-0000-000002000000}" uniqueName="2" name="Organisation ID" queryTableFieldId="2"/>
    <tableColumn id="3" xr3:uid="{00000000-0010-0000-0000-000003000000}" uniqueName="3" name="URN" queryTableFieldId="3"/>
    <tableColumn id="4" xr3:uid="{00000000-0010-0000-0000-000004000000}" uniqueName="4" name="LAESTAB" queryTableFieldId="4"/>
    <tableColumn id="5" xr3:uid="{00000000-0010-0000-0000-000005000000}" uniqueName="5" name="Provider name" queryTableFieldId="5"/>
    <tableColumn id="6" xr3:uid="{00000000-0010-0000-0000-000006000000}" uniqueName="6" name="Provider type" queryTableFieldId="6"/>
    <tableColumn id="7" xr3:uid="{00000000-0010-0000-0000-000007000000}" uniqueName="7" name="Provider Group" queryTableFieldId="7"/>
    <tableColumn id="8" xr3:uid="{00000000-0010-0000-0000-000008000000}" uniqueName="8" name="Ofsted Region" queryTableFieldId="8"/>
    <tableColumn id="9" xr3:uid="{00000000-0010-0000-0000-000009000000}" uniqueName="9" name="Government Office Region" queryTableFieldId="9"/>
    <tableColumn id="10" xr3:uid="{00000000-0010-0000-0000-00000A000000}" uniqueName="10" name="Local Authority" queryTableFieldId="10"/>
    <tableColumn id="11" xr3:uid="{00000000-0010-0000-0000-00000B000000}" uniqueName="11" name="Postcode" queryTableFieldId="11"/>
    <tableColumn id="13" xr3:uid="{00000000-0010-0000-0000-00000D000000}" uniqueName="13" name="Religious character" queryTableFieldId="13"/>
    <tableColumn id="14" xr3:uid="{00000000-0010-0000-0000-00000E000000}" uniqueName="14" name="Religious character grouping" queryTableFieldId="14"/>
    <tableColumn id="15" xr3:uid="{00000000-0010-0000-0000-00000F000000}" uniqueName="15" name="Religious ethos" queryTableFieldId="15"/>
    <tableColumn id="16" xr3:uid="{00000000-0010-0000-0000-000010000000}" uniqueName="16" name="Special Needs" queryTableFieldId="16"/>
    <tableColumn id="17" xr3:uid="{00000000-0010-0000-0000-000011000000}" uniqueName="17" name="Inspectorate" queryTableFieldId="17"/>
    <tableColumn id="18" xr3:uid="{00000000-0010-0000-0000-000012000000}" uniqueName="18" name="Inspection number" queryTableFieldId="18"/>
    <tableColumn id="19" xr3:uid="{00000000-0010-0000-0000-000013000000}" uniqueName="19" name="First day of inspection" queryTableFieldId="19"/>
    <tableColumn id="20" xr3:uid="{00000000-0010-0000-0000-000014000000}" uniqueName="20" name="Last day of inspection" queryTableFieldId="20"/>
    <tableColumn id="21" xr3:uid="{00000000-0010-0000-0000-000015000000}" uniqueName="21" name="Publication date" queryTableFieldId="21"/>
    <tableColumn id="22" xr3:uid="{00000000-0010-0000-0000-000016000000}" uniqueName="22" name="Withheld/Withdrawn information date" queryTableFieldId="22"/>
    <tableColumn id="23" xr3:uid="{00000000-0010-0000-0000-000017000000}" uniqueName="23" name="Inspection type" queryTableFieldId="23"/>
    <tableColumn id="24" xr3:uid="{00000000-0010-0000-0000-000018000000}" uniqueName="24" name="Inspection grouping" queryTableFieldId="24"/>
    <tableColumn id="25" xr3:uid="{00000000-0010-0000-0000-000019000000}" uniqueName="25" name="Inspection Grouping Name" queryTableFieldId="25"/>
    <tableColumn id="26" xr3:uid="{00000000-0010-0000-0000-00001A000000}" uniqueName="26" name="Overall effectiveness" queryTableFieldId="26"/>
    <tableColumn id="27" xr3:uid="{00000000-0010-0000-0000-00001B000000}" uniqueName="27" name="Effectiveness of leadership and management" queryTableFieldId="27"/>
    <tableColumn id="28" xr3:uid="{00000000-0010-0000-0000-00001C000000}" uniqueName="28" name="Personal development, behaviour and welfare" queryTableFieldId="28"/>
    <tableColumn id="29" xr3:uid="{00000000-0010-0000-0000-00001D000000}" uniqueName="29" name="Quality of teaching" queryTableFieldId="29"/>
    <tableColumn id="30" xr3:uid="{00000000-0010-0000-0000-00001E000000}" uniqueName="30" name="Outcomes for pupils" queryTableFieldId="30"/>
    <tableColumn id="31" xr3:uid="{00000000-0010-0000-0000-00001F000000}" uniqueName="31" name="Early years provision" queryTableFieldId="31"/>
    <tableColumn id="32" xr3:uid="{00000000-0010-0000-0000-000020000000}" uniqueName="32" name="Sixth form provision" queryTableFieldId="32"/>
    <tableColumn id="33" xr3:uid="{00000000-0010-0000-0000-000021000000}" uniqueName="33" name="Safeguarding" queryTableFieldId="33"/>
    <tableColumn id="34" xr3:uid="{00000000-0010-0000-0000-000022000000}" uniqueName="34" name="Overall outcome" queryTableFieldId="34"/>
    <tableColumn id="270" xr3:uid="{00000000-0010-0000-0000-00000E010000}" uniqueName="270" name="OVERALL standards" queryTableFieldId="278"/>
    <tableColumn id="271" xr3:uid="{00000000-0010-0000-0000-00000F010000}" uniqueName="271" name="Part 1 overall" queryTableFieldId="277"/>
    <tableColumn id="272" xr3:uid="{00000000-0010-0000-0000-000010010000}" uniqueName="272" name="Part 2 overall" queryTableFieldId="276"/>
    <tableColumn id="273" xr3:uid="{00000000-0010-0000-0000-000011010000}" uniqueName="273" name="Part 3 overall" queryTableFieldId="275"/>
    <tableColumn id="274" xr3:uid="{00000000-0010-0000-0000-000012010000}" uniqueName="274" name="Part 4 overall" queryTableFieldId="274"/>
    <tableColumn id="275" xr3:uid="{00000000-0010-0000-0000-000013010000}" uniqueName="275" name="Part 5 overall" queryTableFieldId="273"/>
    <tableColumn id="276" xr3:uid="{00000000-0010-0000-0000-000014010000}" uniqueName="276" name="Part 6 overall" queryTableFieldId="272"/>
    <tableColumn id="277" xr3:uid="{00000000-0010-0000-0000-000015010000}" uniqueName="277" name="Part 7 overall" queryTableFieldId="271"/>
    <tableColumn id="278" xr3:uid="{00000000-0010-0000-0000-000016010000}" uniqueName="278" name="Part 8 overall" queryTableFieldId="270"/>
    <tableColumn id="35" xr3:uid="{00000000-0010-0000-0000-000023000000}" uniqueName="35" name="Independent Schools Standards: 2(1)" queryTableFieldId="35"/>
    <tableColumn id="36" xr3:uid="{00000000-0010-0000-0000-000024000000}" uniqueName="36" name="Independent Schools Standards: 2(1)(a)" queryTableFieldId="36"/>
    <tableColumn id="37" xr3:uid="{00000000-0010-0000-0000-000025000000}" uniqueName="37" name="Independent Schools Standards: 2(1)(b)" queryTableFieldId="37"/>
    <tableColumn id="38" xr3:uid="{00000000-0010-0000-0000-000026000000}" uniqueName="38" name="Independent Schools Standards: 2(1)(b)(i)" queryTableFieldId="38"/>
    <tableColumn id="39" xr3:uid="{00000000-0010-0000-0000-000027000000}" uniqueName="39" name="Independent Schools Standards: 2(1)(b)(ii)" queryTableFieldId="39"/>
    <tableColumn id="40" xr3:uid="{00000000-0010-0000-0000-000028000000}" uniqueName="40" name="Independent Schools Standards: 2(2)" queryTableFieldId="40"/>
    <tableColumn id="41" xr3:uid="{00000000-0010-0000-0000-000029000000}" uniqueName="41" name="Independent Schools Standards: 2(2)(a)" queryTableFieldId="41"/>
    <tableColumn id="42" xr3:uid="{00000000-0010-0000-0000-00002A000000}" uniqueName="42" name="Independent Schools Standards: 2(2)(b)" queryTableFieldId="42"/>
    <tableColumn id="43" xr3:uid="{00000000-0010-0000-0000-00002B000000}" uniqueName="43" name="Independent Schools Standards: 2(2)(c)" queryTableFieldId="43"/>
    <tableColumn id="44" xr3:uid="{00000000-0010-0000-0000-00002C000000}" uniqueName="44" name="Independent Schools Standards: 2(2)(d)" queryTableFieldId="44"/>
    <tableColumn id="45" xr3:uid="{00000000-0010-0000-0000-00002D000000}" uniqueName="45" name="Independent Schools Standards: 2(2)(d)(i)" queryTableFieldId="45"/>
    <tableColumn id="46" xr3:uid="{00000000-0010-0000-0000-00002E000000}" uniqueName="46" name="Independent Schools Standards: 2(2)(d)(ii)" queryTableFieldId="46"/>
    <tableColumn id="47" xr3:uid="{00000000-0010-0000-0000-00002F000000}" uniqueName="47" name="Independent Schools Standards: 2(2)(e)" queryTableFieldId="47"/>
    <tableColumn id="48" xr3:uid="{00000000-0010-0000-0000-000030000000}" uniqueName="48" name="Independent Schools Standards: 2(2)(e)(i)" queryTableFieldId="48"/>
    <tableColumn id="49" xr3:uid="{00000000-0010-0000-0000-000031000000}" uniqueName="49" name="Independent Schools Standards: 2(2)(e)(ii)" queryTableFieldId="49"/>
    <tableColumn id="50" xr3:uid="{00000000-0010-0000-0000-000032000000}" uniqueName="50" name="Independent Schools Standards: 2(2)(e)(iii)" queryTableFieldId="50"/>
    <tableColumn id="51" xr3:uid="{00000000-0010-0000-0000-000033000000}" uniqueName="51" name="Independent Schools Standards: 2(2)(f)" queryTableFieldId="51"/>
    <tableColumn id="52" xr3:uid="{00000000-0010-0000-0000-000034000000}" uniqueName="52" name="Independent Schools Standards: 2(2)(g)" queryTableFieldId="52"/>
    <tableColumn id="53" xr3:uid="{00000000-0010-0000-0000-000035000000}" uniqueName="53" name="Independent Schools Standards: 2(2)(h)" queryTableFieldId="53"/>
    <tableColumn id="54" xr3:uid="{00000000-0010-0000-0000-000036000000}" uniqueName="54" name="Independent Schools Standards: 2(2)(i)" queryTableFieldId="54"/>
    <tableColumn id="55" xr3:uid="{00000000-0010-0000-0000-000037000000}" uniqueName="55" name="Independent Schools Standards: 3" queryTableFieldId="55"/>
    <tableColumn id="56" xr3:uid="{00000000-0010-0000-0000-000038000000}" uniqueName="56" name="Independent Schools Standards: 3(a)" queryTableFieldId="56"/>
    <tableColumn id="57" xr3:uid="{00000000-0010-0000-0000-000039000000}" uniqueName="57" name="Independent Schools Standards: 3(b)" queryTableFieldId="57"/>
    <tableColumn id="58" xr3:uid="{00000000-0010-0000-0000-00003A000000}" uniqueName="58" name="Independent Schools Standards: 3(c)" queryTableFieldId="58"/>
    <tableColumn id="59" xr3:uid="{00000000-0010-0000-0000-00003B000000}" uniqueName="59" name="Independent Schools Standards: 3(d)" queryTableFieldId="59"/>
    <tableColumn id="60" xr3:uid="{00000000-0010-0000-0000-00003C000000}" uniqueName="60" name="Independent Schools Standards: 3(e)" queryTableFieldId="60"/>
    <tableColumn id="61" xr3:uid="{00000000-0010-0000-0000-00003D000000}" uniqueName="61" name="Independent Schools Standards: 3(f)" queryTableFieldId="61"/>
    <tableColumn id="62" xr3:uid="{00000000-0010-0000-0000-00003E000000}" uniqueName="62" name="Independent Schools Standards: 3(g)" queryTableFieldId="62"/>
    <tableColumn id="63" xr3:uid="{00000000-0010-0000-0000-00003F000000}" uniqueName="63" name="Independent Schools Standards: 3(h)" queryTableFieldId="63"/>
    <tableColumn id="64" xr3:uid="{00000000-0010-0000-0000-000040000000}" uniqueName="64" name="Independent Schools Standards: 3(i)" queryTableFieldId="64"/>
    <tableColumn id="65" xr3:uid="{00000000-0010-0000-0000-000041000000}" uniqueName="65" name="Independent Schools Standards: 3(j)" queryTableFieldId="65"/>
    <tableColumn id="66" xr3:uid="{00000000-0010-0000-0000-000042000000}" uniqueName="66" name="Independent Schools Standards: 4" queryTableFieldId="66"/>
    <tableColumn id="67" xr3:uid="{00000000-0010-0000-0000-000043000000}" uniqueName="67" name="Independent Schools Standards: 5" queryTableFieldId="67"/>
    <tableColumn id="68" xr3:uid="{00000000-0010-0000-0000-000044000000}" uniqueName="68" name="Independent Schools Standards: 5(a)" queryTableFieldId="68"/>
    <tableColumn id="69" xr3:uid="{00000000-0010-0000-0000-000045000000}" uniqueName="69" name="Independent Schools Standards: 5(b)" queryTableFieldId="69"/>
    <tableColumn id="70" xr3:uid="{00000000-0010-0000-0000-000046000000}" uniqueName="70" name="Independent Schools Standards: 5(b)(i)" queryTableFieldId="70"/>
    <tableColumn id="71" xr3:uid="{00000000-0010-0000-0000-000047000000}" uniqueName="71" name="Independent Schools Standards: 5(b)(ii)" queryTableFieldId="71"/>
    <tableColumn id="72" xr3:uid="{00000000-0010-0000-0000-000048000000}" uniqueName="72" name="Independent Schools Standards: 5(b)(iii)" queryTableFieldId="72"/>
    <tableColumn id="73" xr3:uid="{00000000-0010-0000-0000-000049000000}" uniqueName="73" name="Independent Schools Standards: 5(b)(iv)" queryTableFieldId="73"/>
    <tableColumn id="74" xr3:uid="{00000000-0010-0000-0000-00004A000000}" uniqueName="74" name="Independent Schools Standards: 5(b)(v)" queryTableFieldId="74"/>
    <tableColumn id="75" xr3:uid="{00000000-0010-0000-0000-00004B000000}" uniqueName="75" name="Independent Schools Standards: 5(b)(vi)" queryTableFieldId="75"/>
    <tableColumn id="76" xr3:uid="{00000000-0010-0000-0000-00004C000000}" uniqueName="76" name="Independent Schools Standards: 5(b)(vii)" queryTableFieldId="76"/>
    <tableColumn id="77" xr3:uid="{00000000-0010-0000-0000-00004D000000}" uniqueName="77" name="Independent Schools Standards: 5(c)" queryTableFieldId="77"/>
    <tableColumn id="78" xr3:uid="{00000000-0010-0000-0000-00004E000000}" uniqueName="78" name="Independent Schools Standards: 5(d)" queryTableFieldId="78"/>
    <tableColumn id="79" xr3:uid="{00000000-0010-0000-0000-00004F000000}" uniqueName="79" name="Independent Schools Standards: 5(d)(i)" queryTableFieldId="79"/>
    <tableColumn id="80" xr3:uid="{00000000-0010-0000-0000-000050000000}" uniqueName="80" name="Independent Schools Standards: 5(d)(ii)" queryTableFieldId="80"/>
    <tableColumn id="81" xr3:uid="{00000000-0010-0000-0000-000051000000}" uniqueName="81" name="Independent Schools Standards: 5(d)(iii)" queryTableFieldId="81"/>
    <tableColumn id="82" xr3:uid="{00000000-0010-0000-0000-000052000000}" uniqueName="82" name="Independent Schools Standards: 7" queryTableFieldId="82"/>
    <tableColumn id="83" xr3:uid="{00000000-0010-0000-0000-000053000000}" uniqueName="83" name="Independent Schools Standards: 7(a)" queryTableFieldId="83"/>
    <tableColumn id="84" xr3:uid="{00000000-0010-0000-0000-000054000000}" uniqueName="84" name="Independent Schools Standards: 7(b)" queryTableFieldId="84"/>
    <tableColumn id="85" xr3:uid="{00000000-0010-0000-0000-000055000000}" uniqueName="85" name="Independent Schools Standards: 8" queryTableFieldId="85"/>
    <tableColumn id="86" xr3:uid="{00000000-0010-0000-0000-000056000000}" uniqueName="86" name="Independent Schools Standards: 8(a)" queryTableFieldId="86"/>
    <tableColumn id="87" xr3:uid="{00000000-0010-0000-0000-000057000000}" uniqueName="87" name="Independent Schools Standards: 8(b)" queryTableFieldId="87"/>
    <tableColumn id="88" xr3:uid="{00000000-0010-0000-0000-000058000000}" uniqueName="88" name="Independent Schools Standards: 9" queryTableFieldId="88"/>
    <tableColumn id="89" xr3:uid="{00000000-0010-0000-0000-000059000000}" uniqueName="89" name="Independent Schools Standards: 9(a)" queryTableFieldId="89"/>
    <tableColumn id="90" xr3:uid="{00000000-0010-0000-0000-00005A000000}" uniqueName="90" name="Independent Schools Standards: 9(b)" queryTableFieldId="90"/>
    <tableColumn id="91" xr3:uid="{00000000-0010-0000-0000-00005B000000}" uniqueName="91" name="Independent Schools Standards: 9(c)" queryTableFieldId="91"/>
    <tableColumn id="92" xr3:uid="{00000000-0010-0000-0000-00005C000000}" uniqueName="92" name="Independent Schools Standards: 10" queryTableFieldId="92"/>
    <tableColumn id="93" xr3:uid="{00000000-0010-0000-0000-00005D000000}" uniqueName="93" name="Independent Schools Standards: 11" queryTableFieldId="93"/>
    <tableColumn id="94" xr3:uid="{00000000-0010-0000-0000-00005E000000}" uniqueName="94" name="Independent Schools Standards: 12" queryTableFieldId="94"/>
    <tableColumn id="95" xr3:uid="{00000000-0010-0000-0000-00005F000000}" uniqueName="95" name="Independent Schools Standards: 13" queryTableFieldId="95"/>
    <tableColumn id="96" xr3:uid="{00000000-0010-0000-0000-000060000000}" uniqueName="96" name="Independent Schools Standards: 14" queryTableFieldId="96"/>
    <tableColumn id="97" xr3:uid="{00000000-0010-0000-0000-000061000000}" uniqueName="97" name="Independent Schools Standards: 15" queryTableFieldId="97"/>
    <tableColumn id="98" xr3:uid="{00000000-0010-0000-0000-000062000000}" uniqueName="98" name="Independent Schools Standards: 16" queryTableFieldId="98"/>
    <tableColumn id="99" xr3:uid="{00000000-0010-0000-0000-000063000000}" uniqueName="99" name="Independent Schools Standards: 16(a)" queryTableFieldId="99"/>
    <tableColumn id="100" xr3:uid="{00000000-0010-0000-0000-000064000000}" uniqueName="100" name="Independent Schools Standards: 16(b)" queryTableFieldId="100"/>
    <tableColumn id="101" xr3:uid="{00000000-0010-0000-0000-000065000000}" uniqueName="101" name="Independent Schools Standards: 18(2)" queryTableFieldId="101"/>
    <tableColumn id="102" xr3:uid="{00000000-0010-0000-0000-000066000000}" uniqueName="102" name="Independent Schools Standards: 18(2)(a)" queryTableFieldId="102"/>
    <tableColumn id="103" xr3:uid="{00000000-0010-0000-0000-000067000000}" uniqueName="103" name="Independent Schools Standards: 18(2)(b)" queryTableFieldId="103"/>
    <tableColumn id="104" xr3:uid="{00000000-0010-0000-0000-000068000000}" uniqueName="104" name="Independent Schools Standards: 18(2)(c)" queryTableFieldId="104"/>
    <tableColumn id="105" xr3:uid="{00000000-0010-0000-0000-000069000000}" uniqueName="105" name="Independent Schools Standards: 18(2)(c)(i)" queryTableFieldId="105"/>
    <tableColumn id="106" xr3:uid="{00000000-0010-0000-0000-00006A000000}" uniqueName="106" name="Independent Schools Standards: 18(2)(c)(ii)" queryTableFieldId="106"/>
    <tableColumn id="107" xr3:uid="{00000000-0010-0000-0000-00006B000000}" uniqueName="107" name="Independent Schools Standards: 18(2)(c)(iii)" queryTableFieldId="107"/>
    <tableColumn id="108" xr3:uid="{00000000-0010-0000-0000-00006C000000}" uniqueName="108" name="Independent Schools Standards: 18(2)(c)(iv)" queryTableFieldId="108"/>
    <tableColumn id="109" xr3:uid="{00000000-0010-0000-0000-00006D000000}" uniqueName="109" name="Independent Schools Standards: 18(2)(d)" queryTableFieldId="109"/>
    <tableColumn id="110" xr3:uid="{00000000-0010-0000-0000-00006E000000}" uniqueName="110" name="Independent Schools Standards: 18(2)(e)" queryTableFieldId="110"/>
    <tableColumn id="111" xr3:uid="{00000000-0010-0000-0000-00006F000000}" uniqueName="111" name="Independent Schools Standards: 18(2)(f)" queryTableFieldId="111"/>
    <tableColumn id="112" xr3:uid="{00000000-0010-0000-0000-000070000000}" uniqueName="112" name="Independent Schools Standards: 18(3)" queryTableFieldId="112"/>
    <tableColumn id="113" xr3:uid="{00000000-0010-0000-0000-000071000000}" uniqueName="113" name="Independent Schools Standards: 19(2)" queryTableFieldId="113"/>
    <tableColumn id="114" xr3:uid="{00000000-0010-0000-0000-000072000000}" uniqueName="114" name="Independent Schools Standards: 19(2)(a)" queryTableFieldId="114"/>
    <tableColumn id="115" xr3:uid="{00000000-0010-0000-0000-000073000000}" uniqueName="115" name="Independent Schools Standards: 19(2)(a)(i)" queryTableFieldId="115"/>
    <tableColumn id="116" xr3:uid="{00000000-0010-0000-0000-000074000000}" uniqueName="116" name="Independent Schools Standards: 19(2)(a)(i)(aa)" queryTableFieldId="116"/>
    <tableColumn id="117" xr3:uid="{00000000-0010-0000-0000-000075000000}" uniqueName="117" name="Independent Schools Standards: 19(2)(a)(i)(bb)" queryTableFieldId="117"/>
    <tableColumn id="118" xr3:uid="{00000000-0010-0000-0000-000076000000}" uniqueName="118" name="Independent Schools Standards: 19(2)(a)(i)(cc)" queryTableFieldId="118"/>
    <tableColumn id="119" xr3:uid="{00000000-0010-0000-0000-000077000000}" uniqueName="119" name="Independent Schools Standards: 19(2)(a)(ii)" queryTableFieldId="119"/>
    <tableColumn id="120" xr3:uid="{00000000-0010-0000-0000-000078000000}" uniqueName="120" name="Independent Schools Standards: 19(2)(b)" queryTableFieldId="120"/>
    <tableColumn id="121" xr3:uid="{00000000-0010-0000-0000-000079000000}" uniqueName="121" name="Independent Schools Standards: 19(2)(c)" queryTableFieldId="121"/>
    <tableColumn id="122" xr3:uid="{00000000-0010-0000-0000-00007A000000}" uniqueName="122" name="Independent Schools Standards: 19(2)(d)" queryTableFieldId="122"/>
    <tableColumn id="123" xr3:uid="{00000000-0010-0000-0000-00007B000000}" uniqueName="123" name="Independent Schools Standards: 19(2)(d)(i)" queryTableFieldId="123"/>
    <tableColumn id="124" xr3:uid="{00000000-0010-0000-0000-00007C000000}" uniqueName="124" name="Independent Schools Standards: 19(2)(d)(ii)" queryTableFieldId="124"/>
    <tableColumn id="125" xr3:uid="{00000000-0010-0000-0000-00007D000000}" uniqueName="125" name="Independent Schools Standards: 19(2)(e)" queryTableFieldId="125"/>
    <tableColumn id="126" xr3:uid="{00000000-0010-0000-0000-00007E000000}" uniqueName="126" name="Independent Schools Standards: 19(3)" queryTableFieldId="126"/>
    <tableColumn id="127" xr3:uid="{00000000-0010-0000-0000-00007F000000}" uniqueName="127" name="Independent Schools Standards: 20(6)" queryTableFieldId="127"/>
    <tableColumn id="128" xr3:uid="{00000000-0010-0000-0000-000080000000}" uniqueName="128" name="Independent Schools Standards: 20(6)(a)" queryTableFieldId="128"/>
    <tableColumn id="129" xr3:uid="{00000000-0010-0000-0000-000081000000}" uniqueName="129" name="Independent Schools Standards: 20(6)(a)(i)" queryTableFieldId="129"/>
    <tableColumn id="130" xr3:uid="{00000000-0010-0000-0000-000082000000}" uniqueName="130" name="Independent Schools Standards: 20(6)(a)(ii)" queryTableFieldId="130"/>
    <tableColumn id="131" xr3:uid="{00000000-0010-0000-0000-000083000000}" uniqueName="131" name="Independent Schools Standards: 20(6)(b)" queryTableFieldId="131"/>
    <tableColumn id="132" xr3:uid="{00000000-0010-0000-0000-000084000000}" uniqueName="132" name="Independent Schools Standards: 20(6)(b)(i)" queryTableFieldId="132"/>
    <tableColumn id="133" xr3:uid="{00000000-0010-0000-0000-000085000000}" uniqueName="133" name="Independent Schools Standards: 20(6)(b)(ii)" queryTableFieldId="133"/>
    <tableColumn id="134" xr3:uid="{00000000-0010-0000-0000-000086000000}" uniqueName="134" name="Independent Schools Standards: 20(6)(b)(iii)" queryTableFieldId="134"/>
    <tableColumn id="135" xr3:uid="{00000000-0010-0000-0000-000087000000}" uniqueName="135" name="Independent Schools Standards: 20(6)(c)" queryTableFieldId="135"/>
    <tableColumn id="136" xr3:uid="{00000000-0010-0000-0000-000088000000}" uniqueName="136" name="Independent Schools Standards: 21(1)" queryTableFieldId="136"/>
    <tableColumn id="137" xr3:uid="{00000000-0010-0000-0000-000089000000}" uniqueName="137" name="Independent Schools Standards: 21(2)" queryTableFieldId="137"/>
    <tableColumn id="138" xr3:uid="{00000000-0010-0000-0000-00008A000000}" uniqueName="138" name="Independent Schools Standards: 21(3)" queryTableFieldId="138"/>
    <tableColumn id="139" xr3:uid="{00000000-0010-0000-0000-00008B000000}" uniqueName="139" name="Independent Schools Standards: 21(3)(a)" queryTableFieldId="139"/>
    <tableColumn id="140" xr3:uid="{00000000-0010-0000-0000-00008C000000}" uniqueName="140" name="Independent Schools Standards: 21(3)(a)(i)" queryTableFieldId="140"/>
    <tableColumn id="141" xr3:uid="{00000000-0010-0000-0000-00008D000000}" uniqueName="141" name="Independent Schools Standards: 21(3)(a)(ii)" queryTableFieldId="141"/>
    <tableColumn id="142" xr3:uid="{00000000-0010-0000-0000-00008E000000}" uniqueName="142" name="Independent Schools Standards: 21(3)(a)(iii)" queryTableFieldId="142"/>
    <tableColumn id="143" xr3:uid="{00000000-0010-0000-0000-00008F000000}" uniqueName="143" name="Independent Schools Standards: 21(3)(a)(iv)" queryTableFieldId="143"/>
    <tableColumn id="144" xr3:uid="{00000000-0010-0000-0000-000090000000}" uniqueName="144" name="Independent Schools Standards: 21(3)(a)(v)" queryTableFieldId="144"/>
    <tableColumn id="145" xr3:uid="{00000000-0010-0000-0000-000091000000}" uniqueName="145" name="Independent Schools Standards: 21(3)(a)(vi)" queryTableFieldId="145"/>
    <tableColumn id="146" xr3:uid="{00000000-0010-0000-0000-000092000000}" uniqueName="146" name="Independent Schools Standards: 21(3)(a)(vii)" queryTableFieldId="146"/>
    <tableColumn id="147" xr3:uid="{00000000-0010-0000-0000-000093000000}" uniqueName="147" name="Independent Schools Standards: 21(3)(a)(viii)" queryTableFieldId="147"/>
    <tableColumn id="148" xr3:uid="{00000000-0010-0000-0000-000094000000}" uniqueName="148" name="Independent Schools Standards: 21(3)(b)" queryTableFieldId="148"/>
    <tableColumn id="149" xr3:uid="{00000000-0010-0000-0000-000095000000}" uniqueName="149" name="Independent Schools Standards: 21(4)" queryTableFieldId="149"/>
    <tableColumn id="150" xr3:uid="{00000000-0010-0000-0000-000096000000}" uniqueName="150" name="Independent Schools Standards: 21(5)" queryTableFieldId="150"/>
    <tableColumn id="151" xr3:uid="{00000000-0010-0000-0000-000097000000}" uniqueName="151" name="Independent Schools Standards: 21(5)(a)" queryTableFieldId="151"/>
    <tableColumn id="152" xr3:uid="{00000000-0010-0000-0000-000098000000}" uniqueName="152" name="Independent Schools Standards: 21(5)(a)(i)" queryTableFieldId="152"/>
    <tableColumn id="153" xr3:uid="{00000000-0010-0000-0000-000099000000}" uniqueName="153" name="Independent Schools Standards: 21(5)(a)(ii)" queryTableFieldId="153"/>
    <tableColumn id="154" xr3:uid="{00000000-0010-0000-0000-00009A000000}" uniqueName="154" name="Independent Schools Standards: 21(5)(b)" queryTableFieldId="154"/>
    <tableColumn id="155" xr3:uid="{00000000-0010-0000-0000-00009B000000}" uniqueName="155" name="Independent Schools Standards: 21(5)(c)" queryTableFieldId="155"/>
    <tableColumn id="156" xr3:uid="{00000000-0010-0000-0000-00009C000000}" uniqueName="156" name="Independent Schools Standards: 21(6)" queryTableFieldId="156"/>
    <tableColumn id="157" xr3:uid="{00000000-0010-0000-0000-00009D000000}" uniqueName="157" name="Independent Schools Standards: 21(7)" queryTableFieldId="157"/>
    <tableColumn id="158" xr3:uid="{00000000-0010-0000-0000-00009E000000}" uniqueName="158" name="Independent Schools Standards: 21(7)(a)" queryTableFieldId="158"/>
    <tableColumn id="159" xr3:uid="{00000000-0010-0000-0000-00009F000000}" uniqueName="159" name="Independent Schools Standards: 21(7)(b)" queryTableFieldId="159"/>
    <tableColumn id="160" xr3:uid="{00000000-0010-0000-0000-0000A0000000}" uniqueName="160" name="Independent Schools Standards: 23(1)" queryTableFieldId="160"/>
    <tableColumn id="161" xr3:uid="{00000000-0010-0000-0000-0000A1000000}" uniqueName="161" name="Independent Schools Standards: 23(1)(a)" queryTableFieldId="161"/>
    <tableColumn id="162" xr3:uid="{00000000-0010-0000-0000-0000A2000000}" uniqueName="162" name="Independent Schools Standards: 23(1)(b)" queryTableFieldId="162"/>
    <tableColumn id="163" xr3:uid="{00000000-0010-0000-0000-0000A3000000}" uniqueName="163" name="Independent Schools Standards: 23(1)(c)" queryTableFieldId="163"/>
    <tableColumn id="164" xr3:uid="{00000000-0010-0000-0000-0000A4000000}" uniqueName="164" name="Independent Schools Standards: 24(1)" queryTableFieldId="164"/>
    <tableColumn id="165" xr3:uid="{00000000-0010-0000-0000-0000A5000000}" uniqueName="165" name="Independent Schools Standards: 24(1)(a)" queryTableFieldId="165"/>
    <tableColumn id="166" xr3:uid="{00000000-0010-0000-0000-0000A6000000}" uniqueName="166" name="Independent Schools Standards: 24(1)(b)" queryTableFieldId="166"/>
    <tableColumn id="167" xr3:uid="{00000000-0010-0000-0000-0000A7000000}" uniqueName="167" name="Independent Schools Standards: 24(1)(c)" queryTableFieldId="167"/>
    <tableColumn id="168" xr3:uid="{00000000-0010-0000-0000-0000A8000000}" uniqueName="168" name="Independent Schools Standards: 24(2)" queryTableFieldId="168"/>
    <tableColumn id="169" xr3:uid="{00000000-0010-0000-0000-0000A9000000}" uniqueName="169" name="Independent Schools Standards: 25" queryTableFieldId="169"/>
    <tableColumn id="170" xr3:uid="{00000000-0010-0000-0000-0000AA000000}" uniqueName="170" name="Independent Schools Standards: 26" queryTableFieldId="170"/>
    <tableColumn id="171" xr3:uid="{00000000-0010-0000-0000-0000AB000000}" uniqueName="171" name="Independent Schools Standards: 27" queryTableFieldId="171"/>
    <tableColumn id="172" xr3:uid="{00000000-0010-0000-0000-0000AC000000}" uniqueName="172" name="Independent Schools Standards: 27(a)" queryTableFieldId="172"/>
    <tableColumn id="173" xr3:uid="{00000000-0010-0000-0000-0000AD000000}" uniqueName="173" name="Independent Schools Standards: 27(b)" queryTableFieldId="173"/>
    <tableColumn id="174" xr3:uid="{00000000-0010-0000-0000-0000AE000000}" uniqueName="174" name="Independent Schools Standards: 28(1)" queryTableFieldId="174"/>
    <tableColumn id="175" xr3:uid="{00000000-0010-0000-0000-0000AF000000}" uniqueName="175" name="Independent Schools Standards: 28(1)(a)" queryTableFieldId="175"/>
    <tableColumn id="176" xr3:uid="{00000000-0010-0000-0000-0000B0000000}" uniqueName="176" name="Independent Schools Standards: 28(1)(b)" queryTableFieldId="176"/>
    <tableColumn id="177" xr3:uid="{00000000-0010-0000-0000-0000B1000000}" uniqueName="177" name="Independent Schools Standards: 28(1)(c)" queryTableFieldId="177"/>
    <tableColumn id="178" xr3:uid="{00000000-0010-0000-0000-0000B2000000}" uniqueName="178" name="Independent Schools Standards: 28(1)(d)" queryTableFieldId="178"/>
    <tableColumn id="179" xr3:uid="{00000000-0010-0000-0000-0000B3000000}" uniqueName="179" name="Independent Schools Standards: 28(2)" queryTableFieldId="179"/>
    <tableColumn id="180" xr3:uid="{00000000-0010-0000-0000-0000B4000000}" uniqueName="180" name="Independent Schools Standards: 28(2)(a)" queryTableFieldId="180"/>
    <tableColumn id="181" xr3:uid="{00000000-0010-0000-0000-0000B5000000}" uniqueName="181" name="Independent Schools Standards: 28(2)(b)" queryTableFieldId="181"/>
    <tableColumn id="182" xr3:uid="{00000000-0010-0000-0000-0000B6000000}" uniqueName="182" name="Independent Schools Standards: 29(1)" queryTableFieldId="182"/>
    <tableColumn id="183" xr3:uid="{00000000-0010-0000-0000-0000B7000000}" uniqueName="183" name="Independent Schools Standards: 29(1)(a)" queryTableFieldId="183"/>
    <tableColumn id="184" xr3:uid="{00000000-0010-0000-0000-0000B8000000}" uniqueName="184" name="Independent Schools Standards: 29(1)(b)" queryTableFieldId="184"/>
    <tableColumn id="185" xr3:uid="{00000000-0010-0000-0000-0000B9000000}" uniqueName="185" name="Independent Schools Standards: 30" queryTableFieldId="185"/>
    <tableColumn id="186" xr3:uid="{00000000-0010-0000-0000-0000BA000000}" uniqueName="186" name="Independent Schools Standards: 32(1)" queryTableFieldId="186"/>
    <tableColumn id="187" xr3:uid="{00000000-0010-0000-0000-0000BB000000}" uniqueName="187" name="Independent Schools Standards: 32(1)(a)" queryTableFieldId="187"/>
    <tableColumn id="188" xr3:uid="{00000000-0010-0000-0000-0000BC000000}" uniqueName="188" name="Independent Schools Standards: 32(1)(b)" queryTableFieldId="188"/>
    <tableColumn id="189" xr3:uid="{00000000-0010-0000-0000-0000BD000000}" uniqueName="189" name="Independent Schools Standards: 32(1)(c)" queryTableFieldId="189"/>
    <tableColumn id="190" xr3:uid="{00000000-0010-0000-0000-0000BE000000}" uniqueName="190" name="Independent Schools Standards: 32(1)(d)" queryTableFieldId="190"/>
    <tableColumn id="191" xr3:uid="{00000000-0010-0000-0000-0000BF000000}" uniqueName="191" name="Independent Schools Standards: 32(1)(e)" queryTableFieldId="191"/>
    <tableColumn id="192" xr3:uid="{00000000-0010-0000-0000-0000C0000000}" uniqueName="192" name="Independent Schools Standards: 32(1)(f)" queryTableFieldId="192"/>
    <tableColumn id="193" xr3:uid="{00000000-0010-0000-0000-0000C1000000}" uniqueName="193" name="Independent Schools Standards: 32(1)(g)" queryTableFieldId="193"/>
    <tableColumn id="194" xr3:uid="{00000000-0010-0000-0000-0000C2000000}" uniqueName="194" name="Independent Schools Standards: 32(1)(h)" queryTableFieldId="194"/>
    <tableColumn id="195" xr3:uid="{00000000-0010-0000-0000-0000C3000000}" uniqueName="195" name="Independent Schools Standards: 32(1)(i)" queryTableFieldId="195"/>
    <tableColumn id="196" xr3:uid="{00000000-0010-0000-0000-0000C4000000}" uniqueName="196" name="Independent Schools Standards: 32(1)(j)" queryTableFieldId="196"/>
    <tableColumn id="197" xr3:uid="{00000000-0010-0000-0000-0000C5000000}" uniqueName="197" name="Independent Schools Standards: 32(2)" queryTableFieldId="197"/>
    <tableColumn id="198" xr3:uid="{00000000-0010-0000-0000-0000C6000000}" uniqueName="198" name="Independent Schools Standards: 32(2)(a)" queryTableFieldId="198"/>
    <tableColumn id="199" xr3:uid="{00000000-0010-0000-0000-0000C7000000}" uniqueName="199" name="Independent Schools Standards: 32(2)(b)" queryTableFieldId="199"/>
    <tableColumn id="200" xr3:uid="{00000000-0010-0000-0000-0000C8000000}" uniqueName="200" name="Independent Schools Standards: 32(2)(b)(i)" queryTableFieldId="200"/>
    <tableColumn id="201" xr3:uid="{00000000-0010-0000-0000-0000C9000000}" uniqueName="201" name="Independent Schools Standards: 32(2)(b)(ii)" queryTableFieldId="201"/>
    <tableColumn id="202" xr3:uid="{00000000-0010-0000-0000-0000CA000000}" uniqueName="202" name="Independent Schools Standards: 32(2)(c)" queryTableFieldId="202"/>
    <tableColumn id="203" xr3:uid="{00000000-0010-0000-0000-0000CB000000}" uniqueName="203" name="Independent Schools Standards: 32(2)(d)" queryTableFieldId="203"/>
    <tableColumn id="204" xr3:uid="{00000000-0010-0000-0000-0000CC000000}" uniqueName="204" name="Independent Schools Standards: 32(3)" queryTableFieldId="204"/>
    <tableColumn id="205" xr3:uid="{00000000-0010-0000-0000-0000CD000000}" uniqueName="205" name="Independent Schools Standards: 32(3)(a)" queryTableFieldId="205"/>
    <tableColumn id="206" xr3:uid="{00000000-0010-0000-0000-0000CE000000}" uniqueName="206" name="Independent Schools Standards: 32(3)(b)" queryTableFieldId="206"/>
    <tableColumn id="207" xr3:uid="{00000000-0010-0000-0000-0000CF000000}" uniqueName="207" name="Independent Schools Standards: 32(3)(c)" queryTableFieldId="207"/>
    <tableColumn id="208" xr3:uid="{00000000-0010-0000-0000-0000D0000000}" uniqueName="208" name="Independent Schools Standards: 32(3)(d)" queryTableFieldId="208"/>
    <tableColumn id="209" xr3:uid="{00000000-0010-0000-0000-0000D1000000}" uniqueName="209" name="Independent Schools Standards: 32(3)(e)" queryTableFieldId="209"/>
    <tableColumn id="210" xr3:uid="{00000000-0010-0000-0000-0000D2000000}" uniqueName="210" name="Independent Schools Standards: 32(3)(f)" queryTableFieldId="210"/>
    <tableColumn id="211" xr3:uid="{00000000-0010-0000-0000-0000D3000000}" uniqueName="211" name="Independent Schools Standards: 32(3)(g)" queryTableFieldId="211"/>
    <tableColumn id="212" xr3:uid="{00000000-0010-0000-0000-0000D4000000}" uniqueName="212" name="Independent Schools Standards: 32(4)" queryTableFieldId="212"/>
    <tableColumn id="213" xr3:uid="{00000000-0010-0000-0000-0000D5000000}" uniqueName="213" name="Independent Schools Standards: 32(4)(a)" queryTableFieldId="213"/>
    <tableColumn id="214" xr3:uid="{00000000-0010-0000-0000-0000D6000000}" uniqueName="214" name="Independent Schools Standards: 32(4)(b)" queryTableFieldId="214"/>
    <tableColumn id="215" xr3:uid="{00000000-0010-0000-0000-0000D7000000}" uniqueName="215" name="Independent Schools Standards: 32(4)(c)" queryTableFieldId="215"/>
    <tableColumn id="216" xr3:uid="{00000000-0010-0000-0000-0000D8000000}" uniqueName="216" name="Independent Schools Standards: 33" queryTableFieldId="216"/>
    <tableColumn id="217" xr3:uid="{00000000-0010-0000-0000-0000D9000000}" uniqueName="217" name="Independent Schools Standards: 33(a)" queryTableFieldId="217"/>
    <tableColumn id="218" xr3:uid="{00000000-0010-0000-0000-0000DA000000}" uniqueName="218" name="Independent Schools Standards: 33(b)" queryTableFieldId="218"/>
    <tableColumn id="219" xr3:uid="{00000000-0010-0000-0000-0000DB000000}" uniqueName="219" name="Independent Schools Standards: 33(c)" queryTableFieldId="219"/>
    <tableColumn id="220" xr3:uid="{00000000-0010-0000-0000-0000DC000000}" uniqueName="220" name="Independent Schools Standards: 33(d)" queryTableFieldId="220"/>
    <tableColumn id="221" xr3:uid="{00000000-0010-0000-0000-0000DD000000}" uniqueName="221" name="Independent Schools Standards: 33(e)" queryTableFieldId="221"/>
    <tableColumn id="222" xr3:uid="{00000000-0010-0000-0000-0000DE000000}" uniqueName="222" name="Independent Schools Standards: 33(f)" queryTableFieldId="222"/>
    <tableColumn id="223" xr3:uid="{00000000-0010-0000-0000-0000DF000000}" uniqueName="223" name="Independent Schools Standards: 33(g)" queryTableFieldId="223"/>
    <tableColumn id="224" xr3:uid="{00000000-0010-0000-0000-0000E0000000}" uniqueName="224" name="Independent Schools Standards: 33(h)" queryTableFieldId="224"/>
    <tableColumn id="225" xr3:uid="{00000000-0010-0000-0000-0000E1000000}" uniqueName="225" name="Independent Schools Standards: 33(i)" queryTableFieldId="225"/>
    <tableColumn id="226" xr3:uid="{00000000-0010-0000-0000-0000E2000000}" uniqueName="226" name="Independent Schools Standards: 33(i)(i)" queryTableFieldId="226"/>
    <tableColumn id="227" xr3:uid="{00000000-0010-0000-0000-0000E3000000}" uniqueName="227" name="Independent Schools Standards: 33(i)(ii)" queryTableFieldId="227"/>
    <tableColumn id="228" xr3:uid="{00000000-0010-0000-0000-0000E4000000}" uniqueName="228" name="Independent Schools Standards: 33(j)" queryTableFieldId="228"/>
    <tableColumn id="229" xr3:uid="{00000000-0010-0000-0000-0000E5000000}" uniqueName="229" name="Independent Schools Standards: 33(j)(i)" queryTableFieldId="229"/>
    <tableColumn id="230" xr3:uid="{00000000-0010-0000-0000-0000E6000000}" uniqueName="230" name="Independent Schools Standards: 33(j)(ii)" queryTableFieldId="230"/>
    <tableColumn id="231" xr3:uid="{00000000-0010-0000-0000-0000E7000000}" uniqueName="231" name="Independent Schools Standards: 33(k)" queryTableFieldId="231"/>
    <tableColumn id="232" xr3:uid="{00000000-0010-0000-0000-0000E8000000}" uniqueName="232" name="Independent Schools Standards: 34(1)" queryTableFieldId="232"/>
    <tableColumn id="233" xr3:uid="{00000000-0010-0000-0000-0000E9000000}" uniqueName="233" name="Independent Schools Standards: 34(1)(a)" queryTableFieldId="233"/>
    <tableColumn id="234" xr3:uid="{00000000-0010-0000-0000-0000EA000000}" uniqueName="234" name="Independent Schools Standards: 34(1)(b)" queryTableFieldId="234"/>
    <tableColumn id="235" xr3:uid="{00000000-0010-0000-0000-0000EB000000}" uniqueName="235" name="Independent Schools Standards: 34(1)(c)" queryTableFieldId="235"/>
    <tableColumn id="236" xr3:uid="{00000000-0010-0000-0000-0000EC000000}" uniqueName="236" name="Safeguarding Procedure 1" queryTableFieldId="236"/>
    <tableColumn id="237" xr3:uid="{00000000-0010-0000-0000-0000ED000000}" uniqueName="237" name="Safeguarding Procedure 2" queryTableFieldId="237"/>
    <tableColumn id="238" xr3:uid="{00000000-0010-0000-0000-0000EE000000}" uniqueName="238" name="Safeguarding Procedure 3" queryTableFieldId="238"/>
    <tableColumn id="239" xr3:uid="{00000000-0010-0000-0000-0000EF000000}" uniqueName="239" name="Schedule 10 Equality Act 2010" queryTableFieldId="239"/>
    <tableColumn id="240" xr3:uid="{00000000-0010-0000-0000-0000F0000000}" uniqueName="240" name="Part 1. Quality of education provided - (Met)" queryTableFieldId="240"/>
    <tableColumn id="241" xr3:uid="{00000000-0010-0000-0000-0000F1000000}" uniqueName="241" name="Part 1. Quality of education provided - (No response)" queryTableFieldId="241"/>
    <tableColumn id="242" xr3:uid="{00000000-0010-0000-0000-0000F2000000}" uniqueName="242" name="Part 1. Quality of education provided - (Not applicable)" queryTableFieldId="242"/>
    <tableColumn id="243" xr3:uid="{00000000-0010-0000-0000-0000F3000000}" uniqueName="243" name="Part 1. Quality of education provided - (Not met)" queryTableFieldId="243"/>
    <tableColumn id="244" xr3:uid="{00000000-0010-0000-0000-0000F4000000}" uniqueName="244" name="Part 2. Spiritual, moral, social and cultural development of pupils - (Met)" queryTableFieldId="244"/>
    <tableColumn id="245" xr3:uid="{00000000-0010-0000-0000-0000F5000000}" uniqueName="245" name="Part 2. Spiritual, moral, social and cultural development of pupils - (No response)" queryTableFieldId="245"/>
    <tableColumn id="246" xr3:uid="{00000000-0010-0000-0000-0000F6000000}" uniqueName="246" name="Part 2. Spiritual, moral, social and cultural development of pupils - (Not applicable)" queryTableFieldId="246"/>
    <tableColumn id="247" xr3:uid="{00000000-0010-0000-0000-0000F7000000}" uniqueName="247" name="Part 2. Spiritual, moral, social and cultural development of pupils - (Not met)" queryTableFieldId="247"/>
    <tableColumn id="248" xr3:uid="{00000000-0010-0000-0000-0000F8000000}" uniqueName="248" name="Part 3. Welfare, health and safety of pupils - (Met)" queryTableFieldId="248"/>
    <tableColumn id="249" xr3:uid="{00000000-0010-0000-0000-0000F9000000}" uniqueName="249" name="Part 3. Welfare, health and safety of pupils - (No response)" queryTableFieldId="249"/>
    <tableColumn id="250" xr3:uid="{00000000-0010-0000-0000-0000FA000000}" uniqueName="250" name="Part 3. Welfare, health and safety of pupils - (Not applicable)" queryTableFieldId="250"/>
    <tableColumn id="251" xr3:uid="{00000000-0010-0000-0000-0000FB000000}" uniqueName="251" name="Part 3. Welfare, health and safety of pupils - (Not met)" queryTableFieldId="251"/>
    <tableColumn id="252" xr3:uid="{00000000-0010-0000-0000-0000FC000000}" uniqueName="252" name="Part 4. Suitability of staff, supply staff, and proprietors - (Met)" queryTableFieldId="252"/>
    <tableColumn id="253" xr3:uid="{00000000-0010-0000-0000-0000FD000000}" uniqueName="253" name="Part 4. Suitability of staff, supply staff, and proprietors - (No response)" queryTableFieldId="253"/>
    <tableColumn id="254" xr3:uid="{00000000-0010-0000-0000-0000FE000000}" uniqueName="254" name="Part 4. Suitability of staff, supply staff, and proprietors - (Not applicable)" queryTableFieldId="254"/>
    <tableColumn id="255" xr3:uid="{00000000-0010-0000-0000-0000FF000000}" uniqueName="255" name="Part 4. Suitability of staff, supply staff, and proprietors - (Not met)" queryTableFieldId="255"/>
    <tableColumn id="256" xr3:uid="{00000000-0010-0000-0000-000000010000}" uniqueName="256" name="Part 5. Premises of and accommodation at schools - (Met)" queryTableFieldId="256"/>
    <tableColumn id="257" xr3:uid="{00000000-0010-0000-0000-000001010000}" uniqueName="257" name="Part 5. Premises of and accommodation at schools - (No response)" queryTableFieldId="257"/>
    <tableColumn id="258" xr3:uid="{00000000-0010-0000-0000-000002010000}" uniqueName="258" name="Part 5. Premises of and accommodation at schools - (Not applicable)" queryTableFieldId="258"/>
    <tableColumn id="259" xr3:uid="{00000000-0010-0000-0000-000003010000}" uniqueName="259" name="Part 5. Premises of and accommodation at schools - (Not met)" queryTableFieldId="259"/>
    <tableColumn id="260" xr3:uid="{00000000-0010-0000-0000-000004010000}" uniqueName="260" name="Part 6. Provision of information - (Met)" queryTableFieldId="260"/>
    <tableColumn id="261" xr3:uid="{00000000-0010-0000-0000-000005010000}" uniqueName="261" name="Part 6. Provision of information - (No response)" queryTableFieldId="261"/>
    <tableColumn id="262" xr3:uid="{00000000-0010-0000-0000-000006010000}" uniqueName="262" name="Part 6. Provision of information - (Not applicable)" queryTableFieldId="262"/>
    <tableColumn id="263" xr3:uid="{00000000-0010-0000-0000-000007010000}" uniqueName="263" name="Part 6. Provision of information - (Not met)" queryTableFieldId="263"/>
    <tableColumn id="264" xr3:uid="{00000000-0010-0000-0000-000008010000}" uniqueName="264" name="Part 7. Manner in which complaints are handled - (Met)" queryTableFieldId="264"/>
    <tableColumn id="265" xr3:uid="{00000000-0010-0000-0000-000009010000}" uniqueName="265" name="Part 7. Manner in which complaints are handled - (No response)" queryTableFieldId="265"/>
    <tableColumn id="266" xr3:uid="{00000000-0010-0000-0000-00000A010000}" uniqueName="266" name="Part 7. Manner in which complaints are handled - (Not met)" queryTableFieldId="266"/>
    <tableColumn id="267" xr3:uid="{00000000-0010-0000-0000-00000B010000}" uniqueName="267" name="Part 8. Quality of leadership in and management of schools - (Met)" queryTableFieldId="267"/>
    <tableColumn id="268" xr3:uid="{00000000-0010-0000-0000-00000C010000}" uniqueName="268" name="Part 8. Quality of leadership in and management of schools - (No response)" queryTableFieldId="268"/>
    <tableColumn id="269" xr3:uid="{00000000-0010-0000-0000-00000D010000}" uniqueName="269" name="Part 8. Quality of leadership in and management of schools - (Not met)" queryTableFieldId="269"/>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_clu7sql1_ssdb_REPORT_vw_IE_External_MI_InYear_Monitoring_Only" displayName="Table_clu7sql1_ssdb_REPORT_vw_IE_External_MI_InYear_Monitoring_Only" ref="A4:JQ34" tableType="queryTable" totalsRowShown="0">
  <autoFilter ref="A4:JQ34" xr:uid="{00000000-0009-0000-0100-000002000000}"/>
  <tableColumns count="277">
    <tableColumn id="1" xr3:uid="{00000000-0010-0000-0100-000001000000}" uniqueName="1" name="Report" queryTableFieldId="1" dataDxfId="1"/>
    <tableColumn id="2" xr3:uid="{00000000-0010-0000-0100-000002000000}" uniqueName="2" name="Organisation ID" queryTableFieldId="2"/>
    <tableColumn id="3" xr3:uid="{00000000-0010-0000-0100-000003000000}" uniqueName="3" name="URN" queryTableFieldId="3"/>
    <tableColumn id="4" xr3:uid="{00000000-0010-0000-0100-000004000000}" uniqueName="4" name="LAESTAB" queryTableFieldId="4"/>
    <tableColumn id="5" xr3:uid="{00000000-0010-0000-0100-000005000000}" uniqueName="5" name="Provider name" queryTableFieldId="5"/>
    <tableColumn id="6" xr3:uid="{00000000-0010-0000-0100-000006000000}" uniqueName="6" name="Provider type" queryTableFieldId="6"/>
    <tableColumn id="7" xr3:uid="{00000000-0010-0000-0100-000007000000}" uniqueName="7" name="Provider Group" queryTableFieldId="7"/>
    <tableColumn id="8" xr3:uid="{00000000-0010-0000-0100-000008000000}" uniqueName="8" name="Ofsted Region" queryTableFieldId="8"/>
    <tableColumn id="9" xr3:uid="{00000000-0010-0000-0100-000009000000}" uniqueName="9" name="Government Office Region" queryTableFieldId="9"/>
    <tableColumn id="10" xr3:uid="{00000000-0010-0000-0100-00000A000000}" uniqueName="10" name="Local Authority" queryTableFieldId="10"/>
    <tableColumn id="11" xr3:uid="{00000000-0010-0000-0100-00000B000000}" uniqueName="11" name="Postcode" queryTableFieldId="11"/>
    <tableColumn id="13" xr3:uid="{00000000-0010-0000-0100-00000D000000}" uniqueName="13" name="Religious character" queryTableFieldId="13"/>
    <tableColumn id="14" xr3:uid="{00000000-0010-0000-0100-00000E000000}" uniqueName="14" name="Religious character grouping" queryTableFieldId="14"/>
    <tableColumn id="15" xr3:uid="{00000000-0010-0000-0100-00000F000000}" uniqueName="15" name="Religious ethos" queryTableFieldId="15"/>
    <tableColumn id="16" xr3:uid="{00000000-0010-0000-0100-000010000000}" uniqueName="16" name="Special Needs" queryTableFieldId="16"/>
    <tableColumn id="17" xr3:uid="{00000000-0010-0000-0100-000011000000}" uniqueName="17" name="Inspectorate" queryTableFieldId="17"/>
    <tableColumn id="18" xr3:uid="{00000000-0010-0000-0100-000012000000}" uniqueName="18" name="Inspection number" queryTableFieldId="18"/>
    <tableColumn id="19" xr3:uid="{00000000-0010-0000-0100-000013000000}" uniqueName="19" name="First day of inspection" queryTableFieldId="19"/>
    <tableColumn id="20" xr3:uid="{00000000-0010-0000-0100-000014000000}" uniqueName="20" name="Last day of inspection" queryTableFieldId="20"/>
    <tableColumn id="21" xr3:uid="{00000000-0010-0000-0100-000015000000}" uniqueName="21" name="Publication date" queryTableFieldId="21"/>
    <tableColumn id="22" xr3:uid="{00000000-0010-0000-0100-000016000000}" uniqueName="22" name="Withheld/Withdrawn information date" queryTableFieldId="22"/>
    <tableColumn id="23" xr3:uid="{00000000-0010-0000-0100-000017000000}" uniqueName="23" name="Inspection type" queryTableFieldId="23"/>
    <tableColumn id="24" xr3:uid="{00000000-0010-0000-0100-000018000000}" uniqueName="24" name="Inspection grouping" queryTableFieldId="24"/>
    <tableColumn id="25" xr3:uid="{00000000-0010-0000-0100-000019000000}" uniqueName="25" name="Inspection Grouping Name" queryTableFieldId="25"/>
    <tableColumn id="26" xr3:uid="{00000000-0010-0000-0100-00001A000000}" uniqueName="26" name="Overall effectiveness" queryTableFieldId="26"/>
    <tableColumn id="27" xr3:uid="{00000000-0010-0000-0100-00001B000000}" uniqueName="27" name="Effectiveness of leadership and management" queryTableFieldId="27"/>
    <tableColumn id="28" xr3:uid="{00000000-0010-0000-0100-00001C000000}" uniqueName="28" name="Personal development, behaviour and welfare" queryTableFieldId="28"/>
    <tableColumn id="29" xr3:uid="{00000000-0010-0000-0100-00001D000000}" uniqueName="29" name="Quality of teaching" queryTableFieldId="29"/>
    <tableColumn id="30" xr3:uid="{00000000-0010-0000-0100-00001E000000}" uniqueName="30" name="Outcomes for pupils" queryTableFieldId="30"/>
    <tableColumn id="31" xr3:uid="{00000000-0010-0000-0100-00001F000000}" uniqueName="31" name="Early years provision" queryTableFieldId="31"/>
    <tableColumn id="32" xr3:uid="{00000000-0010-0000-0100-000020000000}" uniqueName="32" name="Sixth form provision" queryTableFieldId="32"/>
    <tableColumn id="33" xr3:uid="{00000000-0010-0000-0100-000021000000}" uniqueName="33" name="Safeguarding" queryTableFieldId="33"/>
    <tableColumn id="34" xr3:uid="{00000000-0010-0000-0100-000022000000}" uniqueName="34" name="Overall outcome" queryTableFieldId="34"/>
    <tableColumn id="278" xr3:uid="{00000000-0010-0000-0100-000016010000}" uniqueName="278" name="OVERALL standards" queryTableFieldId="286"/>
    <tableColumn id="270" xr3:uid="{00000000-0010-0000-0100-00000E010000}" uniqueName="270" name="Part 1 overall" queryTableFieldId="277"/>
    <tableColumn id="271" xr3:uid="{00000000-0010-0000-0100-00000F010000}" uniqueName="271" name="Part 2 overall" queryTableFieldId="276"/>
    <tableColumn id="272" xr3:uid="{00000000-0010-0000-0100-000010010000}" uniqueName="272" name="Part 3 overall" queryTableFieldId="275"/>
    <tableColumn id="273" xr3:uid="{00000000-0010-0000-0100-000011010000}" uniqueName="273" name="Part 4 overall" queryTableFieldId="274"/>
    <tableColumn id="274" xr3:uid="{00000000-0010-0000-0100-000012010000}" uniqueName="274" name="Part 5 overall" queryTableFieldId="273"/>
    <tableColumn id="275" xr3:uid="{00000000-0010-0000-0100-000013010000}" uniqueName="275" name="Part 6 overall" queryTableFieldId="272"/>
    <tableColumn id="276" xr3:uid="{00000000-0010-0000-0100-000014010000}" uniqueName="276" name="Part 7 overall" queryTableFieldId="271"/>
    <tableColumn id="277" xr3:uid="{00000000-0010-0000-0100-000015010000}" uniqueName="277" name="Part 8 overall" queryTableFieldId="270"/>
    <tableColumn id="35" xr3:uid="{00000000-0010-0000-0100-000023000000}" uniqueName="35" name="Independent Schools Standards: 2(1)" queryTableFieldId="35"/>
    <tableColumn id="36" xr3:uid="{00000000-0010-0000-0100-000024000000}" uniqueName="36" name="Independent Schools Standards: 2(1)(a)" queryTableFieldId="36"/>
    <tableColumn id="37" xr3:uid="{00000000-0010-0000-0100-000025000000}" uniqueName="37" name="Independent Schools Standards: 2(1)(b)" queryTableFieldId="37"/>
    <tableColumn id="38" xr3:uid="{00000000-0010-0000-0100-000026000000}" uniqueName="38" name="Independent Schools Standards: 2(1)(b)(i)" queryTableFieldId="38"/>
    <tableColumn id="39" xr3:uid="{00000000-0010-0000-0100-000027000000}" uniqueName="39" name="Independent Schools Standards: 2(1)(b)(ii)" queryTableFieldId="39"/>
    <tableColumn id="40" xr3:uid="{00000000-0010-0000-0100-000028000000}" uniqueName="40" name="Independent Schools Standards: 2(2)" queryTableFieldId="40"/>
    <tableColumn id="41" xr3:uid="{00000000-0010-0000-0100-000029000000}" uniqueName="41" name="Independent Schools Standards: 2(2)(a)" queryTableFieldId="41"/>
    <tableColumn id="42" xr3:uid="{00000000-0010-0000-0100-00002A000000}" uniqueName="42" name="Independent Schools Standards: 2(2)(b)" queryTableFieldId="42"/>
    <tableColumn id="43" xr3:uid="{00000000-0010-0000-0100-00002B000000}" uniqueName="43" name="Independent Schools Standards: 2(2)(c)" queryTableFieldId="43"/>
    <tableColumn id="44" xr3:uid="{00000000-0010-0000-0100-00002C000000}" uniqueName="44" name="Independent Schools Standards: 2(2)(d)" queryTableFieldId="44"/>
    <tableColumn id="45" xr3:uid="{00000000-0010-0000-0100-00002D000000}" uniqueName="45" name="Independent Schools Standards: 2(2)(d)(i)" queryTableFieldId="45"/>
    <tableColumn id="46" xr3:uid="{00000000-0010-0000-0100-00002E000000}" uniqueName="46" name="Independent Schools Standards: 2(2)(d)(ii)" queryTableFieldId="46"/>
    <tableColumn id="47" xr3:uid="{00000000-0010-0000-0100-00002F000000}" uniqueName="47" name="Independent Schools Standards: 2(2)(e)" queryTableFieldId="47"/>
    <tableColumn id="48" xr3:uid="{00000000-0010-0000-0100-000030000000}" uniqueName="48" name="Independent Schools Standards: 2(2)(e)(i)" queryTableFieldId="48"/>
    <tableColumn id="49" xr3:uid="{00000000-0010-0000-0100-000031000000}" uniqueName="49" name="Independent Schools Standards: 2(2)(e)(ii)" queryTableFieldId="49"/>
    <tableColumn id="50" xr3:uid="{00000000-0010-0000-0100-000032000000}" uniqueName="50" name="Independent Schools Standards: 2(2)(e)(iii)" queryTableFieldId="50"/>
    <tableColumn id="51" xr3:uid="{00000000-0010-0000-0100-000033000000}" uniqueName="51" name="Independent Schools Standards: 2(2)(f)" queryTableFieldId="51"/>
    <tableColumn id="52" xr3:uid="{00000000-0010-0000-0100-000034000000}" uniqueName="52" name="Independent Schools Standards: 2(2)(g)" queryTableFieldId="52"/>
    <tableColumn id="53" xr3:uid="{00000000-0010-0000-0100-000035000000}" uniqueName="53" name="Independent Schools Standards: 2(2)(h)" queryTableFieldId="53"/>
    <tableColumn id="54" xr3:uid="{00000000-0010-0000-0100-000036000000}" uniqueName="54" name="Independent Schools Standards: 2(2)(i)" queryTableFieldId="54"/>
    <tableColumn id="55" xr3:uid="{00000000-0010-0000-0100-000037000000}" uniqueName="55" name="Independent Schools Standards: 3" queryTableFieldId="55"/>
    <tableColumn id="56" xr3:uid="{00000000-0010-0000-0100-000038000000}" uniqueName="56" name="Independent Schools Standards: 3(a)" queryTableFieldId="56"/>
    <tableColumn id="57" xr3:uid="{00000000-0010-0000-0100-000039000000}" uniqueName="57" name="Independent Schools Standards: 3(b)" queryTableFieldId="57"/>
    <tableColumn id="58" xr3:uid="{00000000-0010-0000-0100-00003A000000}" uniqueName="58" name="Independent Schools Standards: 3(c)" queryTableFieldId="58"/>
    <tableColumn id="59" xr3:uid="{00000000-0010-0000-0100-00003B000000}" uniqueName="59" name="Independent Schools Standards: 3(d)" queryTableFieldId="59"/>
    <tableColumn id="60" xr3:uid="{00000000-0010-0000-0100-00003C000000}" uniqueName="60" name="Independent Schools Standards: 3(e)" queryTableFieldId="60"/>
    <tableColumn id="61" xr3:uid="{00000000-0010-0000-0100-00003D000000}" uniqueName="61" name="Independent Schools Standards: 3(f)" queryTableFieldId="61"/>
    <tableColumn id="62" xr3:uid="{00000000-0010-0000-0100-00003E000000}" uniqueName="62" name="Independent Schools Standards: 3(g)" queryTableFieldId="62"/>
    <tableColumn id="63" xr3:uid="{00000000-0010-0000-0100-00003F000000}" uniqueName="63" name="Independent Schools Standards: 3(h)" queryTableFieldId="63"/>
    <tableColumn id="64" xr3:uid="{00000000-0010-0000-0100-000040000000}" uniqueName="64" name="Independent Schools Standards: 3(i)" queryTableFieldId="64"/>
    <tableColumn id="65" xr3:uid="{00000000-0010-0000-0100-000041000000}" uniqueName="65" name="Independent Schools Standards: 3(j)" queryTableFieldId="65"/>
    <tableColumn id="66" xr3:uid="{00000000-0010-0000-0100-000042000000}" uniqueName="66" name="Independent Schools Standards: 4" queryTableFieldId="66"/>
    <tableColumn id="67" xr3:uid="{00000000-0010-0000-0100-000043000000}" uniqueName="67" name="Independent Schools Standards: 5" queryTableFieldId="67"/>
    <tableColumn id="68" xr3:uid="{00000000-0010-0000-0100-000044000000}" uniqueName="68" name="Independent Schools Standards: 5(a)" queryTableFieldId="68"/>
    <tableColumn id="69" xr3:uid="{00000000-0010-0000-0100-000045000000}" uniqueName="69" name="Independent Schools Standards: 5(b)" queryTableFieldId="69"/>
    <tableColumn id="70" xr3:uid="{00000000-0010-0000-0100-000046000000}" uniqueName="70" name="Independent Schools Standards: 5(b)(i)" queryTableFieldId="70"/>
    <tableColumn id="71" xr3:uid="{00000000-0010-0000-0100-000047000000}" uniqueName="71" name="Independent Schools Standards: 5(b)(ii)" queryTableFieldId="71"/>
    <tableColumn id="72" xr3:uid="{00000000-0010-0000-0100-000048000000}" uniqueName="72" name="Independent Schools Standards: 5(b)(iii)" queryTableFieldId="72"/>
    <tableColumn id="73" xr3:uid="{00000000-0010-0000-0100-000049000000}" uniqueName="73" name="Independent Schools Standards: 5(b)(iv)" queryTableFieldId="73"/>
    <tableColumn id="74" xr3:uid="{00000000-0010-0000-0100-00004A000000}" uniqueName="74" name="Independent Schools Standards: 5(b)(v)" queryTableFieldId="74"/>
    <tableColumn id="75" xr3:uid="{00000000-0010-0000-0100-00004B000000}" uniqueName="75" name="Independent Schools Standards: 5(b)(vi)" queryTableFieldId="75"/>
    <tableColumn id="76" xr3:uid="{00000000-0010-0000-0100-00004C000000}" uniqueName="76" name="Independent Schools Standards: 5(b)(vii)" queryTableFieldId="76"/>
    <tableColumn id="77" xr3:uid="{00000000-0010-0000-0100-00004D000000}" uniqueName="77" name="Independent Schools Standards: 5(c)" queryTableFieldId="77"/>
    <tableColumn id="78" xr3:uid="{00000000-0010-0000-0100-00004E000000}" uniqueName="78" name="Independent Schools Standards: 5(d)" queryTableFieldId="78"/>
    <tableColumn id="79" xr3:uid="{00000000-0010-0000-0100-00004F000000}" uniqueName="79" name="Independent Schools Standards: 5(d)(i)" queryTableFieldId="79"/>
    <tableColumn id="80" xr3:uid="{00000000-0010-0000-0100-000050000000}" uniqueName="80" name="Independent Schools Standards: 5(d)(ii)" queryTableFieldId="80"/>
    <tableColumn id="81" xr3:uid="{00000000-0010-0000-0100-000051000000}" uniqueName="81" name="Independent Schools Standards: 5(d)(iii)" queryTableFieldId="81"/>
    <tableColumn id="82" xr3:uid="{00000000-0010-0000-0100-000052000000}" uniqueName="82" name="Independent Schools Standards: 7" queryTableFieldId="82"/>
    <tableColumn id="83" xr3:uid="{00000000-0010-0000-0100-000053000000}" uniqueName="83" name="Independent Schools Standards: 7(a)" queryTableFieldId="83"/>
    <tableColumn id="84" xr3:uid="{00000000-0010-0000-0100-000054000000}" uniqueName="84" name="Independent Schools Standards: 7(b)" queryTableFieldId="84"/>
    <tableColumn id="85" xr3:uid="{00000000-0010-0000-0100-000055000000}" uniqueName="85" name="Independent Schools Standards: 8" queryTableFieldId="85"/>
    <tableColumn id="86" xr3:uid="{00000000-0010-0000-0100-000056000000}" uniqueName="86" name="Independent Schools Standards: 8(a)" queryTableFieldId="86"/>
    <tableColumn id="87" xr3:uid="{00000000-0010-0000-0100-000057000000}" uniqueName="87" name="Independent Schools Standards: 8(b)" queryTableFieldId="87"/>
    <tableColumn id="88" xr3:uid="{00000000-0010-0000-0100-000058000000}" uniqueName="88" name="Independent Schools Standards: 9" queryTableFieldId="88"/>
    <tableColumn id="89" xr3:uid="{00000000-0010-0000-0100-000059000000}" uniqueName="89" name="Independent Schools Standards: 9(a)" queryTableFieldId="89"/>
    <tableColumn id="90" xr3:uid="{00000000-0010-0000-0100-00005A000000}" uniqueName="90" name="Independent Schools Standards: 9(b)" queryTableFieldId="90"/>
    <tableColumn id="91" xr3:uid="{00000000-0010-0000-0100-00005B000000}" uniqueName="91" name="Independent Schools Standards: 9(c)" queryTableFieldId="91"/>
    <tableColumn id="92" xr3:uid="{00000000-0010-0000-0100-00005C000000}" uniqueName="92" name="Independent Schools Standards: 10" queryTableFieldId="92"/>
    <tableColumn id="93" xr3:uid="{00000000-0010-0000-0100-00005D000000}" uniqueName="93" name="Independent Schools Standards: 11" queryTableFieldId="93"/>
    <tableColumn id="94" xr3:uid="{00000000-0010-0000-0100-00005E000000}" uniqueName="94" name="Independent Schools Standards: 12" queryTableFieldId="94"/>
    <tableColumn id="95" xr3:uid="{00000000-0010-0000-0100-00005F000000}" uniqueName="95" name="Independent Schools Standards: 13" queryTableFieldId="95"/>
    <tableColumn id="96" xr3:uid="{00000000-0010-0000-0100-000060000000}" uniqueName="96" name="Independent Schools Standards: 14" queryTableFieldId="96"/>
    <tableColumn id="97" xr3:uid="{00000000-0010-0000-0100-000061000000}" uniqueName="97" name="Independent Schools Standards: 15" queryTableFieldId="97"/>
    <tableColumn id="98" xr3:uid="{00000000-0010-0000-0100-000062000000}" uniqueName="98" name="Independent Schools Standards: 16" queryTableFieldId="98"/>
    <tableColumn id="99" xr3:uid="{00000000-0010-0000-0100-000063000000}" uniqueName="99" name="Independent Schools Standards: 16(a)" queryTableFieldId="99"/>
    <tableColumn id="100" xr3:uid="{00000000-0010-0000-0100-000064000000}" uniqueName="100" name="Independent Schools Standards: 16(b)" queryTableFieldId="100"/>
    <tableColumn id="101" xr3:uid="{00000000-0010-0000-0100-000065000000}" uniqueName="101" name="Independent Schools Standards: 18(2)" queryTableFieldId="101"/>
    <tableColumn id="102" xr3:uid="{00000000-0010-0000-0100-000066000000}" uniqueName="102" name="Independent Schools Standards: 18(2)(a)" queryTableFieldId="102"/>
    <tableColumn id="103" xr3:uid="{00000000-0010-0000-0100-000067000000}" uniqueName="103" name="Independent Schools Standards: 18(2)(b)" queryTableFieldId="103"/>
    <tableColumn id="104" xr3:uid="{00000000-0010-0000-0100-000068000000}" uniqueName="104" name="Independent Schools Standards: 18(2)(c)" queryTableFieldId="104"/>
    <tableColumn id="105" xr3:uid="{00000000-0010-0000-0100-000069000000}" uniqueName="105" name="Independent Schools Standards: 18(2)(c)(i)" queryTableFieldId="105"/>
    <tableColumn id="106" xr3:uid="{00000000-0010-0000-0100-00006A000000}" uniqueName="106" name="Independent Schools Standards: 18(2)(c)(ii)" queryTableFieldId="106"/>
    <tableColumn id="107" xr3:uid="{00000000-0010-0000-0100-00006B000000}" uniqueName="107" name="Independent Schools Standards: 18(2)(c)(iii)" queryTableFieldId="107"/>
    <tableColumn id="108" xr3:uid="{00000000-0010-0000-0100-00006C000000}" uniqueName="108" name="Independent Schools Standards: 18(2)(c)(iv)" queryTableFieldId="108"/>
    <tableColumn id="109" xr3:uid="{00000000-0010-0000-0100-00006D000000}" uniqueName="109" name="Independent Schools Standards: 18(2)(d)" queryTableFieldId="109"/>
    <tableColumn id="110" xr3:uid="{00000000-0010-0000-0100-00006E000000}" uniqueName="110" name="Independent Schools Standards: 18(2)(e)" queryTableFieldId="110"/>
    <tableColumn id="111" xr3:uid="{00000000-0010-0000-0100-00006F000000}" uniqueName="111" name="Independent Schools Standards: 18(2)(f)" queryTableFieldId="111"/>
    <tableColumn id="112" xr3:uid="{00000000-0010-0000-0100-000070000000}" uniqueName="112" name="Independent Schools Standards: 18(3)" queryTableFieldId="112"/>
    <tableColumn id="113" xr3:uid="{00000000-0010-0000-0100-000071000000}" uniqueName="113" name="Independent Schools Standards: 19(2)" queryTableFieldId="113"/>
    <tableColumn id="114" xr3:uid="{00000000-0010-0000-0100-000072000000}" uniqueName="114" name="Independent Schools Standards: 19(2)(a)" queryTableFieldId="114"/>
    <tableColumn id="115" xr3:uid="{00000000-0010-0000-0100-000073000000}" uniqueName="115" name="Independent Schools Standards: 19(2)(a)(i)" queryTableFieldId="115"/>
    <tableColumn id="116" xr3:uid="{00000000-0010-0000-0100-000074000000}" uniqueName="116" name="Independent Schools Standards: 19(2)(a)(i)(aa)" queryTableFieldId="116"/>
    <tableColumn id="117" xr3:uid="{00000000-0010-0000-0100-000075000000}" uniqueName="117" name="Independent Schools Standards: 19(2)(a)(i)(bb)" queryTableFieldId="117"/>
    <tableColumn id="118" xr3:uid="{00000000-0010-0000-0100-000076000000}" uniqueName="118" name="Independent Schools Standards: 19(2)(a)(i)(cc)" queryTableFieldId="118"/>
    <tableColumn id="119" xr3:uid="{00000000-0010-0000-0100-000077000000}" uniqueName="119" name="Independent Schools Standards: 19(2)(a)(ii)" queryTableFieldId="119"/>
    <tableColumn id="120" xr3:uid="{00000000-0010-0000-0100-000078000000}" uniqueName="120" name="Independent Schools Standards: 19(2)(b)" queryTableFieldId="120"/>
    <tableColumn id="121" xr3:uid="{00000000-0010-0000-0100-000079000000}" uniqueName="121" name="Independent Schools Standards: 19(2)(c)" queryTableFieldId="121"/>
    <tableColumn id="122" xr3:uid="{00000000-0010-0000-0100-00007A000000}" uniqueName="122" name="Independent Schools Standards: 19(2)(d)" queryTableFieldId="122"/>
    <tableColumn id="123" xr3:uid="{00000000-0010-0000-0100-00007B000000}" uniqueName="123" name="Independent Schools Standards: 19(2)(d)(i)" queryTableFieldId="123"/>
    <tableColumn id="124" xr3:uid="{00000000-0010-0000-0100-00007C000000}" uniqueName="124" name="Independent Schools Standards: 19(2)(d)(ii)" queryTableFieldId="124"/>
    <tableColumn id="125" xr3:uid="{00000000-0010-0000-0100-00007D000000}" uniqueName="125" name="Independent Schools Standards: 19(2)(e)" queryTableFieldId="125"/>
    <tableColumn id="126" xr3:uid="{00000000-0010-0000-0100-00007E000000}" uniqueName="126" name="Independent Schools Standards: 19(3)" queryTableFieldId="126"/>
    <tableColumn id="127" xr3:uid="{00000000-0010-0000-0100-00007F000000}" uniqueName="127" name="Independent Schools Standards: 20(6)" queryTableFieldId="127"/>
    <tableColumn id="128" xr3:uid="{00000000-0010-0000-0100-000080000000}" uniqueName="128" name="Independent Schools Standards: 20(6)(a)" queryTableFieldId="128"/>
    <tableColumn id="129" xr3:uid="{00000000-0010-0000-0100-000081000000}" uniqueName="129" name="Independent Schools Standards: 20(6)(a)(i)" queryTableFieldId="129"/>
    <tableColumn id="130" xr3:uid="{00000000-0010-0000-0100-000082000000}" uniqueName="130" name="Independent Schools Standards: 20(6)(a)(ii)" queryTableFieldId="130"/>
    <tableColumn id="131" xr3:uid="{00000000-0010-0000-0100-000083000000}" uniqueName="131" name="Independent Schools Standards: 20(6)(b)" queryTableFieldId="131"/>
    <tableColumn id="132" xr3:uid="{00000000-0010-0000-0100-000084000000}" uniqueName="132" name="Independent Schools Standards: 20(6)(b)(i)" queryTableFieldId="132"/>
    <tableColumn id="133" xr3:uid="{00000000-0010-0000-0100-000085000000}" uniqueName="133" name="Independent Schools Standards: 20(6)(b)(ii)" queryTableFieldId="133"/>
    <tableColumn id="134" xr3:uid="{00000000-0010-0000-0100-000086000000}" uniqueName="134" name="Independent Schools Standards: 20(6)(b)(iii)" queryTableFieldId="134"/>
    <tableColumn id="135" xr3:uid="{00000000-0010-0000-0100-000087000000}" uniqueName="135" name="Independent Schools Standards: 20(6)(c)" queryTableFieldId="135"/>
    <tableColumn id="136" xr3:uid="{00000000-0010-0000-0100-000088000000}" uniqueName="136" name="Independent Schools Standards: 21(1)" queryTableFieldId="136"/>
    <tableColumn id="137" xr3:uid="{00000000-0010-0000-0100-000089000000}" uniqueName="137" name="Independent Schools Standards: 21(2)" queryTableFieldId="137"/>
    <tableColumn id="138" xr3:uid="{00000000-0010-0000-0100-00008A000000}" uniqueName="138" name="Independent Schools Standards: 21(3)" queryTableFieldId="138"/>
    <tableColumn id="139" xr3:uid="{00000000-0010-0000-0100-00008B000000}" uniqueName="139" name="Independent Schools Standards: 21(3)(a)" queryTableFieldId="139"/>
    <tableColumn id="140" xr3:uid="{00000000-0010-0000-0100-00008C000000}" uniqueName="140" name="Independent Schools Standards: 21(3)(a)(i)" queryTableFieldId="140"/>
    <tableColumn id="141" xr3:uid="{00000000-0010-0000-0100-00008D000000}" uniqueName="141" name="Independent Schools Standards: 21(3)(a)(ii)" queryTableFieldId="141"/>
    <tableColumn id="142" xr3:uid="{00000000-0010-0000-0100-00008E000000}" uniqueName="142" name="Independent Schools Standards: 21(3)(a)(iii)" queryTableFieldId="142"/>
    <tableColumn id="143" xr3:uid="{00000000-0010-0000-0100-00008F000000}" uniqueName="143" name="Independent Schools Standards: 21(3)(a)(iv)" queryTableFieldId="143"/>
    <tableColumn id="144" xr3:uid="{00000000-0010-0000-0100-000090000000}" uniqueName="144" name="Independent Schools Standards: 21(3)(a)(v)" queryTableFieldId="144"/>
    <tableColumn id="145" xr3:uid="{00000000-0010-0000-0100-000091000000}" uniqueName="145" name="Independent Schools Standards: 21(3)(a)(vi)" queryTableFieldId="145"/>
    <tableColumn id="146" xr3:uid="{00000000-0010-0000-0100-000092000000}" uniqueName="146" name="Independent Schools Standards: 21(3)(a)(vii)" queryTableFieldId="146"/>
    <tableColumn id="147" xr3:uid="{00000000-0010-0000-0100-000093000000}" uniqueName="147" name="Independent Schools Standards: 21(3)(a)(viii)" queryTableFieldId="147"/>
    <tableColumn id="148" xr3:uid="{00000000-0010-0000-0100-000094000000}" uniqueName="148" name="Independent Schools Standards: 21(3)(b)" queryTableFieldId="148"/>
    <tableColumn id="149" xr3:uid="{00000000-0010-0000-0100-000095000000}" uniqueName="149" name="Independent Schools Standards: 21(4)" queryTableFieldId="149"/>
    <tableColumn id="150" xr3:uid="{00000000-0010-0000-0100-000096000000}" uniqueName="150" name="Independent Schools Standards: 21(5)" queryTableFieldId="150"/>
    <tableColumn id="151" xr3:uid="{00000000-0010-0000-0100-000097000000}" uniqueName="151" name="Independent Schools Standards: 21(5)(a)" queryTableFieldId="151"/>
    <tableColumn id="152" xr3:uid="{00000000-0010-0000-0100-000098000000}" uniqueName="152" name="Independent Schools Standards: 21(5)(a)(i)" queryTableFieldId="152"/>
    <tableColumn id="153" xr3:uid="{00000000-0010-0000-0100-000099000000}" uniqueName="153" name="Independent Schools Standards: 21(5)(a)(ii)" queryTableFieldId="153"/>
    <tableColumn id="154" xr3:uid="{00000000-0010-0000-0100-00009A000000}" uniqueName="154" name="Independent Schools Standards: 21(5)(b)" queryTableFieldId="154"/>
    <tableColumn id="155" xr3:uid="{00000000-0010-0000-0100-00009B000000}" uniqueName="155" name="Independent Schools Standards: 21(5)(c)" queryTableFieldId="155"/>
    <tableColumn id="156" xr3:uid="{00000000-0010-0000-0100-00009C000000}" uniqueName="156" name="Independent Schools Standards: 21(6)" queryTableFieldId="156"/>
    <tableColumn id="157" xr3:uid="{00000000-0010-0000-0100-00009D000000}" uniqueName="157" name="Independent Schools Standards: 21(7)" queryTableFieldId="157"/>
    <tableColumn id="158" xr3:uid="{00000000-0010-0000-0100-00009E000000}" uniqueName="158" name="Independent Schools Standards: 21(7)(a)" queryTableFieldId="158"/>
    <tableColumn id="159" xr3:uid="{00000000-0010-0000-0100-00009F000000}" uniqueName="159" name="Independent Schools Standards: 21(7)(b)" queryTableFieldId="159"/>
    <tableColumn id="160" xr3:uid="{00000000-0010-0000-0100-0000A0000000}" uniqueName="160" name="Independent Schools Standards: 23(1)" queryTableFieldId="160"/>
    <tableColumn id="161" xr3:uid="{00000000-0010-0000-0100-0000A1000000}" uniqueName="161" name="Independent Schools Standards: 23(1)(a)" queryTableFieldId="161"/>
    <tableColumn id="162" xr3:uid="{00000000-0010-0000-0100-0000A2000000}" uniqueName="162" name="Independent Schools Standards: 23(1)(b)" queryTableFieldId="162"/>
    <tableColumn id="163" xr3:uid="{00000000-0010-0000-0100-0000A3000000}" uniqueName="163" name="Independent Schools Standards: 23(1)(c)" queryTableFieldId="163"/>
    <tableColumn id="164" xr3:uid="{00000000-0010-0000-0100-0000A4000000}" uniqueName="164" name="Independent Schools Standards: 24(1)" queryTableFieldId="164"/>
    <tableColumn id="165" xr3:uid="{00000000-0010-0000-0100-0000A5000000}" uniqueName="165" name="Independent Schools Standards: 24(1)(a)" queryTableFieldId="165"/>
    <tableColumn id="166" xr3:uid="{00000000-0010-0000-0100-0000A6000000}" uniqueName="166" name="Independent Schools Standards: 24(1)(b)" queryTableFieldId="166"/>
    <tableColumn id="167" xr3:uid="{00000000-0010-0000-0100-0000A7000000}" uniqueName="167" name="Independent Schools Standards: 24(1)(c)" queryTableFieldId="167"/>
    <tableColumn id="168" xr3:uid="{00000000-0010-0000-0100-0000A8000000}" uniqueName="168" name="Independent Schools Standards: 24(2)" queryTableFieldId="168"/>
    <tableColumn id="169" xr3:uid="{00000000-0010-0000-0100-0000A9000000}" uniqueName="169" name="Independent Schools Standards: 25" queryTableFieldId="169"/>
    <tableColumn id="170" xr3:uid="{00000000-0010-0000-0100-0000AA000000}" uniqueName="170" name="Independent Schools Standards: 26" queryTableFieldId="170"/>
    <tableColumn id="171" xr3:uid="{00000000-0010-0000-0100-0000AB000000}" uniqueName="171" name="Independent Schools Standards: 27" queryTableFieldId="171"/>
    <tableColumn id="172" xr3:uid="{00000000-0010-0000-0100-0000AC000000}" uniqueName="172" name="Independent Schools Standards: 27(a)" queryTableFieldId="172"/>
    <tableColumn id="173" xr3:uid="{00000000-0010-0000-0100-0000AD000000}" uniqueName="173" name="Independent Schools Standards: 27(b)" queryTableFieldId="173"/>
    <tableColumn id="174" xr3:uid="{00000000-0010-0000-0100-0000AE000000}" uniqueName="174" name="Independent Schools Standards: 28(1)" queryTableFieldId="174"/>
    <tableColumn id="175" xr3:uid="{00000000-0010-0000-0100-0000AF000000}" uniqueName="175" name="Independent Schools Standards: 28(1)(a)" queryTableFieldId="175"/>
    <tableColumn id="176" xr3:uid="{00000000-0010-0000-0100-0000B0000000}" uniqueName="176" name="Independent Schools Standards: 28(1)(b)" queryTableFieldId="176"/>
    <tableColumn id="177" xr3:uid="{00000000-0010-0000-0100-0000B1000000}" uniqueName="177" name="Independent Schools Standards: 28(1)(c)" queryTableFieldId="177"/>
    <tableColumn id="178" xr3:uid="{00000000-0010-0000-0100-0000B2000000}" uniqueName="178" name="Independent Schools Standards: 28(1)(d)" queryTableFieldId="178"/>
    <tableColumn id="179" xr3:uid="{00000000-0010-0000-0100-0000B3000000}" uniqueName="179" name="Independent Schools Standards: 28(2)" queryTableFieldId="179"/>
    <tableColumn id="180" xr3:uid="{00000000-0010-0000-0100-0000B4000000}" uniqueName="180" name="Independent Schools Standards: 28(2)(a)" queryTableFieldId="180"/>
    <tableColumn id="181" xr3:uid="{00000000-0010-0000-0100-0000B5000000}" uniqueName="181" name="Independent Schools Standards: 28(2)(b)" queryTableFieldId="181"/>
    <tableColumn id="182" xr3:uid="{00000000-0010-0000-0100-0000B6000000}" uniqueName="182" name="Independent Schools Standards: 29(1)" queryTableFieldId="182"/>
    <tableColumn id="183" xr3:uid="{00000000-0010-0000-0100-0000B7000000}" uniqueName="183" name="Independent Schools Standards: 29(1)(a)" queryTableFieldId="183"/>
    <tableColumn id="184" xr3:uid="{00000000-0010-0000-0100-0000B8000000}" uniqueName="184" name="Independent Schools Standards: 29(1)(b)" queryTableFieldId="184"/>
    <tableColumn id="185" xr3:uid="{00000000-0010-0000-0100-0000B9000000}" uniqueName="185" name="Independent Schools Standards: 30" queryTableFieldId="185"/>
    <tableColumn id="186" xr3:uid="{00000000-0010-0000-0100-0000BA000000}" uniqueName="186" name="Independent Schools Standards: 32(1)" queryTableFieldId="186"/>
    <tableColumn id="187" xr3:uid="{00000000-0010-0000-0100-0000BB000000}" uniqueName="187" name="Independent Schools Standards: 32(1)(a)" queryTableFieldId="187"/>
    <tableColumn id="188" xr3:uid="{00000000-0010-0000-0100-0000BC000000}" uniqueName="188" name="Independent Schools Standards: 32(1)(b)" queryTableFieldId="188"/>
    <tableColumn id="189" xr3:uid="{00000000-0010-0000-0100-0000BD000000}" uniqueName="189" name="Independent Schools Standards: 32(1)(c)" queryTableFieldId="189"/>
    <tableColumn id="190" xr3:uid="{00000000-0010-0000-0100-0000BE000000}" uniqueName="190" name="Independent Schools Standards: 32(1)(d)" queryTableFieldId="190"/>
    <tableColumn id="191" xr3:uid="{00000000-0010-0000-0100-0000BF000000}" uniqueName="191" name="Independent Schools Standards: 32(1)(e)" queryTableFieldId="191"/>
    <tableColumn id="192" xr3:uid="{00000000-0010-0000-0100-0000C0000000}" uniqueName="192" name="Independent Schools Standards: 32(1)(f)" queryTableFieldId="192"/>
    <tableColumn id="193" xr3:uid="{00000000-0010-0000-0100-0000C1000000}" uniqueName="193" name="Independent Schools Standards: 32(1)(g)" queryTableFieldId="193"/>
    <tableColumn id="194" xr3:uid="{00000000-0010-0000-0100-0000C2000000}" uniqueName="194" name="Independent Schools Standards: 32(1)(h)" queryTableFieldId="194"/>
    <tableColumn id="195" xr3:uid="{00000000-0010-0000-0100-0000C3000000}" uniqueName="195" name="Independent Schools Standards: 32(1)(i)" queryTableFieldId="195"/>
    <tableColumn id="196" xr3:uid="{00000000-0010-0000-0100-0000C4000000}" uniqueName="196" name="Independent Schools Standards: 32(1)(j)" queryTableFieldId="196"/>
    <tableColumn id="197" xr3:uid="{00000000-0010-0000-0100-0000C5000000}" uniqueName="197" name="Independent Schools Standards: 32(2)" queryTableFieldId="197"/>
    <tableColumn id="198" xr3:uid="{00000000-0010-0000-0100-0000C6000000}" uniqueName="198" name="Independent Schools Standards: 32(2)(a)" queryTableFieldId="198"/>
    <tableColumn id="199" xr3:uid="{00000000-0010-0000-0100-0000C7000000}" uniqueName="199" name="Independent Schools Standards: 32(2)(b)" queryTableFieldId="199"/>
    <tableColumn id="200" xr3:uid="{00000000-0010-0000-0100-0000C8000000}" uniqueName="200" name="Independent Schools Standards: 32(2)(b)(i)" queryTableFieldId="200"/>
    <tableColumn id="201" xr3:uid="{00000000-0010-0000-0100-0000C9000000}" uniqueName="201" name="Independent Schools Standards: 32(2)(b)(ii)" queryTableFieldId="201"/>
    <tableColumn id="202" xr3:uid="{00000000-0010-0000-0100-0000CA000000}" uniqueName="202" name="Independent Schools Standards: 32(2)(c)" queryTableFieldId="202"/>
    <tableColumn id="203" xr3:uid="{00000000-0010-0000-0100-0000CB000000}" uniqueName="203" name="Independent Schools Standards: 32(2)(d)" queryTableFieldId="203"/>
    <tableColumn id="204" xr3:uid="{00000000-0010-0000-0100-0000CC000000}" uniqueName="204" name="Independent Schools Standards: 32(3)" queryTableFieldId="204"/>
    <tableColumn id="205" xr3:uid="{00000000-0010-0000-0100-0000CD000000}" uniqueName="205" name="Independent Schools Standards: 32(3)(a)" queryTableFieldId="205"/>
    <tableColumn id="206" xr3:uid="{00000000-0010-0000-0100-0000CE000000}" uniqueName="206" name="Independent Schools Standards: 32(3)(b)" queryTableFieldId="206"/>
    <tableColumn id="207" xr3:uid="{00000000-0010-0000-0100-0000CF000000}" uniqueName="207" name="Independent Schools Standards: 32(3)(c)" queryTableFieldId="207"/>
    <tableColumn id="208" xr3:uid="{00000000-0010-0000-0100-0000D0000000}" uniqueName="208" name="Independent Schools Standards: 32(3)(d)" queryTableFieldId="208"/>
    <tableColumn id="209" xr3:uid="{00000000-0010-0000-0100-0000D1000000}" uniqueName="209" name="Independent Schools Standards: 32(3)(e)" queryTableFieldId="209"/>
    <tableColumn id="210" xr3:uid="{00000000-0010-0000-0100-0000D2000000}" uniqueName="210" name="Independent Schools Standards: 32(3)(f)" queryTableFieldId="210"/>
    <tableColumn id="211" xr3:uid="{00000000-0010-0000-0100-0000D3000000}" uniqueName="211" name="Independent Schools Standards: 32(3)(g)" queryTableFieldId="211"/>
    <tableColumn id="212" xr3:uid="{00000000-0010-0000-0100-0000D4000000}" uniqueName="212" name="Independent Schools Standards: 32(4)" queryTableFieldId="212"/>
    <tableColumn id="213" xr3:uid="{00000000-0010-0000-0100-0000D5000000}" uniqueName="213" name="Independent Schools Standards: 32(4)(a)" queryTableFieldId="213"/>
    <tableColumn id="214" xr3:uid="{00000000-0010-0000-0100-0000D6000000}" uniqueName="214" name="Independent Schools Standards: 32(4)(b)" queryTableFieldId="214"/>
    <tableColumn id="215" xr3:uid="{00000000-0010-0000-0100-0000D7000000}" uniqueName="215" name="Independent Schools Standards: 32(4)(c)" queryTableFieldId="215"/>
    <tableColumn id="216" xr3:uid="{00000000-0010-0000-0100-0000D8000000}" uniqueName="216" name="Independent Schools Standards: 33" queryTableFieldId="216"/>
    <tableColumn id="217" xr3:uid="{00000000-0010-0000-0100-0000D9000000}" uniqueName="217" name="Independent Schools Standards: 33(a)" queryTableFieldId="217"/>
    <tableColumn id="218" xr3:uid="{00000000-0010-0000-0100-0000DA000000}" uniqueName="218" name="Independent Schools Standards: 33(b)" queryTableFieldId="218"/>
    <tableColumn id="219" xr3:uid="{00000000-0010-0000-0100-0000DB000000}" uniqueName="219" name="Independent Schools Standards: 33(c)" queryTableFieldId="219"/>
    <tableColumn id="220" xr3:uid="{00000000-0010-0000-0100-0000DC000000}" uniqueName="220" name="Independent Schools Standards: 33(d)" queryTableFieldId="220"/>
    <tableColumn id="221" xr3:uid="{00000000-0010-0000-0100-0000DD000000}" uniqueName="221" name="Independent Schools Standards: 33(e)" queryTableFieldId="221"/>
    <tableColumn id="222" xr3:uid="{00000000-0010-0000-0100-0000DE000000}" uniqueName="222" name="Independent Schools Standards: 33(f)" queryTableFieldId="222"/>
    <tableColumn id="223" xr3:uid="{00000000-0010-0000-0100-0000DF000000}" uniqueName="223" name="Independent Schools Standards: 33(g)" queryTableFieldId="223"/>
    <tableColumn id="224" xr3:uid="{00000000-0010-0000-0100-0000E0000000}" uniqueName="224" name="Independent Schools Standards: 33(h)" queryTableFieldId="224"/>
    <tableColumn id="225" xr3:uid="{00000000-0010-0000-0100-0000E1000000}" uniqueName="225" name="Independent Schools Standards: 33(i)" queryTableFieldId="225"/>
    <tableColumn id="226" xr3:uid="{00000000-0010-0000-0100-0000E2000000}" uniqueName="226" name="Independent Schools Standards: 33(i)(i)" queryTableFieldId="226"/>
    <tableColumn id="227" xr3:uid="{00000000-0010-0000-0100-0000E3000000}" uniqueName="227" name="Independent Schools Standards: 33(i)(ii)" queryTableFieldId="227"/>
    <tableColumn id="228" xr3:uid="{00000000-0010-0000-0100-0000E4000000}" uniqueName="228" name="Independent Schools Standards: 33(j)" queryTableFieldId="228"/>
    <tableColumn id="229" xr3:uid="{00000000-0010-0000-0100-0000E5000000}" uniqueName="229" name="Independent Schools Standards: 33(j)(i)" queryTableFieldId="229"/>
    <tableColumn id="230" xr3:uid="{00000000-0010-0000-0100-0000E6000000}" uniqueName="230" name="Independent Schools Standards: 33(j)(ii)" queryTableFieldId="230"/>
    <tableColumn id="231" xr3:uid="{00000000-0010-0000-0100-0000E7000000}" uniqueName="231" name="Independent Schools Standards: 33(k)" queryTableFieldId="231"/>
    <tableColumn id="232" xr3:uid="{00000000-0010-0000-0100-0000E8000000}" uniqueName="232" name="Independent Schools Standards: 34(1)" queryTableFieldId="232"/>
    <tableColumn id="233" xr3:uid="{00000000-0010-0000-0100-0000E9000000}" uniqueName="233" name="Independent Schools Standards: 34(1)(a)" queryTableFieldId="233"/>
    <tableColumn id="234" xr3:uid="{00000000-0010-0000-0100-0000EA000000}" uniqueName="234" name="Independent Schools Standards: 34(1)(b)" queryTableFieldId="234"/>
    <tableColumn id="235" xr3:uid="{00000000-0010-0000-0100-0000EB000000}" uniqueName="235" name="Independent Schools Standards: 34(1)(c)" queryTableFieldId="235"/>
    <tableColumn id="236" xr3:uid="{00000000-0010-0000-0100-0000EC000000}" uniqueName="236" name="Safeguarding Procedure 1" queryTableFieldId="236"/>
    <tableColumn id="237" xr3:uid="{00000000-0010-0000-0100-0000ED000000}" uniqueName="237" name="Safeguarding Procedure 2" queryTableFieldId="237"/>
    <tableColumn id="238" xr3:uid="{00000000-0010-0000-0100-0000EE000000}" uniqueName="238" name="Safeguarding Procedure 3" queryTableFieldId="238"/>
    <tableColumn id="239" xr3:uid="{00000000-0010-0000-0100-0000EF000000}" uniqueName="239" name="Schedule 10 Equality Act 2010" queryTableFieldId="239"/>
    <tableColumn id="240" xr3:uid="{00000000-0010-0000-0100-0000F0000000}" uniqueName="240" name="Part 1. Quality of education provided - (Met)" queryTableFieldId="240"/>
    <tableColumn id="241" xr3:uid="{00000000-0010-0000-0100-0000F1000000}" uniqueName="241" name="Part 1. Quality of education provided - (No response)" queryTableFieldId="241"/>
    <tableColumn id="242" xr3:uid="{00000000-0010-0000-0100-0000F2000000}" uniqueName="242" name="Part 1. Quality of education provided - (Not applicable)" queryTableFieldId="242"/>
    <tableColumn id="243" xr3:uid="{00000000-0010-0000-0100-0000F3000000}" uniqueName="243" name="Part 1. Quality of education provided - (Not met)" queryTableFieldId="243"/>
    <tableColumn id="244" xr3:uid="{00000000-0010-0000-0100-0000F4000000}" uniqueName="244" name="Part 2. Spiritual, moral, social and cultural development of pupils - (Met)" queryTableFieldId="244"/>
    <tableColumn id="245" xr3:uid="{00000000-0010-0000-0100-0000F5000000}" uniqueName="245" name="Part 2. Spiritual, moral, social and cultural development of pupils - (No response)" queryTableFieldId="245"/>
    <tableColumn id="246" xr3:uid="{00000000-0010-0000-0100-0000F6000000}" uniqueName="246" name="Part 2. Spiritual, moral, social and cultural development of pupils - (Not applicable)" queryTableFieldId="246"/>
    <tableColumn id="247" xr3:uid="{00000000-0010-0000-0100-0000F7000000}" uniqueName="247" name="Part 2. Spiritual, moral, social and cultural development of pupils - (Not met)" queryTableFieldId="247"/>
    <tableColumn id="248" xr3:uid="{00000000-0010-0000-0100-0000F8000000}" uniqueName="248" name="Part 3. Welfare, health and safety of pupils - (Met)" queryTableFieldId="248"/>
    <tableColumn id="249" xr3:uid="{00000000-0010-0000-0100-0000F9000000}" uniqueName="249" name="Part 3. Welfare, health and safety of pupils - (No response)" queryTableFieldId="249"/>
    <tableColumn id="250" xr3:uid="{00000000-0010-0000-0100-0000FA000000}" uniqueName="250" name="Part 3. Welfare, health and safety of pupils - (Not applicable)" queryTableFieldId="250"/>
    <tableColumn id="251" xr3:uid="{00000000-0010-0000-0100-0000FB000000}" uniqueName="251" name="Part 3. Welfare, health and safety of pupils - (Not met)" queryTableFieldId="251"/>
    <tableColumn id="252" xr3:uid="{00000000-0010-0000-0100-0000FC000000}" uniqueName="252" name="Part 4. Suitability of staff, supply staff, and proprietors - (Met)" queryTableFieldId="252"/>
    <tableColumn id="253" xr3:uid="{00000000-0010-0000-0100-0000FD000000}" uniqueName="253" name="Part 4. Suitability of staff, supply staff, and proprietors - (No response)" queryTableFieldId="253"/>
    <tableColumn id="254" xr3:uid="{00000000-0010-0000-0100-0000FE000000}" uniqueName="254" name="Part 4. Suitability of staff, supply staff, and proprietors - (Not applicable)" queryTableFieldId="254"/>
    <tableColumn id="255" xr3:uid="{00000000-0010-0000-0100-0000FF000000}" uniqueName="255" name="Part 4. Suitability of staff, supply staff, and proprietors - (Not met)" queryTableFieldId="255"/>
    <tableColumn id="256" xr3:uid="{00000000-0010-0000-0100-000000010000}" uniqueName="256" name="Part 5. Premises of and accommodation at schools - (Met)" queryTableFieldId="256"/>
    <tableColumn id="257" xr3:uid="{00000000-0010-0000-0100-000001010000}" uniqueName="257" name="Part 5. Premises of and accommodation at schools - (No response)" queryTableFieldId="257"/>
    <tableColumn id="258" xr3:uid="{00000000-0010-0000-0100-000002010000}" uniqueName="258" name="Part 5. Premises of and accommodation at schools - (Not applicable)" queryTableFieldId="258"/>
    <tableColumn id="259" xr3:uid="{00000000-0010-0000-0100-000003010000}" uniqueName="259" name="Part 5. Premises of and accommodation at schools - (Not met)" queryTableFieldId="259"/>
    <tableColumn id="260" xr3:uid="{00000000-0010-0000-0100-000004010000}" uniqueName="260" name="Part 6. Provision of information - (Met)" queryTableFieldId="260"/>
    <tableColumn id="261" xr3:uid="{00000000-0010-0000-0100-000005010000}" uniqueName="261" name="Part 6. Provision of information - (No response)" queryTableFieldId="261"/>
    <tableColumn id="262" xr3:uid="{00000000-0010-0000-0100-000006010000}" uniqueName="262" name="Part 6. Provision of information - (Not applicable)" queryTableFieldId="262"/>
    <tableColumn id="263" xr3:uid="{00000000-0010-0000-0100-000007010000}" uniqueName="263" name="Part 6. Provision of information - (Not met)" queryTableFieldId="263"/>
    <tableColumn id="264" xr3:uid="{00000000-0010-0000-0100-000008010000}" uniqueName="264" name="Part 7. Manner in which complaints are handled - (Met)" queryTableFieldId="264"/>
    <tableColumn id="265" xr3:uid="{00000000-0010-0000-0100-000009010000}" uniqueName="265" name="Part 7. Manner in which complaints are handled - (No response)" queryTableFieldId="265"/>
    <tableColumn id="266" xr3:uid="{00000000-0010-0000-0100-00000A010000}" uniqueName="266" name="Part 7. Manner in which complaints are handled - (Not met)" queryTableFieldId="266"/>
    <tableColumn id="267" xr3:uid="{00000000-0010-0000-0100-00000B010000}" uniqueName="267" name="Part 8. Quality of leadership in and management of schools - (Met)" queryTableFieldId="267"/>
    <tableColumn id="268" xr3:uid="{00000000-0010-0000-0100-00000C010000}" uniqueName="268" name="Part 8. Quality of leadership in and management of schools - (No response)" queryTableFieldId="268"/>
    <tableColumn id="269" xr3:uid="{00000000-0010-0000-0100-00000D010000}" uniqueName="269" name="Part 8. Quality of leadership in and management of schools - (Not met)" queryTableFieldId="269"/>
  </tableColumns>
  <tableStyleInfo name="TableStyleMedium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_clu7sql1_ssdb_REPORT_vw_IE_External_MI_SON" displayName="Table_clu7sql1_ssdb_REPORT_vw_IE_External_MI_SON" ref="A4:AH1100" tableType="queryTable" totalsRowShown="0">
  <autoFilter ref="A4:AH1100" xr:uid="{00000000-0009-0000-0100-000003000000}"/>
  <tableColumns count="34">
    <tableColumn id="1" xr3:uid="{00000000-0010-0000-0200-000001000000}" uniqueName="1" name="Report" queryTableFieldId="1" dataDxfId="0"/>
    <tableColumn id="2" xr3:uid="{00000000-0010-0000-0200-000002000000}" uniqueName="2" name="URN" queryTableFieldId="2"/>
    <tableColumn id="3" xr3:uid="{00000000-0010-0000-0200-000003000000}" uniqueName="3" name="LAESTAB" queryTableFieldId="3"/>
    <tableColumn id="4" xr3:uid="{00000000-0010-0000-0200-000004000000}" uniqueName="4" name="Provider name" queryTableFieldId="4"/>
    <tableColumn id="5" xr3:uid="{00000000-0010-0000-0200-000005000000}" uniqueName="5" name="Provider type" queryTableFieldId="5"/>
    <tableColumn id="27" xr3:uid="{00000000-0010-0000-0200-00001B000000}" uniqueName="27" name="Religious character" queryTableFieldId="27"/>
    <tableColumn id="6" xr3:uid="{00000000-0010-0000-0200-000006000000}" uniqueName="6" name="Religious ethos" queryTableFieldId="6"/>
    <tableColumn id="8" xr3:uid="{00000000-0010-0000-0200-000008000000}" uniqueName="8" name="Provider open / closed status" queryTableFieldId="8"/>
    <tableColumn id="9" xr3:uid="{00000000-0010-0000-0200-000009000000}" uniqueName="9" name="Special needs" queryTableFieldId="9"/>
    <tableColumn id="10" xr3:uid="{00000000-0010-0000-0200-00000A000000}" uniqueName="10" name="Inspectorate" queryTableFieldId="10"/>
    <tableColumn id="11" xr3:uid="{00000000-0010-0000-0200-00000B000000}" uniqueName="11" name="Ofsted region" queryTableFieldId="11"/>
    <tableColumn id="12" xr3:uid="{00000000-0010-0000-0200-00000C000000}" uniqueName="12" name="Region" queryTableFieldId="12"/>
    <tableColumn id="13" xr3:uid="{00000000-0010-0000-0200-00000D000000}" uniqueName="13" name="Local authority" queryTableFieldId="13"/>
    <tableColumn id="14" xr3:uid="{00000000-0010-0000-0200-00000E000000}" uniqueName="14" name="Postcode" queryTableFieldId="14"/>
    <tableColumn id="15" xr3:uid="{00000000-0010-0000-0200-00000F000000}" uniqueName="15" name="Inspection number" queryTableFieldId="15"/>
    <tableColumn id="16" xr3:uid="{00000000-0010-0000-0200-000010000000}" uniqueName="16" name="First day of inspection" queryTableFieldId="16"/>
    <tableColumn id="17" xr3:uid="{00000000-0010-0000-0200-000011000000}" uniqueName="17" name="Last day of inspection" queryTableFieldId="17"/>
    <tableColumn id="18" xr3:uid="{00000000-0010-0000-0200-000012000000}" uniqueName="18" name="Publication date" queryTableFieldId="18"/>
    <tableColumn id="19" xr3:uid="{00000000-0010-0000-0200-000013000000}" uniqueName="19" name="Inspection type" queryTableFieldId="19"/>
    <tableColumn id="20" xr3:uid="{00000000-0010-0000-0200-000014000000}" uniqueName="20" name="Overall effectiveness" queryTableFieldId="20"/>
    <tableColumn id="28" xr3:uid="{00000000-0010-0000-0200-00001C000000}" uniqueName="28" name="Safeguarding is effective?" queryTableFieldId="28"/>
    <tableColumn id="21" xr3:uid="{00000000-0010-0000-0200-000015000000}" uniqueName="21" name="Effectiveness of leadership and management" queryTableFieldId="21"/>
    <tableColumn id="22" xr3:uid="{00000000-0010-0000-0200-000016000000}" uniqueName="22" name="Personal development, behaviour and welfare" queryTableFieldId="22"/>
    <tableColumn id="23" xr3:uid="{00000000-0010-0000-0200-000017000000}" uniqueName="23" name="Quality of teaching" queryTableFieldId="23"/>
    <tableColumn id="24" xr3:uid="{00000000-0010-0000-0200-000018000000}" uniqueName="24" name="Outcomes for pupils" queryTableFieldId="24"/>
    <tableColumn id="25" xr3:uid="{00000000-0010-0000-0200-000019000000}" uniqueName="25" name="Early years provision" queryTableFieldId="25"/>
    <tableColumn id="26" xr3:uid="{00000000-0010-0000-0200-00001A000000}" uniqueName="26" name="Sixth form provision" queryTableFieldId="26"/>
    <tableColumn id="29" xr3:uid="{00000000-0010-0000-0200-00001D000000}" uniqueName="29" name="Have all standards been met" queryTableFieldId="31"/>
    <tableColumn id="30" xr3:uid="{00000000-0010-0000-0200-00001E000000}" uniqueName="30" name="Prog Mon Event number" queryTableFieldId="33"/>
    <tableColumn id="31" xr3:uid="{00000000-0010-0000-0200-00001F000000}" uniqueName="31" name="Prog Mon Event type" queryTableFieldId="38"/>
    <tableColumn id="32" xr3:uid="{00000000-0010-0000-0200-000020000000}" uniqueName="32" name="Prog Mon event end date" queryTableFieldId="37"/>
    <tableColumn id="33" xr3:uid="{00000000-0010-0000-0200-000021000000}" uniqueName="33" name="Prog Mon Academic year" queryTableFieldId="36"/>
    <tableColumn id="34" xr3:uid="{00000000-0010-0000-0200-000022000000}" uniqueName="34" name="Prog Mon Last Publication date" queryTableFieldId="35"/>
    <tableColumn id="35" xr3:uid="{00000000-0010-0000-0200-000023000000}" uniqueName="35" name="Prog Mon Overall outcome" queryTableFieldId="34"/>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gov.uk/government/statistical-data-sets/non-association-independent-schools-inspections-and-outcomes-management-information" TargetMode="External"/><Relationship Id="rId3" Type="http://schemas.openxmlformats.org/officeDocument/2006/relationships/hyperlink" Target="mailto:psi@nationalarchives.gsi.gov.uk" TargetMode="External"/><Relationship Id="rId7" Type="http://schemas.openxmlformats.org/officeDocument/2006/relationships/hyperlink" Target="https://www.gov.uk/government/collections/independent-schools-inspections-and-outcomes" TargetMode="External"/><Relationship Id="rId2" Type="http://schemas.openxmlformats.org/officeDocument/2006/relationships/hyperlink" Target="http://www.nationalarchives.gov.uk/doc/open-government-licence/" TargetMode="External"/><Relationship Id="rId1" Type="http://schemas.openxmlformats.org/officeDocument/2006/relationships/hyperlink" Target="http://www.nationalarchives.gov.uk/doc/open-government-licence" TargetMode="External"/><Relationship Id="rId6" Type="http://schemas.openxmlformats.org/officeDocument/2006/relationships/hyperlink" Target="mailto:pressenquiries@ofsted.gov.uk" TargetMode="External"/><Relationship Id="rId5" Type="http://schemas.openxmlformats.org/officeDocument/2006/relationships/hyperlink" Target="mailto:enquiries@ofsted.gov.uk" TargetMode="External"/><Relationship Id="rId10" Type="http://schemas.openxmlformats.org/officeDocument/2006/relationships/drawing" Target="../drawings/drawing1.xml"/><Relationship Id="rId4" Type="http://schemas.openxmlformats.org/officeDocument/2006/relationships/hyperlink" Target="mailto:psi@nationalarchives.gsi.gov.uk" TargetMode="External"/><Relationship Id="rId9"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gov.uk/government/publications/common-inspection-framework-education-skills-and-early-years-from-september-2015"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7" tint="0.79998168889431442"/>
  </sheetPr>
  <dimension ref="B2:E27"/>
  <sheetViews>
    <sheetView tabSelected="1" zoomScaleNormal="100" workbookViewId="0"/>
  </sheetViews>
  <sheetFormatPr defaultColWidth="8.85546875" defaultRowHeight="15"/>
  <cols>
    <col min="1" max="1" width="2.7109375" style="211" customWidth="1"/>
    <col min="2" max="2" width="35.7109375" style="211" customWidth="1"/>
    <col min="3" max="3" width="80.7109375" style="211" customWidth="1"/>
    <col min="4" max="4" width="8.85546875" style="211" customWidth="1"/>
    <col min="5" max="16384" width="8.85546875" style="211"/>
  </cols>
  <sheetData>
    <row r="2" spans="2:5" s="188" customFormat="1" ht="100.15" customHeight="1">
      <c r="B2" s="271"/>
      <c r="C2" s="272"/>
    </row>
    <row r="3" spans="2:5" s="188" customFormat="1" ht="33" customHeight="1">
      <c r="B3" s="270" t="s">
        <v>0</v>
      </c>
      <c r="C3" s="270"/>
    </row>
    <row r="4" spans="2:5" s="188" customFormat="1">
      <c r="B4" s="189" t="s">
        <v>1</v>
      </c>
      <c r="C4" s="189" t="s">
        <v>22</v>
      </c>
    </row>
    <row r="5" spans="2:5" s="188" customFormat="1">
      <c r="B5" s="189" t="s">
        <v>2</v>
      </c>
      <c r="C5" s="189" t="s">
        <v>3</v>
      </c>
    </row>
    <row r="6" spans="2:5" s="188" customFormat="1">
      <c r="B6" s="189" t="s">
        <v>4</v>
      </c>
      <c r="C6" s="190">
        <v>43151</v>
      </c>
    </row>
    <row r="7" spans="2:5" s="188" customFormat="1">
      <c r="B7" s="191" t="s">
        <v>5</v>
      </c>
      <c r="C7" s="189" t="s">
        <v>6</v>
      </c>
    </row>
    <row r="8" spans="2:5" s="188" customFormat="1" ht="30">
      <c r="B8" s="192" t="s">
        <v>25</v>
      </c>
      <c r="C8" s="242" t="s">
        <v>2979</v>
      </c>
      <c r="E8" s="194"/>
    </row>
    <row r="9" spans="2:5" s="188" customFormat="1" ht="30">
      <c r="B9" s="192" t="s">
        <v>26</v>
      </c>
      <c r="C9" s="193" t="s">
        <v>2758</v>
      </c>
      <c r="E9" s="194"/>
    </row>
    <row r="10" spans="2:5" s="188" customFormat="1">
      <c r="B10" s="195" t="s">
        <v>7</v>
      </c>
      <c r="C10" s="196" t="s">
        <v>8</v>
      </c>
    </row>
    <row r="11" spans="2:5" s="188" customFormat="1">
      <c r="B11" s="197" t="s">
        <v>9</v>
      </c>
      <c r="C11" s="266" t="s">
        <v>23</v>
      </c>
    </row>
    <row r="12" spans="2:5" s="188" customFormat="1">
      <c r="B12" s="198" t="s">
        <v>10</v>
      </c>
      <c r="C12" s="199" t="s">
        <v>11</v>
      </c>
    </row>
    <row r="13" spans="2:5" s="188" customFormat="1">
      <c r="B13" s="198" t="s">
        <v>12</v>
      </c>
      <c r="C13" s="199" t="s">
        <v>13</v>
      </c>
    </row>
    <row r="14" spans="2:5" s="188" customFormat="1" ht="75">
      <c r="B14" s="265" t="s">
        <v>2775</v>
      </c>
      <c r="C14" s="199" t="s">
        <v>3114</v>
      </c>
    </row>
    <row r="15" spans="2:5" s="188" customFormat="1" ht="30">
      <c r="B15" s="198" t="s">
        <v>14</v>
      </c>
      <c r="C15" s="199" t="s">
        <v>24</v>
      </c>
    </row>
    <row r="16" spans="2:5" s="188" customFormat="1" ht="15.75">
      <c r="B16" s="200"/>
      <c r="C16" s="201"/>
    </row>
    <row r="17" spans="2:3" s="188" customFormat="1" ht="15.75">
      <c r="B17" s="202"/>
      <c r="C17" s="203"/>
    </row>
    <row r="18" spans="2:3" s="188" customFormat="1" ht="15.75">
      <c r="B18" s="202" t="s">
        <v>2744</v>
      </c>
      <c r="C18" s="203"/>
    </row>
    <row r="19" spans="2:3" s="188" customFormat="1" ht="15.75">
      <c r="B19" s="202"/>
      <c r="C19" s="204"/>
    </row>
    <row r="20" spans="2:3" s="188" customFormat="1" ht="15.75">
      <c r="B20" s="202" t="s">
        <v>15</v>
      </c>
      <c r="C20" s="205"/>
    </row>
    <row r="21" spans="2:3" s="188" customFormat="1" ht="15.75">
      <c r="B21" s="202" t="s">
        <v>16</v>
      </c>
      <c r="C21" s="205"/>
    </row>
    <row r="22" spans="2:3" s="188" customFormat="1" ht="15.75">
      <c r="B22" s="206" t="s">
        <v>17</v>
      </c>
      <c r="C22" s="205"/>
    </row>
    <row r="23" spans="2:3" s="188" customFormat="1" ht="15.75">
      <c r="B23" s="207" t="s">
        <v>18</v>
      </c>
      <c r="C23" s="208"/>
    </row>
    <row r="24" spans="2:3" s="188" customFormat="1" ht="15.75">
      <c r="B24" s="202" t="s">
        <v>19</v>
      </c>
      <c r="C24" s="203"/>
    </row>
    <row r="25" spans="2:3" s="188" customFormat="1" ht="15.75">
      <c r="B25" s="202" t="s">
        <v>20</v>
      </c>
      <c r="C25" s="203"/>
    </row>
    <row r="26" spans="2:3" s="188" customFormat="1" ht="15.75">
      <c r="B26" s="207" t="s">
        <v>21</v>
      </c>
      <c r="C26" s="208"/>
    </row>
    <row r="27" spans="2:3" s="188" customFormat="1" ht="15.75">
      <c r="B27" s="209"/>
      <c r="C27" s="210"/>
    </row>
  </sheetData>
  <sheetProtection sheet="1" objects="1" scenarios="1"/>
  <mergeCells count="2">
    <mergeCell ref="B3:C3"/>
    <mergeCell ref="B2:C2"/>
  </mergeCells>
  <hyperlinks>
    <hyperlink ref="B23:C23" r:id="rId1" display="visit http://www.nationalarchives.gov.uk/doc/open-government-licence/" xr:uid="{00000000-0004-0000-0000-000000000000}"/>
    <hyperlink ref="B23" r:id="rId2" xr:uid="{00000000-0004-0000-0000-000001000000}"/>
    <hyperlink ref="B26:C26" r:id="rId3" display="psi@nationalarchives.gsi.gov.uk" xr:uid="{00000000-0004-0000-0000-000002000000}"/>
    <hyperlink ref="B26" r:id="rId4" xr:uid="{00000000-0004-0000-0000-000003000000}"/>
    <hyperlink ref="C12" r:id="rId5" xr:uid="{00000000-0004-0000-0000-000004000000}"/>
    <hyperlink ref="C13" r:id="rId6" xr:uid="{00000000-0004-0000-0000-000005000000}"/>
    <hyperlink ref="C15" r:id="rId7" xr:uid="{00000000-0004-0000-0000-000006000000}"/>
    <hyperlink ref="C14" r:id="rId8" xr:uid="{00000000-0004-0000-0000-000007000000}"/>
  </hyperlinks>
  <pageMargins left="0.7" right="0.7" top="0.75" bottom="0.75" header="0.3" footer="0.3"/>
  <pageSetup paperSize="9" orientation="portrait" r:id="rId9"/>
  <drawing r:id="rId1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theme="6" tint="0.79998168889431442"/>
  </sheetPr>
  <dimension ref="A1:AH1100"/>
  <sheetViews>
    <sheetView showGridLines="0" workbookViewId="0"/>
  </sheetViews>
  <sheetFormatPr defaultRowHeight="15"/>
  <cols>
    <col min="1" max="1" width="26.140625" customWidth="1"/>
    <col min="2" max="2" width="7.28515625" bestFit="1" customWidth="1"/>
    <col min="3" max="3" width="10.85546875" bestFit="1" customWidth="1"/>
    <col min="4" max="4" width="53" bestFit="1" customWidth="1"/>
    <col min="5" max="5" width="31.85546875" bestFit="1" customWidth="1"/>
    <col min="6" max="6" width="21.42578125" bestFit="1" customWidth="1"/>
    <col min="7" max="7" width="28.5703125" bestFit="1" customWidth="1"/>
    <col min="8" max="8" width="29.5703125" bestFit="1" customWidth="1"/>
    <col min="9" max="9" width="15.5703125" bestFit="1" customWidth="1"/>
    <col min="10" max="10" width="14.42578125" bestFit="1" customWidth="1"/>
    <col min="11" max="11" width="35" bestFit="1" customWidth="1"/>
    <col min="12" max="12" width="24.42578125" bestFit="1" customWidth="1"/>
    <col min="13" max="13" width="25.28515625" bestFit="1" customWidth="1"/>
    <col min="14" max="14" width="11.42578125" bestFit="1" customWidth="1"/>
    <col min="15" max="15" width="20.28515625" bestFit="1" customWidth="1"/>
    <col min="16" max="16" width="23" bestFit="1" customWidth="1"/>
    <col min="17" max="17" width="22.5703125" bestFit="1" customWidth="1"/>
    <col min="18" max="18" width="17.85546875" bestFit="1" customWidth="1"/>
    <col min="19" max="19" width="58.85546875" bestFit="1" customWidth="1"/>
    <col min="20" max="20" width="22.42578125" bestFit="1" customWidth="1"/>
    <col min="21" max="21" width="26.5703125" bestFit="1" customWidth="1"/>
    <col min="22" max="22" width="44.140625" bestFit="1" customWidth="1"/>
    <col min="23" max="23" width="45.5703125" bestFit="1" customWidth="1"/>
    <col min="24" max="24" width="20.28515625" bestFit="1" customWidth="1"/>
    <col min="25" max="25" width="21.42578125" bestFit="1" customWidth="1"/>
    <col min="26" max="26" width="21.7109375" bestFit="1" customWidth="1"/>
    <col min="27" max="27" width="21.42578125" bestFit="1" customWidth="1"/>
    <col min="28" max="28" width="28.85546875" bestFit="1" customWidth="1"/>
    <col min="29" max="29" width="25.140625" bestFit="1" customWidth="1"/>
    <col min="30" max="30" width="40.140625" customWidth="1"/>
    <col min="31" max="31" width="23.140625" customWidth="1"/>
    <col min="32" max="32" width="25.5703125" bestFit="1" customWidth="1"/>
    <col min="33" max="33" width="31.140625" bestFit="1" customWidth="1"/>
    <col min="34" max="34" width="41.85546875" bestFit="1" customWidth="1"/>
  </cols>
  <sheetData>
    <row r="1" spans="1:34" s="10" customFormat="1">
      <c r="A1" s="258" t="s">
        <v>3116</v>
      </c>
    </row>
    <row r="2" spans="1:34" s="10" customFormat="1" ht="12.75">
      <c r="A2" s="10" t="str">
        <f>Cover!C9</f>
        <v>Most recent inspections published by 31 December 2017</v>
      </c>
      <c r="C2" s="123"/>
    </row>
    <row r="3" spans="1:34">
      <c r="AC3" s="1"/>
    </row>
    <row r="4" spans="1:34">
      <c r="A4" t="s">
        <v>39</v>
      </c>
      <c r="B4" t="s">
        <v>40</v>
      </c>
      <c r="C4" t="s">
        <v>41</v>
      </c>
      <c r="D4" t="s">
        <v>42</v>
      </c>
      <c r="E4" t="s">
        <v>27</v>
      </c>
      <c r="F4" t="s">
        <v>65</v>
      </c>
      <c r="G4" t="s">
        <v>66</v>
      </c>
      <c r="H4" t="s">
        <v>2728</v>
      </c>
      <c r="I4" t="s">
        <v>67</v>
      </c>
      <c r="J4" t="s">
        <v>68</v>
      </c>
      <c r="K4" t="s">
        <v>43</v>
      </c>
      <c r="L4" t="s">
        <v>44</v>
      </c>
      <c r="M4" t="s">
        <v>45</v>
      </c>
      <c r="N4" t="s">
        <v>46</v>
      </c>
      <c r="O4" t="s">
        <v>47</v>
      </c>
      <c r="P4" t="s">
        <v>48</v>
      </c>
      <c r="Q4" t="s">
        <v>49</v>
      </c>
      <c r="R4" t="s">
        <v>50</v>
      </c>
      <c r="S4" t="s">
        <v>51</v>
      </c>
      <c r="T4" t="s">
        <v>28</v>
      </c>
      <c r="U4" t="s">
        <v>124</v>
      </c>
      <c r="V4" t="s">
        <v>52</v>
      </c>
      <c r="W4" t="s">
        <v>53</v>
      </c>
      <c r="X4" t="s">
        <v>54</v>
      </c>
      <c r="Y4" t="s">
        <v>55</v>
      </c>
      <c r="Z4" t="s">
        <v>56</v>
      </c>
      <c r="AA4" t="s">
        <v>57</v>
      </c>
      <c r="AB4" t="s">
        <v>2731</v>
      </c>
      <c r="AC4" t="s">
        <v>2763</v>
      </c>
      <c r="AD4" t="s">
        <v>2764</v>
      </c>
      <c r="AE4" t="s">
        <v>2765</v>
      </c>
      <c r="AF4" t="s">
        <v>2766</v>
      </c>
      <c r="AG4" t="s">
        <v>2767</v>
      </c>
      <c r="AH4" t="s">
        <v>2768</v>
      </c>
    </row>
    <row r="5" spans="1:34">
      <c r="A5" s="149" t="str">
        <f>HYPERLINK("http://www.ofsted.gov.uk/inspection-reports/find-inspection-report/provider/ELS/134909 ","Ofsted School Webpage")</f>
        <v>Ofsted School Webpage</v>
      </c>
      <c r="B5">
        <v>134909</v>
      </c>
      <c r="C5">
        <v>9336207</v>
      </c>
      <c r="D5" t="s">
        <v>911</v>
      </c>
      <c r="E5" t="s">
        <v>38</v>
      </c>
      <c r="F5" t="s">
        <v>184</v>
      </c>
      <c r="G5" t="s">
        <v>184</v>
      </c>
      <c r="H5" t="s">
        <v>2729</v>
      </c>
      <c r="I5" t="s">
        <v>2730</v>
      </c>
      <c r="J5" t="s">
        <v>186</v>
      </c>
      <c r="K5" t="s">
        <v>225</v>
      </c>
      <c r="L5" t="s">
        <v>225</v>
      </c>
      <c r="M5" t="s">
        <v>262</v>
      </c>
      <c r="N5" t="s">
        <v>912</v>
      </c>
      <c r="O5" t="s">
        <v>913</v>
      </c>
      <c r="P5" s="120">
        <v>42122</v>
      </c>
      <c r="Q5" s="120">
        <v>42124</v>
      </c>
      <c r="R5" s="120">
        <v>42164</v>
      </c>
      <c r="S5" t="s">
        <v>196</v>
      </c>
      <c r="T5">
        <v>2</v>
      </c>
      <c r="U5" t="s">
        <v>2730</v>
      </c>
      <c r="V5">
        <v>2</v>
      </c>
      <c r="W5" t="s">
        <v>2730</v>
      </c>
      <c r="X5">
        <v>2</v>
      </c>
      <c r="Y5">
        <v>2</v>
      </c>
      <c r="Z5">
        <v>9</v>
      </c>
      <c r="AA5">
        <v>2</v>
      </c>
      <c r="AB5" t="s">
        <v>2730</v>
      </c>
      <c r="AC5" t="s">
        <v>2730</v>
      </c>
      <c r="AD5" t="s">
        <v>2730</v>
      </c>
      <c r="AE5" t="s">
        <v>2730</v>
      </c>
      <c r="AF5" t="s">
        <v>2730</v>
      </c>
      <c r="AG5" t="s">
        <v>2730</v>
      </c>
      <c r="AH5" t="s">
        <v>2730</v>
      </c>
    </row>
    <row r="6" spans="1:34">
      <c r="A6" s="149" t="str">
        <f>HYPERLINK("http://www.ofsted.gov.uk/inspection-reports/find-inspection-report/provider/ELS/132772 ","Ofsted School Webpage")</f>
        <v>Ofsted School Webpage</v>
      </c>
      <c r="B6">
        <v>132772</v>
      </c>
      <c r="C6">
        <v>8936096</v>
      </c>
      <c r="D6" t="s">
        <v>914</v>
      </c>
      <c r="E6" t="s">
        <v>38</v>
      </c>
      <c r="F6" t="s">
        <v>184</v>
      </c>
      <c r="G6" t="s">
        <v>184</v>
      </c>
      <c r="H6" t="s">
        <v>2729</v>
      </c>
      <c r="I6" t="s">
        <v>2730</v>
      </c>
      <c r="J6" t="s">
        <v>186</v>
      </c>
      <c r="K6" t="s">
        <v>193</v>
      </c>
      <c r="L6" t="s">
        <v>193</v>
      </c>
      <c r="M6" t="s">
        <v>194</v>
      </c>
      <c r="N6" t="s">
        <v>915</v>
      </c>
      <c r="O6">
        <v>10006013</v>
      </c>
      <c r="P6" s="120">
        <v>42626</v>
      </c>
      <c r="Q6" s="120">
        <v>42628</v>
      </c>
      <c r="R6" s="120">
        <v>42655</v>
      </c>
      <c r="S6" t="s">
        <v>196</v>
      </c>
      <c r="T6">
        <v>2</v>
      </c>
      <c r="U6" t="s">
        <v>128</v>
      </c>
      <c r="V6">
        <v>2</v>
      </c>
      <c r="W6">
        <v>2</v>
      </c>
      <c r="X6">
        <v>2</v>
      </c>
      <c r="Y6">
        <v>2</v>
      </c>
      <c r="Z6" t="s">
        <v>2730</v>
      </c>
      <c r="AA6" t="s">
        <v>2730</v>
      </c>
      <c r="AB6" t="s">
        <v>2732</v>
      </c>
      <c r="AC6" t="s">
        <v>2730</v>
      </c>
      <c r="AD6" t="s">
        <v>2730</v>
      </c>
      <c r="AE6" t="s">
        <v>2730</v>
      </c>
      <c r="AF6" t="s">
        <v>2730</v>
      </c>
      <c r="AG6" t="s">
        <v>2730</v>
      </c>
      <c r="AH6" t="s">
        <v>2730</v>
      </c>
    </row>
    <row r="7" spans="1:34">
      <c r="A7" s="149" t="str">
        <f>HYPERLINK("http://www.ofsted.gov.uk/inspection-reports/find-inspection-report/provider/ELS/130854 ","Ofsted School Webpage")</f>
        <v>Ofsted School Webpage</v>
      </c>
      <c r="B7">
        <v>130854</v>
      </c>
      <c r="C7">
        <v>9356084</v>
      </c>
      <c r="D7" t="s">
        <v>916</v>
      </c>
      <c r="E7" t="s">
        <v>38</v>
      </c>
      <c r="F7" t="s">
        <v>184</v>
      </c>
      <c r="G7" t="s">
        <v>184</v>
      </c>
      <c r="H7" t="s">
        <v>2729</v>
      </c>
      <c r="I7" t="s">
        <v>2730</v>
      </c>
      <c r="J7" t="s">
        <v>186</v>
      </c>
      <c r="K7" t="s">
        <v>220</v>
      </c>
      <c r="L7" t="s">
        <v>220</v>
      </c>
      <c r="M7" t="s">
        <v>297</v>
      </c>
      <c r="N7" t="s">
        <v>917</v>
      </c>
      <c r="O7">
        <v>10008942</v>
      </c>
      <c r="P7" s="120">
        <v>42920</v>
      </c>
      <c r="Q7" s="120">
        <v>42922</v>
      </c>
      <c r="R7" s="120">
        <v>42969</v>
      </c>
      <c r="S7" t="s">
        <v>3119</v>
      </c>
      <c r="T7">
        <v>3</v>
      </c>
      <c r="U7" t="s">
        <v>128</v>
      </c>
      <c r="V7">
        <v>3</v>
      </c>
      <c r="W7">
        <v>2</v>
      </c>
      <c r="X7">
        <v>2</v>
      </c>
      <c r="Y7">
        <v>2</v>
      </c>
      <c r="Z7" t="s">
        <v>2730</v>
      </c>
      <c r="AA7" t="s">
        <v>2730</v>
      </c>
      <c r="AB7" t="s">
        <v>2732</v>
      </c>
      <c r="AC7" t="s">
        <v>2730</v>
      </c>
      <c r="AD7" t="s">
        <v>2730</v>
      </c>
      <c r="AE7" t="s">
        <v>2730</v>
      </c>
      <c r="AF7" t="s">
        <v>2730</v>
      </c>
      <c r="AG7" t="s">
        <v>2730</v>
      </c>
      <c r="AH7" t="s">
        <v>2730</v>
      </c>
    </row>
    <row r="8" spans="1:34">
      <c r="A8" s="149" t="str">
        <f>HYPERLINK("http://www.ofsted.gov.uk/inspection-reports/find-inspection-report/provider/ELS/135066 ","Ofsted School Webpage")</f>
        <v>Ofsted School Webpage</v>
      </c>
      <c r="B8">
        <v>135066</v>
      </c>
      <c r="C8">
        <v>9266152</v>
      </c>
      <c r="D8" t="s">
        <v>918</v>
      </c>
      <c r="E8" t="s">
        <v>38</v>
      </c>
      <c r="F8" t="s">
        <v>184</v>
      </c>
      <c r="G8" t="s">
        <v>184</v>
      </c>
      <c r="H8" t="s">
        <v>2729</v>
      </c>
      <c r="I8" t="s">
        <v>2730</v>
      </c>
      <c r="J8" t="s">
        <v>186</v>
      </c>
      <c r="K8" t="s">
        <v>220</v>
      </c>
      <c r="L8" t="s">
        <v>220</v>
      </c>
      <c r="M8" t="s">
        <v>445</v>
      </c>
      <c r="N8" t="s">
        <v>919</v>
      </c>
      <c r="O8">
        <v>10006086</v>
      </c>
      <c r="P8" s="120">
        <v>42486</v>
      </c>
      <c r="Q8" s="120">
        <v>42488</v>
      </c>
      <c r="R8" s="120">
        <v>42534</v>
      </c>
      <c r="S8" t="s">
        <v>196</v>
      </c>
      <c r="T8">
        <v>3</v>
      </c>
      <c r="U8" t="s">
        <v>128</v>
      </c>
      <c r="V8">
        <v>3</v>
      </c>
      <c r="W8">
        <v>2</v>
      </c>
      <c r="X8">
        <v>3</v>
      </c>
      <c r="Y8">
        <v>3</v>
      </c>
      <c r="Z8" t="s">
        <v>2730</v>
      </c>
      <c r="AA8">
        <v>3</v>
      </c>
      <c r="AB8" t="s">
        <v>2732</v>
      </c>
      <c r="AC8" t="s">
        <v>2730</v>
      </c>
      <c r="AD8" t="s">
        <v>2730</v>
      </c>
      <c r="AE8" t="s">
        <v>2730</v>
      </c>
      <c r="AF8" t="s">
        <v>2730</v>
      </c>
      <c r="AG8" t="s">
        <v>2730</v>
      </c>
      <c r="AH8" t="s">
        <v>2730</v>
      </c>
    </row>
    <row r="9" spans="1:34">
      <c r="A9" s="149" t="str">
        <f>HYPERLINK("http://www.ofsted.gov.uk/inspection-reports/find-inspection-report/provider/ELS/102694 ","Ofsted School Webpage")</f>
        <v>Ofsted School Webpage</v>
      </c>
      <c r="B9">
        <v>102694</v>
      </c>
      <c r="C9">
        <v>3156076</v>
      </c>
      <c r="D9" t="s">
        <v>547</v>
      </c>
      <c r="E9" t="s">
        <v>38</v>
      </c>
      <c r="F9" t="s">
        <v>184</v>
      </c>
      <c r="G9" t="s">
        <v>184</v>
      </c>
      <c r="H9" t="s">
        <v>2729</v>
      </c>
      <c r="I9" t="s">
        <v>2730</v>
      </c>
      <c r="J9" t="s">
        <v>186</v>
      </c>
      <c r="K9" t="s">
        <v>232</v>
      </c>
      <c r="L9" t="s">
        <v>232</v>
      </c>
      <c r="M9" t="s">
        <v>236</v>
      </c>
      <c r="N9" t="s">
        <v>548</v>
      </c>
      <c r="O9">
        <v>10006008</v>
      </c>
      <c r="P9" s="120">
        <v>42710</v>
      </c>
      <c r="Q9" s="120">
        <v>42712</v>
      </c>
      <c r="R9" s="120">
        <v>42790</v>
      </c>
      <c r="S9" t="s">
        <v>196</v>
      </c>
      <c r="T9">
        <v>1</v>
      </c>
      <c r="U9" t="s">
        <v>128</v>
      </c>
      <c r="V9">
        <v>1</v>
      </c>
      <c r="W9">
        <v>1</v>
      </c>
      <c r="X9">
        <v>1</v>
      </c>
      <c r="Y9">
        <v>1</v>
      </c>
      <c r="Z9">
        <v>1</v>
      </c>
      <c r="AA9">
        <v>1</v>
      </c>
      <c r="AB9" t="s">
        <v>2732</v>
      </c>
      <c r="AC9" t="s">
        <v>2730</v>
      </c>
      <c r="AD9" t="s">
        <v>2730</v>
      </c>
      <c r="AE9" t="s">
        <v>2730</v>
      </c>
      <c r="AF9" t="s">
        <v>2730</v>
      </c>
      <c r="AG9" t="s">
        <v>2730</v>
      </c>
      <c r="AH9" t="s">
        <v>2730</v>
      </c>
    </row>
    <row r="10" spans="1:34">
      <c r="A10" s="149" t="str">
        <f>HYPERLINK("http://www.ofsted.gov.uk/inspection-reports/find-inspection-report/provider/ELS/131536 ","Ofsted School Webpage")</f>
        <v>Ofsted School Webpage</v>
      </c>
      <c r="B10">
        <v>131536</v>
      </c>
      <c r="C10">
        <v>8916026</v>
      </c>
      <c r="D10" t="s">
        <v>920</v>
      </c>
      <c r="E10" t="s">
        <v>38</v>
      </c>
      <c r="F10" t="s">
        <v>184</v>
      </c>
      <c r="G10" t="s">
        <v>184</v>
      </c>
      <c r="H10" t="s">
        <v>2729</v>
      </c>
      <c r="I10" t="s">
        <v>2730</v>
      </c>
      <c r="J10" t="s">
        <v>186</v>
      </c>
      <c r="K10" t="s">
        <v>214</v>
      </c>
      <c r="L10" t="s">
        <v>214</v>
      </c>
      <c r="M10" t="s">
        <v>320</v>
      </c>
      <c r="N10" t="s">
        <v>921</v>
      </c>
      <c r="O10">
        <v>10033624</v>
      </c>
      <c r="P10" s="120">
        <v>42906</v>
      </c>
      <c r="Q10" s="120">
        <v>42907</v>
      </c>
      <c r="R10" s="120">
        <v>42933</v>
      </c>
      <c r="S10" t="s">
        <v>267</v>
      </c>
      <c r="T10">
        <v>2</v>
      </c>
      <c r="U10" t="s">
        <v>128</v>
      </c>
      <c r="V10">
        <v>2</v>
      </c>
      <c r="W10">
        <v>2</v>
      </c>
      <c r="X10">
        <v>2</v>
      </c>
      <c r="Y10">
        <v>2</v>
      </c>
      <c r="Z10" t="s">
        <v>2730</v>
      </c>
      <c r="AA10" t="s">
        <v>2730</v>
      </c>
      <c r="AB10" t="s">
        <v>2732</v>
      </c>
      <c r="AC10" t="s">
        <v>2730</v>
      </c>
      <c r="AD10" t="s">
        <v>2730</v>
      </c>
      <c r="AE10" t="s">
        <v>2730</v>
      </c>
      <c r="AF10" t="s">
        <v>2730</v>
      </c>
      <c r="AG10" t="s">
        <v>2730</v>
      </c>
      <c r="AH10" t="s">
        <v>2730</v>
      </c>
    </row>
    <row r="11" spans="1:34">
      <c r="A11" s="149" t="str">
        <f>HYPERLINK("http://www.ofsted.gov.uk/inspection-reports/find-inspection-report/provider/ELS/135576 ","Ofsted School Webpage")</f>
        <v>Ofsted School Webpage</v>
      </c>
      <c r="B11">
        <v>135576</v>
      </c>
      <c r="C11">
        <v>8876130</v>
      </c>
      <c r="D11" t="s">
        <v>922</v>
      </c>
      <c r="E11" t="s">
        <v>38</v>
      </c>
      <c r="F11" t="s">
        <v>184</v>
      </c>
      <c r="G11" t="s">
        <v>184</v>
      </c>
      <c r="H11" t="s">
        <v>2729</v>
      </c>
      <c r="I11" t="s">
        <v>2730</v>
      </c>
      <c r="J11" t="s">
        <v>186</v>
      </c>
      <c r="K11" t="s">
        <v>181</v>
      </c>
      <c r="L11" t="s">
        <v>181</v>
      </c>
      <c r="M11" t="s">
        <v>272</v>
      </c>
      <c r="N11" t="s">
        <v>923</v>
      </c>
      <c r="O11">
        <v>10008610</v>
      </c>
      <c r="P11" s="120">
        <v>42528</v>
      </c>
      <c r="Q11" s="120">
        <v>42530</v>
      </c>
      <c r="R11" s="120">
        <v>42557</v>
      </c>
      <c r="S11" t="s">
        <v>196</v>
      </c>
      <c r="T11">
        <v>2</v>
      </c>
      <c r="U11" t="s">
        <v>128</v>
      </c>
      <c r="V11">
        <v>2</v>
      </c>
      <c r="W11">
        <v>2</v>
      </c>
      <c r="X11">
        <v>2</v>
      </c>
      <c r="Y11">
        <v>2</v>
      </c>
      <c r="Z11" t="s">
        <v>2730</v>
      </c>
      <c r="AA11">
        <v>2</v>
      </c>
      <c r="AB11" t="s">
        <v>2732</v>
      </c>
      <c r="AC11" t="s">
        <v>2730</v>
      </c>
      <c r="AD11" t="s">
        <v>2730</v>
      </c>
      <c r="AE11" t="s">
        <v>2730</v>
      </c>
      <c r="AF11" t="s">
        <v>2730</v>
      </c>
      <c r="AG11" t="s">
        <v>2730</v>
      </c>
      <c r="AH11" t="s">
        <v>2730</v>
      </c>
    </row>
    <row r="12" spans="1:34">
      <c r="A12" s="149" t="str">
        <f>HYPERLINK("http://www.ofsted.gov.uk/inspection-reports/find-inspection-report/provider/ELS/136050 ","Ofsted School Webpage")</f>
        <v>Ofsted School Webpage</v>
      </c>
      <c r="B12">
        <v>136050</v>
      </c>
      <c r="C12">
        <v>8886112</v>
      </c>
      <c r="D12" t="s">
        <v>341</v>
      </c>
      <c r="E12" t="s">
        <v>38</v>
      </c>
      <c r="F12" t="s">
        <v>184</v>
      </c>
      <c r="G12" t="s">
        <v>184</v>
      </c>
      <c r="H12" t="s">
        <v>2729</v>
      </c>
      <c r="I12" t="s">
        <v>2730</v>
      </c>
      <c r="J12" t="s">
        <v>186</v>
      </c>
      <c r="K12" t="s">
        <v>205</v>
      </c>
      <c r="L12" t="s">
        <v>205</v>
      </c>
      <c r="M12" t="s">
        <v>206</v>
      </c>
      <c r="N12" t="s">
        <v>342</v>
      </c>
      <c r="O12">
        <v>10026015</v>
      </c>
      <c r="P12" s="120">
        <v>43011</v>
      </c>
      <c r="Q12" s="120">
        <v>43012</v>
      </c>
      <c r="R12" s="120">
        <v>43031</v>
      </c>
      <c r="S12" t="s">
        <v>196</v>
      </c>
      <c r="T12">
        <v>2</v>
      </c>
      <c r="U12" t="s">
        <v>128</v>
      </c>
      <c r="V12">
        <v>2</v>
      </c>
      <c r="W12">
        <v>1</v>
      </c>
      <c r="X12">
        <v>2</v>
      </c>
      <c r="Y12">
        <v>2</v>
      </c>
      <c r="Z12" t="s">
        <v>2730</v>
      </c>
      <c r="AA12" t="s">
        <v>2730</v>
      </c>
      <c r="AB12" t="s">
        <v>2732</v>
      </c>
      <c r="AC12" t="s">
        <v>2730</v>
      </c>
      <c r="AD12" t="s">
        <v>2730</v>
      </c>
      <c r="AE12" t="s">
        <v>2730</v>
      </c>
      <c r="AF12" t="s">
        <v>2730</v>
      </c>
      <c r="AG12" t="s">
        <v>2730</v>
      </c>
      <c r="AH12" t="s">
        <v>2730</v>
      </c>
    </row>
    <row r="13" spans="1:34">
      <c r="A13" s="149" t="str">
        <f>HYPERLINK("http://www.ofsted.gov.uk/inspection-reports/find-inspection-report/provider/ELS/133429 ","Ofsted School Webpage")</f>
        <v>Ofsted School Webpage</v>
      </c>
      <c r="B13">
        <v>133429</v>
      </c>
      <c r="C13">
        <v>8116012</v>
      </c>
      <c r="D13" t="s">
        <v>1071</v>
      </c>
      <c r="E13" t="s">
        <v>38</v>
      </c>
      <c r="F13" t="s">
        <v>184</v>
      </c>
      <c r="G13" t="s">
        <v>184</v>
      </c>
      <c r="H13" t="s">
        <v>2729</v>
      </c>
      <c r="I13" t="s">
        <v>2730</v>
      </c>
      <c r="J13" t="s">
        <v>186</v>
      </c>
      <c r="K13" t="s">
        <v>245</v>
      </c>
      <c r="L13" t="s">
        <v>246</v>
      </c>
      <c r="M13" t="s">
        <v>704</v>
      </c>
      <c r="N13" t="s">
        <v>1072</v>
      </c>
      <c r="O13" t="s">
        <v>1073</v>
      </c>
      <c r="P13" s="120">
        <v>42136</v>
      </c>
      <c r="Q13" s="120">
        <v>42138</v>
      </c>
      <c r="R13" s="120">
        <v>42171</v>
      </c>
      <c r="S13" t="s">
        <v>196</v>
      </c>
      <c r="T13">
        <v>2</v>
      </c>
      <c r="U13" t="s">
        <v>2730</v>
      </c>
      <c r="V13">
        <v>2</v>
      </c>
      <c r="W13" t="s">
        <v>2730</v>
      </c>
      <c r="X13">
        <v>2</v>
      </c>
      <c r="Y13">
        <v>2</v>
      </c>
      <c r="Z13">
        <v>9</v>
      </c>
      <c r="AA13">
        <v>9</v>
      </c>
      <c r="AB13" t="s">
        <v>2730</v>
      </c>
      <c r="AC13" t="s">
        <v>2730</v>
      </c>
      <c r="AD13" t="s">
        <v>2730</v>
      </c>
      <c r="AE13" t="s">
        <v>2730</v>
      </c>
      <c r="AF13" t="s">
        <v>2730</v>
      </c>
      <c r="AG13" t="s">
        <v>2730</v>
      </c>
      <c r="AH13" t="s">
        <v>2730</v>
      </c>
    </row>
    <row r="14" spans="1:34">
      <c r="A14" s="149" t="str">
        <f>HYPERLINK("http://www.ofsted.gov.uk/inspection-reports/find-inspection-report/provider/ELS/135803 ","Ofsted School Webpage")</f>
        <v>Ofsted School Webpage</v>
      </c>
      <c r="B14">
        <v>135803</v>
      </c>
      <c r="C14">
        <v>8786213</v>
      </c>
      <c r="D14" t="s">
        <v>1074</v>
      </c>
      <c r="E14" t="s">
        <v>38</v>
      </c>
      <c r="F14" t="s">
        <v>184</v>
      </c>
      <c r="G14" t="s">
        <v>184</v>
      </c>
      <c r="H14" t="s">
        <v>2729</v>
      </c>
      <c r="I14" t="s">
        <v>2730</v>
      </c>
      <c r="J14" t="s">
        <v>186</v>
      </c>
      <c r="K14" t="s">
        <v>225</v>
      </c>
      <c r="L14" t="s">
        <v>225</v>
      </c>
      <c r="M14" t="s">
        <v>367</v>
      </c>
      <c r="N14" t="s">
        <v>1075</v>
      </c>
      <c r="O14">
        <v>10008891</v>
      </c>
      <c r="P14" s="120">
        <v>42500</v>
      </c>
      <c r="Q14" s="120">
        <v>42502</v>
      </c>
      <c r="R14" s="120">
        <v>42543</v>
      </c>
      <c r="S14" t="s">
        <v>196</v>
      </c>
      <c r="T14">
        <v>3</v>
      </c>
      <c r="U14" t="s">
        <v>128</v>
      </c>
      <c r="V14">
        <v>3</v>
      </c>
      <c r="W14">
        <v>3</v>
      </c>
      <c r="X14">
        <v>3</v>
      </c>
      <c r="Y14">
        <v>3</v>
      </c>
      <c r="Z14" t="s">
        <v>2730</v>
      </c>
      <c r="AA14">
        <v>3</v>
      </c>
      <c r="AB14" t="s">
        <v>2732</v>
      </c>
      <c r="AC14" t="s">
        <v>2730</v>
      </c>
      <c r="AD14" t="s">
        <v>2730</v>
      </c>
      <c r="AE14" t="s">
        <v>2730</v>
      </c>
      <c r="AF14" t="s">
        <v>2730</v>
      </c>
      <c r="AG14" t="s">
        <v>2730</v>
      </c>
      <c r="AH14" t="s">
        <v>2730</v>
      </c>
    </row>
    <row r="15" spans="1:34">
      <c r="A15" s="149" t="str">
        <f>HYPERLINK("http://www.ofsted.gov.uk/inspection-reports/find-inspection-report/provider/ELS/117048 ","Ofsted School Webpage")</f>
        <v>Ofsted School Webpage</v>
      </c>
      <c r="B15">
        <v>117048</v>
      </c>
      <c r="C15">
        <v>8846010</v>
      </c>
      <c r="D15" t="s">
        <v>1076</v>
      </c>
      <c r="E15" t="s">
        <v>38</v>
      </c>
      <c r="F15" t="s">
        <v>184</v>
      </c>
      <c r="G15" t="s">
        <v>184</v>
      </c>
      <c r="H15" t="s">
        <v>2729</v>
      </c>
      <c r="I15" t="s">
        <v>2730</v>
      </c>
      <c r="J15" t="s">
        <v>186</v>
      </c>
      <c r="K15" t="s">
        <v>193</v>
      </c>
      <c r="L15" t="s">
        <v>193</v>
      </c>
      <c r="M15" t="s">
        <v>1077</v>
      </c>
      <c r="N15" t="s">
        <v>1078</v>
      </c>
      <c r="O15" t="s">
        <v>1079</v>
      </c>
      <c r="P15" s="120">
        <v>41235</v>
      </c>
      <c r="Q15" s="120">
        <v>41236</v>
      </c>
      <c r="R15" s="120">
        <v>41255</v>
      </c>
      <c r="S15" t="s">
        <v>196</v>
      </c>
      <c r="T15">
        <v>2</v>
      </c>
      <c r="U15" t="s">
        <v>2730</v>
      </c>
      <c r="V15" t="s">
        <v>2730</v>
      </c>
      <c r="W15" t="s">
        <v>2730</v>
      </c>
      <c r="X15">
        <v>2</v>
      </c>
      <c r="Y15">
        <v>2</v>
      </c>
      <c r="Z15">
        <v>8</v>
      </c>
      <c r="AA15" t="s">
        <v>2730</v>
      </c>
      <c r="AB15" t="s">
        <v>2730</v>
      </c>
      <c r="AC15" t="s">
        <v>2730</v>
      </c>
      <c r="AD15" t="s">
        <v>2730</v>
      </c>
      <c r="AE15" t="s">
        <v>2730</v>
      </c>
      <c r="AF15" t="s">
        <v>2730</v>
      </c>
      <c r="AG15" t="s">
        <v>2730</v>
      </c>
      <c r="AH15" t="s">
        <v>2730</v>
      </c>
    </row>
    <row r="16" spans="1:34">
      <c r="A16" s="149" t="str">
        <f>HYPERLINK("http://www.ofsted.gov.uk/inspection-reports/find-inspection-report/provider/ELS/141879 ","Ofsted School Webpage")</f>
        <v>Ofsted School Webpage</v>
      </c>
      <c r="B16">
        <v>141879</v>
      </c>
      <c r="C16">
        <v>8736052</v>
      </c>
      <c r="D16" t="s">
        <v>1000</v>
      </c>
      <c r="E16" t="s">
        <v>38</v>
      </c>
      <c r="F16" t="s">
        <v>184</v>
      </c>
      <c r="G16" t="s">
        <v>184</v>
      </c>
      <c r="H16" t="s">
        <v>2729</v>
      </c>
      <c r="I16" t="s">
        <v>2730</v>
      </c>
      <c r="J16" t="s">
        <v>186</v>
      </c>
      <c r="K16" t="s">
        <v>220</v>
      </c>
      <c r="L16" t="s">
        <v>220</v>
      </c>
      <c r="M16" t="s">
        <v>284</v>
      </c>
      <c r="N16" t="s">
        <v>1001</v>
      </c>
      <c r="O16">
        <v>10018105</v>
      </c>
      <c r="P16" s="120">
        <v>42528</v>
      </c>
      <c r="Q16" s="120">
        <v>42530</v>
      </c>
      <c r="R16" s="120">
        <v>42563</v>
      </c>
      <c r="S16" t="s">
        <v>249</v>
      </c>
      <c r="T16">
        <v>2</v>
      </c>
      <c r="U16" t="s">
        <v>128</v>
      </c>
      <c r="V16">
        <v>2</v>
      </c>
      <c r="W16">
        <v>2</v>
      </c>
      <c r="X16">
        <v>2</v>
      </c>
      <c r="Y16">
        <v>2</v>
      </c>
      <c r="Z16" t="s">
        <v>2730</v>
      </c>
      <c r="AA16">
        <v>2</v>
      </c>
      <c r="AB16" t="s">
        <v>2732</v>
      </c>
      <c r="AC16" t="s">
        <v>2730</v>
      </c>
      <c r="AD16" t="s">
        <v>2730</v>
      </c>
      <c r="AE16" s="120" t="s">
        <v>2730</v>
      </c>
      <c r="AF16" t="s">
        <v>2730</v>
      </c>
      <c r="AG16" s="120" t="s">
        <v>2730</v>
      </c>
      <c r="AH16" t="s">
        <v>2730</v>
      </c>
    </row>
    <row r="17" spans="1:34">
      <c r="A17" s="149" t="str">
        <f>HYPERLINK("http://www.ofsted.gov.uk/inspection-reports/find-inspection-report/provider/ELS/138441 ","Ofsted School Webpage")</f>
        <v>Ofsted School Webpage</v>
      </c>
      <c r="B17">
        <v>138441</v>
      </c>
      <c r="C17">
        <v>3816004</v>
      </c>
      <c r="D17" t="s">
        <v>3016</v>
      </c>
      <c r="E17" t="s">
        <v>38</v>
      </c>
      <c r="F17" t="s">
        <v>184</v>
      </c>
      <c r="G17" t="s">
        <v>184</v>
      </c>
      <c r="H17" t="s">
        <v>2729</v>
      </c>
      <c r="I17" t="s">
        <v>2730</v>
      </c>
      <c r="J17" t="s">
        <v>186</v>
      </c>
      <c r="K17" t="s">
        <v>245</v>
      </c>
      <c r="L17" t="s">
        <v>246</v>
      </c>
      <c r="M17" t="s">
        <v>1376</v>
      </c>
      <c r="N17" t="s">
        <v>1377</v>
      </c>
      <c r="O17">
        <v>10012878</v>
      </c>
      <c r="P17" s="120">
        <v>42689</v>
      </c>
      <c r="Q17" s="120">
        <v>42691</v>
      </c>
      <c r="R17" s="120">
        <v>42751</v>
      </c>
      <c r="S17" t="s">
        <v>196</v>
      </c>
      <c r="T17">
        <v>2</v>
      </c>
      <c r="U17" t="s">
        <v>128</v>
      </c>
      <c r="V17">
        <v>2</v>
      </c>
      <c r="W17">
        <v>2</v>
      </c>
      <c r="X17">
        <v>2</v>
      </c>
      <c r="Y17">
        <v>2</v>
      </c>
      <c r="Z17" t="s">
        <v>2730</v>
      </c>
      <c r="AA17" t="s">
        <v>2730</v>
      </c>
      <c r="AB17" t="s">
        <v>2732</v>
      </c>
      <c r="AC17" t="s">
        <v>2730</v>
      </c>
      <c r="AD17" t="s">
        <v>2730</v>
      </c>
      <c r="AE17" t="s">
        <v>2730</v>
      </c>
      <c r="AF17" t="s">
        <v>2730</v>
      </c>
      <c r="AG17" t="s">
        <v>2730</v>
      </c>
      <c r="AH17" t="s">
        <v>2730</v>
      </c>
    </row>
    <row r="18" spans="1:34">
      <c r="A18" s="149" t="str">
        <f>HYPERLINK("http://www.ofsted.gov.uk/inspection-reports/find-inspection-report/provider/ELS/138779 ","Ofsted School Webpage")</f>
        <v>Ofsted School Webpage</v>
      </c>
      <c r="B18">
        <v>138779</v>
      </c>
      <c r="C18">
        <v>9266006</v>
      </c>
      <c r="D18" t="s">
        <v>3017</v>
      </c>
      <c r="E18" t="s">
        <v>38</v>
      </c>
      <c r="F18" t="s">
        <v>184</v>
      </c>
      <c r="G18" t="s">
        <v>184</v>
      </c>
      <c r="H18" t="s">
        <v>2729</v>
      </c>
      <c r="I18" t="s">
        <v>2730</v>
      </c>
      <c r="J18" t="s">
        <v>186</v>
      </c>
      <c r="K18" t="s">
        <v>220</v>
      </c>
      <c r="L18" t="s">
        <v>220</v>
      </c>
      <c r="M18" t="s">
        <v>445</v>
      </c>
      <c r="N18" t="s">
        <v>1378</v>
      </c>
      <c r="O18">
        <v>10012967</v>
      </c>
      <c r="P18" s="120">
        <v>42647</v>
      </c>
      <c r="Q18" s="120">
        <v>42649</v>
      </c>
      <c r="R18" s="120">
        <v>42692</v>
      </c>
      <c r="S18" t="s">
        <v>196</v>
      </c>
      <c r="T18">
        <v>4</v>
      </c>
      <c r="U18" t="s">
        <v>129</v>
      </c>
      <c r="V18">
        <v>4</v>
      </c>
      <c r="W18">
        <v>4</v>
      </c>
      <c r="X18">
        <v>3</v>
      </c>
      <c r="Y18">
        <v>3</v>
      </c>
      <c r="Z18" t="s">
        <v>2730</v>
      </c>
      <c r="AA18" t="s">
        <v>2730</v>
      </c>
      <c r="AB18" t="s">
        <v>2733</v>
      </c>
      <c r="AC18">
        <v>10034037</v>
      </c>
      <c r="AD18" t="s">
        <v>187</v>
      </c>
      <c r="AE18" s="120">
        <v>42864</v>
      </c>
      <c r="AF18" t="s">
        <v>2769</v>
      </c>
      <c r="AG18" s="120">
        <v>42895</v>
      </c>
      <c r="AH18" t="s">
        <v>217</v>
      </c>
    </row>
    <row r="19" spans="1:34">
      <c r="A19" s="149" t="str">
        <f>HYPERLINK("http://www.ofsted.gov.uk/inspection-reports/find-inspection-report/provider/ELS/133477 ","Ofsted School Webpage")</f>
        <v>Ofsted School Webpage</v>
      </c>
      <c r="B19">
        <v>133477</v>
      </c>
      <c r="C19">
        <v>9366581</v>
      </c>
      <c r="D19" t="s">
        <v>1379</v>
      </c>
      <c r="E19" t="s">
        <v>38</v>
      </c>
      <c r="F19" t="s">
        <v>184</v>
      </c>
      <c r="G19" t="s">
        <v>212</v>
      </c>
      <c r="H19" t="s">
        <v>2729</v>
      </c>
      <c r="I19" t="s">
        <v>2730</v>
      </c>
      <c r="J19" t="s">
        <v>186</v>
      </c>
      <c r="K19" t="s">
        <v>181</v>
      </c>
      <c r="L19" t="s">
        <v>181</v>
      </c>
      <c r="M19" t="s">
        <v>582</v>
      </c>
      <c r="N19" t="s">
        <v>1380</v>
      </c>
      <c r="O19" t="s">
        <v>1381</v>
      </c>
      <c r="P19" s="120">
        <v>41590</v>
      </c>
      <c r="Q19" s="120">
        <v>41592</v>
      </c>
      <c r="R19" s="120">
        <v>41612</v>
      </c>
      <c r="S19" t="s">
        <v>196</v>
      </c>
      <c r="T19">
        <v>2</v>
      </c>
      <c r="U19" t="s">
        <v>2730</v>
      </c>
      <c r="V19">
        <v>2</v>
      </c>
      <c r="W19" t="s">
        <v>2730</v>
      </c>
      <c r="X19">
        <v>2</v>
      </c>
      <c r="Y19">
        <v>2</v>
      </c>
      <c r="Z19" t="s">
        <v>2730</v>
      </c>
      <c r="AA19" t="s">
        <v>2730</v>
      </c>
      <c r="AB19" t="s">
        <v>2730</v>
      </c>
      <c r="AC19" t="s">
        <v>2730</v>
      </c>
      <c r="AD19" t="s">
        <v>2730</v>
      </c>
      <c r="AE19" t="s">
        <v>2730</v>
      </c>
      <c r="AF19" t="s">
        <v>2730</v>
      </c>
      <c r="AG19" t="s">
        <v>2730</v>
      </c>
      <c r="AH19" t="s">
        <v>2730</v>
      </c>
    </row>
    <row r="20" spans="1:34">
      <c r="A20" s="149" t="str">
        <f>HYPERLINK("http://www.ofsted.gov.uk/inspection-reports/find-inspection-report/provider/ELS/115802 ","Ofsted School Webpage")</f>
        <v>Ofsted School Webpage</v>
      </c>
      <c r="B20">
        <v>115802</v>
      </c>
      <c r="C20">
        <v>9166040</v>
      </c>
      <c r="D20" t="s">
        <v>264</v>
      </c>
      <c r="E20" t="s">
        <v>38</v>
      </c>
      <c r="F20" t="s">
        <v>184</v>
      </c>
      <c r="G20" t="s">
        <v>212</v>
      </c>
      <c r="H20" t="s">
        <v>2729</v>
      </c>
      <c r="I20" t="s">
        <v>2730</v>
      </c>
      <c r="J20" t="s">
        <v>186</v>
      </c>
      <c r="K20" t="s">
        <v>225</v>
      </c>
      <c r="L20" t="s">
        <v>225</v>
      </c>
      <c r="M20" t="s">
        <v>265</v>
      </c>
      <c r="N20" t="s">
        <v>266</v>
      </c>
      <c r="O20">
        <v>10035561</v>
      </c>
      <c r="P20" s="120">
        <v>43004</v>
      </c>
      <c r="Q20" s="120">
        <v>43006</v>
      </c>
      <c r="R20" s="120">
        <v>43045</v>
      </c>
      <c r="S20" t="s">
        <v>267</v>
      </c>
      <c r="T20">
        <v>2</v>
      </c>
      <c r="U20" t="s">
        <v>128</v>
      </c>
      <c r="V20">
        <v>2</v>
      </c>
      <c r="W20">
        <v>2</v>
      </c>
      <c r="X20">
        <v>2</v>
      </c>
      <c r="Y20">
        <v>2</v>
      </c>
      <c r="Z20" t="s">
        <v>2730</v>
      </c>
      <c r="AA20">
        <v>2</v>
      </c>
      <c r="AB20" t="s">
        <v>2732</v>
      </c>
      <c r="AC20" t="s">
        <v>2730</v>
      </c>
      <c r="AD20" t="s">
        <v>2730</v>
      </c>
      <c r="AE20" t="s">
        <v>2730</v>
      </c>
      <c r="AF20" t="s">
        <v>2730</v>
      </c>
      <c r="AG20" t="s">
        <v>2730</v>
      </c>
      <c r="AH20" t="s">
        <v>2730</v>
      </c>
    </row>
    <row r="21" spans="1:34">
      <c r="A21" s="149" t="str">
        <f>HYPERLINK("http://www.ofsted.gov.uk/inspection-reports/find-inspection-report/provider/ELS/132112 ","Ofsted School Webpage")</f>
        <v>Ofsted School Webpage</v>
      </c>
      <c r="B21">
        <v>132112</v>
      </c>
      <c r="C21">
        <v>9096050</v>
      </c>
      <c r="D21" t="s">
        <v>871</v>
      </c>
      <c r="E21" t="s">
        <v>38</v>
      </c>
      <c r="F21" t="s">
        <v>184</v>
      </c>
      <c r="G21" t="s">
        <v>184</v>
      </c>
      <c r="H21" t="s">
        <v>2729</v>
      </c>
      <c r="I21" t="s">
        <v>2730</v>
      </c>
      <c r="J21" t="s">
        <v>186</v>
      </c>
      <c r="K21" t="s">
        <v>205</v>
      </c>
      <c r="L21" t="s">
        <v>205</v>
      </c>
      <c r="M21" t="s">
        <v>947</v>
      </c>
      <c r="N21" t="s">
        <v>948</v>
      </c>
      <c r="O21">
        <v>10020789</v>
      </c>
      <c r="P21" s="120">
        <v>42717</v>
      </c>
      <c r="Q21" s="120">
        <v>42718</v>
      </c>
      <c r="R21" s="120">
        <v>42753</v>
      </c>
      <c r="S21" t="s">
        <v>196</v>
      </c>
      <c r="T21">
        <v>2</v>
      </c>
      <c r="U21" t="s">
        <v>128</v>
      </c>
      <c r="V21">
        <v>2</v>
      </c>
      <c r="W21">
        <v>2</v>
      </c>
      <c r="X21">
        <v>2</v>
      </c>
      <c r="Y21">
        <v>2</v>
      </c>
      <c r="Z21" t="s">
        <v>2730</v>
      </c>
      <c r="AA21" t="s">
        <v>2730</v>
      </c>
      <c r="AB21" t="s">
        <v>2732</v>
      </c>
      <c r="AC21" t="s">
        <v>2730</v>
      </c>
      <c r="AD21" t="s">
        <v>2730</v>
      </c>
      <c r="AE21" t="s">
        <v>2730</v>
      </c>
      <c r="AF21" t="s">
        <v>2730</v>
      </c>
      <c r="AG21" t="s">
        <v>2730</v>
      </c>
      <c r="AH21" t="s">
        <v>2730</v>
      </c>
    </row>
    <row r="22" spans="1:34">
      <c r="A22" s="149" t="str">
        <f>HYPERLINK("http://www.ofsted.gov.uk/inspection-reports/find-inspection-report/provider/ELS/139733 ","Ofsted School Webpage")</f>
        <v>Ofsted School Webpage</v>
      </c>
      <c r="B22">
        <v>139733</v>
      </c>
      <c r="C22">
        <v>3836000</v>
      </c>
      <c r="D22" t="s">
        <v>871</v>
      </c>
      <c r="E22" t="s">
        <v>38</v>
      </c>
      <c r="F22" t="s">
        <v>184</v>
      </c>
      <c r="G22" t="s">
        <v>184</v>
      </c>
      <c r="H22" t="s">
        <v>2729</v>
      </c>
      <c r="I22" t="s">
        <v>2730</v>
      </c>
      <c r="J22" t="s">
        <v>186</v>
      </c>
      <c r="K22" t="s">
        <v>245</v>
      </c>
      <c r="L22" t="s">
        <v>246</v>
      </c>
      <c r="M22" t="s">
        <v>714</v>
      </c>
      <c r="N22" t="s">
        <v>872</v>
      </c>
      <c r="O22">
        <v>10033921</v>
      </c>
      <c r="P22" s="120">
        <v>42927</v>
      </c>
      <c r="Q22" s="120">
        <v>42929</v>
      </c>
      <c r="R22" s="120">
        <v>42998</v>
      </c>
      <c r="S22" t="s">
        <v>196</v>
      </c>
      <c r="T22">
        <v>3</v>
      </c>
      <c r="U22" t="s">
        <v>128</v>
      </c>
      <c r="V22">
        <v>3</v>
      </c>
      <c r="W22">
        <v>2</v>
      </c>
      <c r="X22">
        <v>3</v>
      </c>
      <c r="Y22">
        <v>3</v>
      </c>
      <c r="Z22" t="s">
        <v>2730</v>
      </c>
      <c r="AA22" t="s">
        <v>2730</v>
      </c>
      <c r="AB22" t="s">
        <v>2733</v>
      </c>
      <c r="AC22" t="s">
        <v>2730</v>
      </c>
      <c r="AD22" t="s">
        <v>2730</v>
      </c>
      <c r="AE22" t="s">
        <v>2730</v>
      </c>
      <c r="AF22" t="s">
        <v>2730</v>
      </c>
      <c r="AG22" t="s">
        <v>2730</v>
      </c>
      <c r="AH22" t="s">
        <v>2730</v>
      </c>
    </row>
    <row r="23" spans="1:34">
      <c r="A23" s="149" t="str">
        <f>HYPERLINK("http://www.ofsted.gov.uk/inspection-reports/find-inspection-report/provider/ELS/135754 ","Ofsted School Webpage")</f>
        <v>Ofsted School Webpage</v>
      </c>
      <c r="B23">
        <v>135754</v>
      </c>
      <c r="C23">
        <v>9286070</v>
      </c>
      <c r="D23" t="s">
        <v>873</v>
      </c>
      <c r="E23" t="s">
        <v>38</v>
      </c>
      <c r="F23" t="s">
        <v>184</v>
      </c>
      <c r="G23" t="s">
        <v>184</v>
      </c>
      <c r="H23" t="s">
        <v>2729</v>
      </c>
      <c r="I23" t="s">
        <v>2730</v>
      </c>
      <c r="J23" t="s">
        <v>186</v>
      </c>
      <c r="K23" t="s">
        <v>214</v>
      </c>
      <c r="L23" t="s">
        <v>214</v>
      </c>
      <c r="M23" t="s">
        <v>215</v>
      </c>
      <c r="N23" t="s">
        <v>874</v>
      </c>
      <c r="O23">
        <v>10012953</v>
      </c>
      <c r="P23" s="120">
        <v>42878</v>
      </c>
      <c r="Q23" s="120">
        <v>42880</v>
      </c>
      <c r="R23" s="120">
        <v>42900</v>
      </c>
      <c r="S23" t="s">
        <v>196</v>
      </c>
      <c r="T23">
        <v>2</v>
      </c>
      <c r="U23" t="s">
        <v>128</v>
      </c>
      <c r="V23">
        <v>2</v>
      </c>
      <c r="W23">
        <v>2</v>
      </c>
      <c r="X23">
        <v>2</v>
      </c>
      <c r="Y23">
        <v>2</v>
      </c>
      <c r="Z23" t="s">
        <v>2730</v>
      </c>
      <c r="AA23" t="s">
        <v>2730</v>
      </c>
      <c r="AB23" t="s">
        <v>2732</v>
      </c>
      <c r="AC23" t="s">
        <v>2730</v>
      </c>
      <c r="AD23" t="s">
        <v>2730</v>
      </c>
      <c r="AE23" t="s">
        <v>2730</v>
      </c>
      <c r="AF23" t="s">
        <v>2730</v>
      </c>
      <c r="AG23" t="s">
        <v>2730</v>
      </c>
      <c r="AH23" t="s">
        <v>2730</v>
      </c>
    </row>
    <row r="24" spans="1:34">
      <c r="A24" s="149" t="str">
        <f>HYPERLINK("http://www.ofsted.gov.uk/inspection-reports/find-inspection-report/provider/ELS/139135 ","Ofsted School Webpage")</f>
        <v>Ofsted School Webpage</v>
      </c>
      <c r="B24">
        <v>139135</v>
      </c>
      <c r="C24">
        <v>8916020</v>
      </c>
      <c r="D24" t="s">
        <v>875</v>
      </c>
      <c r="E24" t="s">
        <v>38</v>
      </c>
      <c r="F24" t="s">
        <v>184</v>
      </c>
      <c r="G24" t="s">
        <v>184</v>
      </c>
      <c r="H24" t="s">
        <v>2729</v>
      </c>
      <c r="I24" t="s">
        <v>2730</v>
      </c>
      <c r="J24" t="s">
        <v>186</v>
      </c>
      <c r="K24" t="s">
        <v>214</v>
      </c>
      <c r="L24" t="s">
        <v>214</v>
      </c>
      <c r="M24" t="s">
        <v>320</v>
      </c>
      <c r="N24" t="s">
        <v>876</v>
      </c>
      <c r="O24">
        <v>10020946</v>
      </c>
      <c r="P24" s="120">
        <v>42717</v>
      </c>
      <c r="Q24" s="120">
        <v>42719</v>
      </c>
      <c r="R24" s="120">
        <v>42760</v>
      </c>
      <c r="S24" t="s">
        <v>196</v>
      </c>
      <c r="T24">
        <v>2</v>
      </c>
      <c r="U24" t="s">
        <v>128</v>
      </c>
      <c r="V24">
        <v>2</v>
      </c>
      <c r="W24">
        <v>2</v>
      </c>
      <c r="X24">
        <v>2</v>
      </c>
      <c r="Y24">
        <v>2</v>
      </c>
      <c r="Z24" t="s">
        <v>2730</v>
      </c>
      <c r="AA24">
        <v>2</v>
      </c>
      <c r="AB24" t="s">
        <v>2732</v>
      </c>
      <c r="AC24" t="s">
        <v>2730</v>
      </c>
      <c r="AD24" t="s">
        <v>2730</v>
      </c>
      <c r="AE24" t="s">
        <v>2730</v>
      </c>
      <c r="AF24" t="s">
        <v>2730</v>
      </c>
      <c r="AG24" t="s">
        <v>2730</v>
      </c>
      <c r="AH24" t="s">
        <v>2730</v>
      </c>
    </row>
    <row r="25" spans="1:34">
      <c r="A25" s="149" t="str">
        <f>HYPERLINK("http://www.ofsted.gov.uk/inspection-reports/find-inspection-report/provider/ELS/135167 ","Ofsted School Webpage")</f>
        <v>Ofsted School Webpage</v>
      </c>
      <c r="B25">
        <v>135167</v>
      </c>
      <c r="C25">
        <v>2026401</v>
      </c>
      <c r="D25" t="s">
        <v>1026</v>
      </c>
      <c r="E25" t="s">
        <v>38</v>
      </c>
      <c r="F25" t="s">
        <v>184</v>
      </c>
      <c r="G25" t="s">
        <v>184</v>
      </c>
      <c r="H25" t="s">
        <v>2729</v>
      </c>
      <c r="I25" t="s">
        <v>2730</v>
      </c>
      <c r="J25" t="s">
        <v>186</v>
      </c>
      <c r="K25" t="s">
        <v>232</v>
      </c>
      <c r="L25" t="s">
        <v>232</v>
      </c>
      <c r="M25" t="s">
        <v>536</v>
      </c>
      <c r="N25" t="s">
        <v>1027</v>
      </c>
      <c r="O25" t="s">
        <v>3018</v>
      </c>
      <c r="P25" s="120">
        <v>41681</v>
      </c>
      <c r="Q25" s="120">
        <v>41683</v>
      </c>
      <c r="R25" s="120">
        <v>41703</v>
      </c>
      <c r="S25" t="s">
        <v>196</v>
      </c>
      <c r="T25">
        <v>1</v>
      </c>
      <c r="U25" t="s">
        <v>2730</v>
      </c>
      <c r="V25">
        <v>1</v>
      </c>
      <c r="W25" t="s">
        <v>2730</v>
      </c>
      <c r="X25">
        <v>1</v>
      </c>
      <c r="Y25">
        <v>1</v>
      </c>
      <c r="Z25" t="s">
        <v>2730</v>
      </c>
      <c r="AA25" t="s">
        <v>2730</v>
      </c>
      <c r="AB25" t="s">
        <v>2730</v>
      </c>
      <c r="AC25" t="s">
        <v>2730</v>
      </c>
      <c r="AD25" t="s">
        <v>2730</v>
      </c>
      <c r="AE25" t="s">
        <v>2730</v>
      </c>
      <c r="AF25" t="s">
        <v>2730</v>
      </c>
      <c r="AG25" t="s">
        <v>2730</v>
      </c>
      <c r="AH25" t="s">
        <v>2730</v>
      </c>
    </row>
    <row r="26" spans="1:34">
      <c r="A26" s="149" t="str">
        <f>HYPERLINK("http://www.ofsted.gov.uk/inspection-reports/find-inspection-report/provider/ELS/116588 ","Ofsted School Webpage")</f>
        <v>Ofsted School Webpage</v>
      </c>
      <c r="B26">
        <v>116588</v>
      </c>
      <c r="C26">
        <v>8506058</v>
      </c>
      <c r="D26" t="s">
        <v>569</v>
      </c>
      <c r="E26" t="s">
        <v>38</v>
      </c>
      <c r="F26" t="s">
        <v>184</v>
      </c>
      <c r="G26" t="s">
        <v>184</v>
      </c>
      <c r="H26" t="s">
        <v>2729</v>
      </c>
      <c r="I26" t="s">
        <v>2730</v>
      </c>
      <c r="J26" t="s">
        <v>186</v>
      </c>
      <c r="K26" t="s">
        <v>181</v>
      </c>
      <c r="L26" t="s">
        <v>181</v>
      </c>
      <c r="M26" t="s">
        <v>201</v>
      </c>
      <c r="N26" t="s">
        <v>570</v>
      </c>
      <c r="O26">
        <v>10012946</v>
      </c>
      <c r="P26" s="120">
        <v>42549</v>
      </c>
      <c r="Q26" s="120">
        <v>42551</v>
      </c>
      <c r="R26" s="120">
        <v>42625</v>
      </c>
      <c r="S26" t="s">
        <v>267</v>
      </c>
      <c r="T26">
        <v>3</v>
      </c>
      <c r="U26" t="s">
        <v>128</v>
      </c>
      <c r="V26">
        <v>3</v>
      </c>
      <c r="W26">
        <v>2</v>
      </c>
      <c r="X26">
        <v>2</v>
      </c>
      <c r="Y26">
        <v>2</v>
      </c>
      <c r="Z26" t="s">
        <v>2730</v>
      </c>
      <c r="AA26">
        <v>2</v>
      </c>
      <c r="AB26" t="s">
        <v>2733</v>
      </c>
      <c r="AC26">
        <v>10030801</v>
      </c>
      <c r="AD26" t="s">
        <v>2770</v>
      </c>
      <c r="AE26" s="120">
        <v>42808</v>
      </c>
      <c r="AF26" t="s">
        <v>2769</v>
      </c>
      <c r="AG26" s="120">
        <v>42860</v>
      </c>
      <c r="AH26" t="s">
        <v>189</v>
      </c>
    </row>
    <row r="27" spans="1:34">
      <c r="A27" s="149" t="str">
        <f>HYPERLINK("http://www.ofsted.gov.uk/inspection-reports/find-inspection-report/provider/ELS/135753 ","Ofsted School Webpage")</f>
        <v>Ofsted School Webpage</v>
      </c>
      <c r="B27">
        <v>135753</v>
      </c>
      <c r="C27">
        <v>3546035</v>
      </c>
      <c r="D27" t="s">
        <v>455</v>
      </c>
      <c r="E27" t="s">
        <v>38</v>
      </c>
      <c r="F27" t="s">
        <v>184</v>
      </c>
      <c r="G27" t="s">
        <v>184</v>
      </c>
      <c r="H27" t="s">
        <v>2729</v>
      </c>
      <c r="I27" t="s">
        <v>2730</v>
      </c>
      <c r="J27" t="s">
        <v>186</v>
      </c>
      <c r="K27" t="s">
        <v>205</v>
      </c>
      <c r="L27" t="s">
        <v>205</v>
      </c>
      <c r="M27" t="s">
        <v>456</v>
      </c>
      <c r="N27" t="s">
        <v>457</v>
      </c>
      <c r="O27">
        <v>10006096</v>
      </c>
      <c r="P27" s="120">
        <v>42500</v>
      </c>
      <c r="Q27" s="120">
        <v>42502</v>
      </c>
      <c r="R27" s="120">
        <v>42534</v>
      </c>
      <c r="S27" t="s">
        <v>196</v>
      </c>
      <c r="T27">
        <v>3</v>
      </c>
      <c r="U27" t="s">
        <v>128</v>
      </c>
      <c r="V27">
        <v>3</v>
      </c>
      <c r="W27">
        <v>2</v>
      </c>
      <c r="X27">
        <v>3</v>
      </c>
      <c r="Y27">
        <v>3</v>
      </c>
      <c r="Z27" t="s">
        <v>2730</v>
      </c>
      <c r="AA27" t="s">
        <v>2730</v>
      </c>
      <c r="AB27" t="s">
        <v>2732</v>
      </c>
      <c r="AC27" t="s">
        <v>2730</v>
      </c>
      <c r="AD27" t="s">
        <v>2730</v>
      </c>
      <c r="AE27" t="s">
        <v>2730</v>
      </c>
      <c r="AF27" t="s">
        <v>2730</v>
      </c>
      <c r="AG27" t="s">
        <v>2730</v>
      </c>
      <c r="AH27" t="s">
        <v>2730</v>
      </c>
    </row>
    <row r="28" spans="1:34">
      <c r="A28" s="149" t="str">
        <f>HYPERLINK("http://www.ofsted.gov.uk/inspection-reports/find-inspection-report/provider/ELS/133539 ","Ofsted School Webpage")</f>
        <v>Ofsted School Webpage</v>
      </c>
      <c r="B28">
        <v>133539</v>
      </c>
      <c r="C28">
        <v>8866093</v>
      </c>
      <c r="D28" t="s">
        <v>571</v>
      </c>
      <c r="E28" t="s">
        <v>38</v>
      </c>
      <c r="F28" t="s">
        <v>184</v>
      </c>
      <c r="G28" t="s">
        <v>184</v>
      </c>
      <c r="H28" t="s">
        <v>2729</v>
      </c>
      <c r="I28" t="s">
        <v>2730</v>
      </c>
      <c r="J28" t="s">
        <v>186</v>
      </c>
      <c r="K28" t="s">
        <v>181</v>
      </c>
      <c r="L28" t="s">
        <v>181</v>
      </c>
      <c r="M28" t="s">
        <v>182</v>
      </c>
      <c r="N28" t="s">
        <v>572</v>
      </c>
      <c r="O28" t="s">
        <v>573</v>
      </c>
      <c r="P28" s="120">
        <v>41717</v>
      </c>
      <c r="Q28" s="120">
        <v>41719</v>
      </c>
      <c r="R28" s="120">
        <v>41754</v>
      </c>
      <c r="S28" t="s">
        <v>196</v>
      </c>
      <c r="T28">
        <v>4</v>
      </c>
      <c r="U28" t="s">
        <v>2730</v>
      </c>
      <c r="V28">
        <v>4</v>
      </c>
      <c r="W28" t="s">
        <v>2730</v>
      </c>
      <c r="X28">
        <v>3</v>
      </c>
      <c r="Y28">
        <v>3</v>
      </c>
      <c r="Z28" t="s">
        <v>2730</v>
      </c>
      <c r="AA28" t="s">
        <v>2730</v>
      </c>
      <c r="AB28" t="s">
        <v>2730</v>
      </c>
      <c r="AC28">
        <v>10020615</v>
      </c>
      <c r="AD28" t="s">
        <v>187</v>
      </c>
      <c r="AE28" s="120">
        <v>42628</v>
      </c>
      <c r="AF28" t="s">
        <v>2769</v>
      </c>
      <c r="AG28" s="120">
        <v>42656</v>
      </c>
      <c r="AH28" t="s">
        <v>189</v>
      </c>
    </row>
    <row r="29" spans="1:34">
      <c r="A29" s="149" t="str">
        <f>HYPERLINK("http://www.ofsted.gov.uk/inspection-reports/find-inspection-report/provider/ELS/131139 ","Ofsted School Webpage")</f>
        <v>Ofsted School Webpage</v>
      </c>
      <c r="B29">
        <v>131139</v>
      </c>
      <c r="C29">
        <v>9386255</v>
      </c>
      <c r="D29" t="s">
        <v>1397</v>
      </c>
      <c r="E29" t="s">
        <v>38</v>
      </c>
      <c r="F29" t="s">
        <v>184</v>
      </c>
      <c r="G29" t="s">
        <v>184</v>
      </c>
      <c r="H29" t="s">
        <v>2729</v>
      </c>
      <c r="I29" t="s">
        <v>2730</v>
      </c>
      <c r="J29" t="s">
        <v>186</v>
      </c>
      <c r="K29" t="s">
        <v>181</v>
      </c>
      <c r="L29" t="s">
        <v>181</v>
      </c>
      <c r="M29" t="s">
        <v>395</v>
      </c>
      <c r="N29" t="s">
        <v>1398</v>
      </c>
      <c r="O29">
        <v>10006053</v>
      </c>
      <c r="P29" s="120">
        <v>42752</v>
      </c>
      <c r="Q29" s="120">
        <v>42754</v>
      </c>
      <c r="R29" s="120">
        <v>42775</v>
      </c>
      <c r="S29" t="s">
        <v>196</v>
      </c>
      <c r="T29">
        <v>2</v>
      </c>
      <c r="U29" t="s">
        <v>128</v>
      </c>
      <c r="V29">
        <v>2</v>
      </c>
      <c r="W29">
        <v>2</v>
      </c>
      <c r="X29">
        <v>2</v>
      </c>
      <c r="Y29">
        <v>2</v>
      </c>
      <c r="Z29" t="s">
        <v>2730</v>
      </c>
      <c r="AA29" t="s">
        <v>2730</v>
      </c>
      <c r="AB29" t="s">
        <v>2732</v>
      </c>
      <c r="AC29" t="s">
        <v>2730</v>
      </c>
      <c r="AD29" t="s">
        <v>2730</v>
      </c>
      <c r="AE29" t="s">
        <v>2730</v>
      </c>
      <c r="AF29" t="s">
        <v>2730</v>
      </c>
      <c r="AG29" t="s">
        <v>2730</v>
      </c>
      <c r="AH29" t="s">
        <v>2730</v>
      </c>
    </row>
    <row r="30" spans="1:34">
      <c r="A30" s="149" t="str">
        <f>HYPERLINK("http://www.ofsted.gov.uk/inspection-reports/find-inspection-report/provider/ELS/135105 ","Ofsted School Webpage")</f>
        <v>Ofsted School Webpage</v>
      </c>
      <c r="B30">
        <v>135105</v>
      </c>
      <c r="C30">
        <v>8506086</v>
      </c>
      <c r="D30" t="s">
        <v>369</v>
      </c>
      <c r="E30" t="s">
        <v>38</v>
      </c>
      <c r="F30" t="s">
        <v>184</v>
      </c>
      <c r="G30" t="s">
        <v>184</v>
      </c>
      <c r="H30" t="s">
        <v>2729</v>
      </c>
      <c r="I30" t="s">
        <v>2730</v>
      </c>
      <c r="J30" t="s">
        <v>186</v>
      </c>
      <c r="K30" t="s">
        <v>181</v>
      </c>
      <c r="L30" t="s">
        <v>181</v>
      </c>
      <c r="M30" t="s">
        <v>201</v>
      </c>
      <c r="N30" t="s">
        <v>370</v>
      </c>
      <c r="O30">
        <v>10033961</v>
      </c>
      <c r="P30" s="120">
        <v>43004</v>
      </c>
      <c r="Q30" s="120">
        <v>43006</v>
      </c>
      <c r="R30" s="120">
        <v>43052</v>
      </c>
      <c r="S30" t="s">
        <v>196</v>
      </c>
      <c r="T30">
        <v>1</v>
      </c>
      <c r="U30" t="s">
        <v>128</v>
      </c>
      <c r="V30">
        <v>1</v>
      </c>
      <c r="W30">
        <v>1</v>
      </c>
      <c r="X30">
        <v>1</v>
      </c>
      <c r="Y30">
        <v>1</v>
      </c>
      <c r="Z30" t="s">
        <v>2730</v>
      </c>
      <c r="AA30" t="s">
        <v>2730</v>
      </c>
      <c r="AB30" t="s">
        <v>2732</v>
      </c>
      <c r="AC30" t="s">
        <v>2730</v>
      </c>
      <c r="AD30" t="s">
        <v>2730</v>
      </c>
      <c r="AE30" t="s">
        <v>2730</v>
      </c>
      <c r="AF30" t="s">
        <v>2730</v>
      </c>
      <c r="AG30" t="s">
        <v>2730</v>
      </c>
      <c r="AH30" t="s">
        <v>2730</v>
      </c>
    </row>
    <row r="31" spans="1:34">
      <c r="A31" s="149" t="str">
        <f>HYPERLINK("http://www.ofsted.gov.uk/inspection-reports/find-inspection-report/provider/ELS/123326 ","Ofsted School Webpage")</f>
        <v>Ofsted School Webpage</v>
      </c>
      <c r="B31">
        <v>123326</v>
      </c>
      <c r="C31">
        <v>9316115</v>
      </c>
      <c r="D31" t="s">
        <v>1399</v>
      </c>
      <c r="E31" t="s">
        <v>38</v>
      </c>
      <c r="F31" t="s">
        <v>184</v>
      </c>
      <c r="G31" t="s">
        <v>184</v>
      </c>
      <c r="H31" t="s">
        <v>2729</v>
      </c>
      <c r="I31" t="s">
        <v>2730</v>
      </c>
      <c r="J31" t="s">
        <v>186</v>
      </c>
      <c r="K31" t="s">
        <v>181</v>
      </c>
      <c r="L31" t="s">
        <v>181</v>
      </c>
      <c r="M31" t="s">
        <v>242</v>
      </c>
      <c r="N31" t="s">
        <v>1400</v>
      </c>
      <c r="O31" t="s">
        <v>1401</v>
      </c>
      <c r="P31" s="120">
        <v>41933</v>
      </c>
      <c r="Q31" s="120">
        <v>41935</v>
      </c>
      <c r="R31" s="120">
        <v>41967</v>
      </c>
      <c r="S31" t="s">
        <v>267</v>
      </c>
      <c r="T31">
        <v>2</v>
      </c>
      <c r="U31" t="s">
        <v>2730</v>
      </c>
      <c r="V31">
        <v>2</v>
      </c>
      <c r="W31" t="s">
        <v>2730</v>
      </c>
      <c r="X31">
        <v>2</v>
      </c>
      <c r="Y31">
        <v>2</v>
      </c>
      <c r="Z31">
        <v>9</v>
      </c>
      <c r="AA31">
        <v>2</v>
      </c>
      <c r="AB31" t="s">
        <v>2730</v>
      </c>
      <c r="AC31" t="s">
        <v>2730</v>
      </c>
      <c r="AD31" t="s">
        <v>2730</v>
      </c>
      <c r="AE31" t="s">
        <v>2730</v>
      </c>
      <c r="AF31" t="s">
        <v>2730</v>
      </c>
      <c r="AG31" t="s">
        <v>2730</v>
      </c>
      <c r="AH31" t="s">
        <v>2730</v>
      </c>
    </row>
    <row r="32" spans="1:34">
      <c r="A32" s="149" t="str">
        <f>HYPERLINK("http://www.ofsted.gov.uk/inspection-reports/find-inspection-report/provider/ELS/131940 ","Ofsted School Webpage")</f>
        <v>Ofsted School Webpage</v>
      </c>
      <c r="B32">
        <v>131940</v>
      </c>
      <c r="C32">
        <v>3126063</v>
      </c>
      <c r="D32" t="s">
        <v>447</v>
      </c>
      <c r="E32" t="s">
        <v>38</v>
      </c>
      <c r="F32" t="s">
        <v>184</v>
      </c>
      <c r="G32" t="s">
        <v>184</v>
      </c>
      <c r="H32" t="s">
        <v>2729</v>
      </c>
      <c r="I32" t="s">
        <v>2730</v>
      </c>
      <c r="J32" t="s">
        <v>186</v>
      </c>
      <c r="K32" t="s">
        <v>232</v>
      </c>
      <c r="L32" t="s">
        <v>232</v>
      </c>
      <c r="M32" t="s">
        <v>448</v>
      </c>
      <c r="N32" t="s">
        <v>449</v>
      </c>
      <c r="O32" t="s">
        <v>1086</v>
      </c>
      <c r="P32" s="120">
        <v>42066</v>
      </c>
      <c r="Q32" s="120">
        <v>42068</v>
      </c>
      <c r="R32" s="120">
        <v>42114</v>
      </c>
      <c r="S32" t="s">
        <v>196</v>
      </c>
      <c r="T32">
        <v>2</v>
      </c>
      <c r="U32" t="s">
        <v>2730</v>
      </c>
      <c r="V32">
        <v>2</v>
      </c>
      <c r="W32" t="s">
        <v>2730</v>
      </c>
      <c r="X32">
        <v>2</v>
      </c>
      <c r="Y32">
        <v>2</v>
      </c>
      <c r="Z32">
        <v>2</v>
      </c>
      <c r="AA32">
        <v>2</v>
      </c>
      <c r="AB32" t="s">
        <v>2730</v>
      </c>
      <c r="AC32" t="s">
        <v>2730</v>
      </c>
      <c r="AD32" t="s">
        <v>2730</v>
      </c>
      <c r="AE32" t="s">
        <v>2730</v>
      </c>
      <c r="AF32" t="s">
        <v>2730</v>
      </c>
      <c r="AG32" t="s">
        <v>2730</v>
      </c>
      <c r="AH32" t="s">
        <v>2730</v>
      </c>
    </row>
    <row r="33" spans="1:34">
      <c r="A33" s="149" t="str">
        <f>HYPERLINK("http://www.ofsted.gov.uk/inspection-reports/find-inspection-report/provider/ELS/135493 ","Ofsted School Webpage")</f>
        <v>Ofsted School Webpage</v>
      </c>
      <c r="B33">
        <v>135493</v>
      </c>
      <c r="C33">
        <v>3076339</v>
      </c>
      <c r="D33" t="s">
        <v>964</v>
      </c>
      <c r="E33" t="s">
        <v>38</v>
      </c>
      <c r="F33" t="s">
        <v>184</v>
      </c>
      <c r="G33" t="s">
        <v>184</v>
      </c>
      <c r="H33" t="s">
        <v>2729</v>
      </c>
      <c r="I33" t="s">
        <v>2730</v>
      </c>
      <c r="J33" t="s">
        <v>186</v>
      </c>
      <c r="K33" t="s">
        <v>232</v>
      </c>
      <c r="L33" t="s">
        <v>232</v>
      </c>
      <c r="M33" t="s">
        <v>631</v>
      </c>
      <c r="N33" t="s">
        <v>965</v>
      </c>
      <c r="O33">
        <v>10006315</v>
      </c>
      <c r="P33" s="120">
        <v>42311</v>
      </c>
      <c r="Q33" s="120">
        <v>42313</v>
      </c>
      <c r="R33" s="120">
        <v>42340</v>
      </c>
      <c r="S33" t="s">
        <v>196</v>
      </c>
      <c r="T33">
        <v>1</v>
      </c>
      <c r="U33" t="s">
        <v>128</v>
      </c>
      <c r="V33">
        <v>1</v>
      </c>
      <c r="W33">
        <v>1</v>
      </c>
      <c r="X33">
        <v>1</v>
      </c>
      <c r="Y33">
        <v>1</v>
      </c>
      <c r="Z33" t="s">
        <v>2730</v>
      </c>
      <c r="AA33">
        <v>1</v>
      </c>
      <c r="AB33" t="s">
        <v>2732</v>
      </c>
      <c r="AC33" t="s">
        <v>2730</v>
      </c>
      <c r="AD33" t="s">
        <v>2730</v>
      </c>
      <c r="AE33" t="s">
        <v>2730</v>
      </c>
      <c r="AF33" t="s">
        <v>2730</v>
      </c>
      <c r="AG33" t="s">
        <v>2730</v>
      </c>
      <c r="AH33" t="s">
        <v>2730</v>
      </c>
    </row>
    <row r="34" spans="1:34">
      <c r="A34" s="149" t="str">
        <f>HYPERLINK("http://www.ofsted.gov.uk/inspection-reports/find-inspection-report/provider/ELS/141029 ","Ofsted School Webpage")</f>
        <v>Ofsted School Webpage</v>
      </c>
      <c r="B34">
        <v>141029</v>
      </c>
      <c r="C34">
        <v>2046009</v>
      </c>
      <c r="D34" t="s">
        <v>966</v>
      </c>
      <c r="E34" t="s">
        <v>38</v>
      </c>
      <c r="F34" t="s">
        <v>184</v>
      </c>
      <c r="G34" t="s">
        <v>184</v>
      </c>
      <c r="H34" t="s">
        <v>2729</v>
      </c>
      <c r="I34" t="s">
        <v>2730</v>
      </c>
      <c r="J34" t="s">
        <v>186</v>
      </c>
      <c r="K34" t="s">
        <v>232</v>
      </c>
      <c r="L34" t="s">
        <v>232</v>
      </c>
      <c r="M34" t="s">
        <v>479</v>
      </c>
      <c r="N34" t="s">
        <v>967</v>
      </c>
      <c r="O34" t="s">
        <v>968</v>
      </c>
      <c r="P34" s="120">
        <v>42165</v>
      </c>
      <c r="Q34" s="120">
        <v>42167</v>
      </c>
      <c r="R34" s="120">
        <v>42202</v>
      </c>
      <c r="S34" t="s">
        <v>249</v>
      </c>
      <c r="T34">
        <v>2</v>
      </c>
      <c r="U34" t="s">
        <v>2730</v>
      </c>
      <c r="V34">
        <v>2</v>
      </c>
      <c r="W34" t="s">
        <v>2730</v>
      </c>
      <c r="X34">
        <v>2</v>
      </c>
      <c r="Y34">
        <v>2</v>
      </c>
      <c r="Z34">
        <v>9</v>
      </c>
      <c r="AA34">
        <v>9</v>
      </c>
      <c r="AB34" t="s">
        <v>2730</v>
      </c>
      <c r="AC34" t="s">
        <v>2730</v>
      </c>
      <c r="AD34" t="s">
        <v>2730</v>
      </c>
      <c r="AE34" t="s">
        <v>2730</v>
      </c>
      <c r="AF34" t="s">
        <v>2730</v>
      </c>
      <c r="AG34" t="s">
        <v>2730</v>
      </c>
      <c r="AH34" t="s">
        <v>2730</v>
      </c>
    </row>
    <row r="35" spans="1:34">
      <c r="A35" s="149" t="str">
        <f>HYPERLINK("http://www.ofsted.gov.uk/inspection-reports/find-inspection-report/provider/ELS/119015 ","Ofsted School Webpage")</f>
        <v>Ofsted School Webpage</v>
      </c>
      <c r="B35">
        <v>119015</v>
      </c>
      <c r="C35">
        <v>8866065</v>
      </c>
      <c r="D35" t="s">
        <v>969</v>
      </c>
      <c r="E35" t="s">
        <v>38</v>
      </c>
      <c r="F35" t="s">
        <v>184</v>
      </c>
      <c r="G35" t="s">
        <v>184</v>
      </c>
      <c r="H35" t="s">
        <v>2729</v>
      </c>
      <c r="I35" t="s">
        <v>2730</v>
      </c>
      <c r="J35" t="s">
        <v>186</v>
      </c>
      <c r="K35" t="s">
        <v>181</v>
      </c>
      <c r="L35" t="s">
        <v>181</v>
      </c>
      <c r="M35" t="s">
        <v>182</v>
      </c>
      <c r="N35" t="s">
        <v>970</v>
      </c>
      <c r="O35">
        <v>10008864</v>
      </c>
      <c r="P35" s="120">
        <v>42913</v>
      </c>
      <c r="Q35" s="120">
        <v>42915</v>
      </c>
      <c r="R35" s="120">
        <v>42997</v>
      </c>
      <c r="S35" t="s">
        <v>196</v>
      </c>
      <c r="T35">
        <v>4</v>
      </c>
      <c r="U35" t="s">
        <v>129</v>
      </c>
      <c r="V35">
        <v>4</v>
      </c>
      <c r="W35">
        <v>4</v>
      </c>
      <c r="X35">
        <v>3</v>
      </c>
      <c r="Y35">
        <v>3</v>
      </c>
      <c r="Z35" t="s">
        <v>2730</v>
      </c>
      <c r="AA35" t="s">
        <v>2730</v>
      </c>
      <c r="AB35" t="s">
        <v>2733</v>
      </c>
      <c r="AC35" t="s">
        <v>2730</v>
      </c>
      <c r="AD35" t="s">
        <v>2730</v>
      </c>
      <c r="AE35" t="s">
        <v>2730</v>
      </c>
      <c r="AF35" t="s">
        <v>2730</v>
      </c>
      <c r="AG35" t="s">
        <v>2730</v>
      </c>
      <c r="AH35" t="s">
        <v>2730</v>
      </c>
    </row>
    <row r="36" spans="1:34">
      <c r="A36" s="149" t="str">
        <f>HYPERLINK("http://www.ofsted.gov.uk/inspection-reports/find-inspection-report/provider/ELS/140566 ","Ofsted School Webpage")</f>
        <v>Ofsted School Webpage</v>
      </c>
      <c r="B36">
        <v>140566</v>
      </c>
      <c r="C36">
        <v>3806009</v>
      </c>
      <c r="D36" t="s">
        <v>971</v>
      </c>
      <c r="E36" t="s">
        <v>38</v>
      </c>
      <c r="F36" t="s">
        <v>184</v>
      </c>
      <c r="G36" t="s">
        <v>184</v>
      </c>
      <c r="H36" t="s">
        <v>2729</v>
      </c>
      <c r="I36" t="s">
        <v>2730</v>
      </c>
      <c r="J36" t="s">
        <v>186</v>
      </c>
      <c r="K36" t="s">
        <v>245</v>
      </c>
      <c r="L36" t="s">
        <v>246</v>
      </c>
      <c r="M36" t="s">
        <v>339</v>
      </c>
      <c r="N36" t="s">
        <v>972</v>
      </c>
      <c r="O36" t="s">
        <v>973</v>
      </c>
      <c r="P36" s="120">
        <v>42017</v>
      </c>
      <c r="Q36" s="120">
        <v>42019</v>
      </c>
      <c r="R36" s="120">
        <v>42054</v>
      </c>
      <c r="S36" t="s">
        <v>249</v>
      </c>
      <c r="T36">
        <v>2</v>
      </c>
      <c r="U36" t="s">
        <v>2730</v>
      </c>
      <c r="V36">
        <v>2</v>
      </c>
      <c r="W36" t="s">
        <v>2730</v>
      </c>
      <c r="X36">
        <v>2</v>
      </c>
      <c r="Y36">
        <v>2</v>
      </c>
      <c r="Z36">
        <v>9</v>
      </c>
      <c r="AA36">
        <v>9</v>
      </c>
      <c r="AB36" t="s">
        <v>2730</v>
      </c>
      <c r="AC36" t="s">
        <v>2730</v>
      </c>
      <c r="AD36" t="s">
        <v>2730</v>
      </c>
      <c r="AE36" s="120" t="s">
        <v>2730</v>
      </c>
      <c r="AF36" t="s">
        <v>2730</v>
      </c>
      <c r="AG36" s="120" t="s">
        <v>2730</v>
      </c>
      <c r="AH36" t="s">
        <v>2730</v>
      </c>
    </row>
    <row r="37" spans="1:34">
      <c r="A37" s="149" t="str">
        <f>HYPERLINK("http://www.ofsted.gov.uk/inspection-reports/find-inspection-report/provider/ELS/136434 ","Ofsted School Webpage")</f>
        <v>Ofsted School Webpage</v>
      </c>
      <c r="B37">
        <v>136434</v>
      </c>
      <c r="C37">
        <v>9356229</v>
      </c>
      <c r="D37" t="s">
        <v>358</v>
      </c>
      <c r="E37" t="s">
        <v>38</v>
      </c>
      <c r="F37" t="s">
        <v>184</v>
      </c>
      <c r="G37" t="s">
        <v>184</v>
      </c>
      <c r="H37" t="s">
        <v>2729</v>
      </c>
      <c r="I37" t="s">
        <v>2730</v>
      </c>
      <c r="J37" t="s">
        <v>186</v>
      </c>
      <c r="K37" t="s">
        <v>220</v>
      </c>
      <c r="L37" t="s">
        <v>220</v>
      </c>
      <c r="M37" t="s">
        <v>297</v>
      </c>
      <c r="N37" t="s">
        <v>359</v>
      </c>
      <c r="O37">
        <v>10038909</v>
      </c>
      <c r="P37" s="120">
        <v>42990</v>
      </c>
      <c r="Q37" s="120">
        <v>42991</v>
      </c>
      <c r="R37" s="120">
        <v>43021</v>
      </c>
      <c r="S37" t="s">
        <v>3119</v>
      </c>
      <c r="T37">
        <v>3</v>
      </c>
      <c r="U37" t="s">
        <v>128</v>
      </c>
      <c r="V37">
        <v>3</v>
      </c>
      <c r="W37">
        <v>3</v>
      </c>
      <c r="X37">
        <v>3</v>
      </c>
      <c r="Y37">
        <v>3</v>
      </c>
      <c r="Z37" t="s">
        <v>2730</v>
      </c>
      <c r="AA37" t="s">
        <v>2730</v>
      </c>
      <c r="AB37" t="s">
        <v>2733</v>
      </c>
      <c r="AC37" t="s">
        <v>2730</v>
      </c>
      <c r="AD37" t="s">
        <v>2730</v>
      </c>
      <c r="AE37" s="120" t="s">
        <v>2730</v>
      </c>
      <c r="AF37" t="s">
        <v>2730</v>
      </c>
      <c r="AG37" s="120" t="s">
        <v>2730</v>
      </c>
      <c r="AH37" t="s">
        <v>2730</v>
      </c>
    </row>
    <row r="38" spans="1:34">
      <c r="A38" s="149" t="str">
        <f>HYPERLINK("http://www.ofsted.gov.uk/inspection-reports/find-inspection-report/provider/ELS/130913 ","Ofsted School Webpage")</f>
        <v>Ofsted School Webpage</v>
      </c>
      <c r="B38">
        <v>130913</v>
      </c>
      <c r="C38">
        <v>3576056</v>
      </c>
      <c r="D38" t="s">
        <v>1038</v>
      </c>
      <c r="E38" t="s">
        <v>38</v>
      </c>
      <c r="F38" t="s">
        <v>184</v>
      </c>
      <c r="G38" t="s">
        <v>184</v>
      </c>
      <c r="H38" t="s">
        <v>2729</v>
      </c>
      <c r="I38" t="s">
        <v>2730</v>
      </c>
      <c r="J38" t="s">
        <v>186</v>
      </c>
      <c r="K38" t="s">
        <v>205</v>
      </c>
      <c r="L38" t="s">
        <v>205</v>
      </c>
      <c r="M38" t="s">
        <v>857</v>
      </c>
      <c r="N38" t="s">
        <v>597</v>
      </c>
      <c r="O38">
        <v>10008892</v>
      </c>
      <c r="P38" s="120">
        <v>42661</v>
      </c>
      <c r="Q38" s="120">
        <v>42662</v>
      </c>
      <c r="R38" s="120">
        <v>42702</v>
      </c>
      <c r="S38" t="s">
        <v>3119</v>
      </c>
      <c r="T38">
        <v>2</v>
      </c>
      <c r="U38" t="s">
        <v>128</v>
      </c>
      <c r="V38">
        <v>2</v>
      </c>
      <c r="W38">
        <v>2</v>
      </c>
      <c r="X38">
        <v>2</v>
      </c>
      <c r="Y38">
        <v>2</v>
      </c>
      <c r="Z38" t="s">
        <v>2730</v>
      </c>
      <c r="AA38" t="s">
        <v>2730</v>
      </c>
      <c r="AB38" t="s">
        <v>2732</v>
      </c>
      <c r="AC38" t="s">
        <v>2730</v>
      </c>
      <c r="AD38" t="s">
        <v>2730</v>
      </c>
      <c r="AE38" t="s">
        <v>2730</v>
      </c>
      <c r="AF38" t="s">
        <v>2730</v>
      </c>
      <c r="AG38" t="s">
        <v>2730</v>
      </c>
      <c r="AH38" t="s">
        <v>2730</v>
      </c>
    </row>
    <row r="39" spans="1:34">
      <c r="A39" s="149" t="str">
        <f>HYPERLINK("http://www.ofsted.gov.uk/inspection-reports/find-inspection-report/provider/ELS/137890 ","Ofsted School Webpage")</f>
        <v>Ofsted School Webpage</v>
      </c>
      <c r="B39">
        <v>137890</v>
      </c>
      <c r="C39">
        <v>3026003</v>
      </c>
      <c r="D39" t="s">
        <v>310</v>
      </c>
      <c r="E39" t="s">
        <v>38</v>
      </c>
      <c r="F39" t="s">
        <v>184</v>
      </c>
      <c r="G39" t="s">
        <v>184</v>
      </c>
      <c r="H39" t="s">
        <v>2729</v>
      </c>
      <c r="I39" t="s">
        <v>2730</v>
      </c>
      <c r="J39" t="s">
        <v>186</v>
      </c>
      <c r="K39" t="s">
        <v>232</v>
      </c>
      <c r="L39" t="s">
        <v>232</v>
      </c>
      <c r="M39" t="s">
        <v>311</v>
      </c>
      <c r="N39" t="s">
        <v>312</v>
      </c>
      <c r="O39">
        <v>10008526</v>
      </c>
      <c r="P39" s="120">
        <v>42998</v>
      </c>
      <c r="Q39" s="120">
        <v>43000</v>
      </c>
      <c r="R39" s="120">
        <v>43052</v>
      </c>
      <c r="S39" t="s">
        <v>196</v>
      </c>
      <c r="T39">
        <v>3</v>
      </c>
      <c r="U39" t="s">
        <v>128</v>
      </c>
      <c r="V39">
        <v>3</v>
      </c>
      <c r="W39">
        <v>1</v>
      </c>
      <c r="X39">
        <v>3</v>
      </c>
      <c r="Y39">
        <v>3</v>
      </c>
      <c r="Z39" t="s">
        <v>2730</v>
      </c>
      <c r="AA39" t="s">
        <v>2730</v>
      </c>
      <c r="AB39" t="s">
        <v>2732</v>
      </c>
      <c r="AC39" t="s">
        <v>2730</v>
      </c>
      <c r="AD39" t="s">
        <v>2730</v>
      </c>
      <c r="AE39" t="s">
        <v>2730</v>
      </c>
      <c r="AF39" t="s">
        <v>2730</v>
      </c>
      <c r="AG39" t="s">
        <v>2730</v>
      </c>
      <c r="AH39" t="s">
        <v>2730</v>
      </c>
    </row>
    <row r="40" spans="1:34">
      <c r="A40" s="149" t="str">
        <f>HYPERLINK("http://www.ofsted.gov.uk/inspection-reports/find-inspection-report/provider/ELS/131810 ","Ofsted School Webpage")</f>
        <v>Ofsted School Webpage</v>
      </c>
      <c r="B40">
        <v>131810</v>
      </c>
      <c r="C40">
        <v>8866085</v>
      </c>
      <c r="D40" t="s">
        <v>179</v>
      </c>
      <c r="E40" t="s">
        <v>38</v>
      </c>
      <c r="F40" t="s">
        <v>184</v>
      </c>
      <c r="G40" t="s">
        <v>184</v>
      </c>
      <c r="H40" t="s">
        <v>2729</v>
      </c>
      <c r="I40" t="s">
        <v>2730</v>
      </c>
      <c r="J40" t="s">
        <v>186</v>
      </c>
      <c r="K40" t="s">
        <v>181</v>
      </c>
      <c r="L40" t="s">
        <v>181</v>
      </c>
      <c r="M40" t="s">
        <v>182</v>
      </c>
      <c r="N40" t="s">
        <v>183</v>
      </c>
      <c r="O40">
        <v>10012905</v>
      </c>
      <c r="P40" s="120">
        <v>42682</v>
      </c>
      <c r="Q40" s="120">
        <v>42684</v>
      </c>
      <c r="R40" s="120">
        <v>42740</v>
      </c>
      <c r="S40" t="s">
        <v>3119</v>
      </c>
      <c r="T40">
        <v>4</v>
      </c>
      <c r="U40" t="s">
        <v>129</v>
      </c>
      <c r="V40">
        <v>4</v>
      </c>
      <c r="W40">
        <v>4</v>
      </c>
      <c r="X40">
        <v>3</v>
      </c>
      <c r="Y40">
        <v>3</v>
      </c>
      <c r="Z40" t="s">
        <v>2730</v>
      </c>
      <c r="AA40" t="s">
        <v>2730</v>
      </c>
      <c r="AB40" t="s">
        <v>2733</v>
      </c>
      <c r="AC40">
        <v>10040602</v>
      </c>
      <c r="AD40" t="s">
        <v>187</v>
      </c>
      <c r="AE40" s="120">
        <v>43020</v>
      </c>
      <c r="AF40" t="s">
        <v>2771</v>
      </c>
      <c r="AG40" s="120">
        <v>43053</v>
      </c>
      <c r="AH40" t="s">
        <v>189</v>
      </c>
    </row>
    <row r="41" spans="1:34">
      <c r="A41" s="149" t="str">
        <f>HYPERLINK("http://www.ofsted.gov.uk/inspection-reports/find-inspection-report/provider/ELS/141888 ","Ofsted School Webpage")</f>
        <v>Ofsted School Webpage</v>
      </c>
      <c r="B41">
        <v>141888</v>
      </c>
      <c r="C41">
        <v>3406003</v>
      </c>
      <c r="D41" t="s">
        <v>1419</v>
      </c>
      <c r="E41" t="s">
        <v>38</v>
      </c>
      <c r="F41" t="s">
        <v>184</v>
      </c>
      <c r="G41" t="s">
        <v>184</v>
      </c>
      <c r="H41" t="s">
        <v>2729</v>
      </c>
      <c r="I41" t="s">
        <v>2730</v>
      </c>
      <c r="J41" t="s">
        <v>186</v>
      </c>
      <c r="K41" t="s">
        <v>205</v>
      </c>
      <c r="L41" t="s">
        <v>205</v>
      </c>
      <c r="M41" t="s">
        <v>905</v>
      </c>
      <c r="N41" t="s">
        <v>1420</v>
      </c>
      <c r="O41">
        <v>10008626</v>
      </c>
      <c r="P41" s="120">
        <v>42648</v>
      </c>
      <c r="Q41" s="120">
        <v>42650</v>
      </c>
      <c r="R41" s="120">
        <v>42695</v>
      </c>
      <c r="S41" t="s">
        <v>249</v>
      </c>
      <c r="T41">
        <v>2</v>
      </c>
      <c r="U41" t="s">
        <v>128</v>
      </c>
      <c r="V41">
        <v>2</v>
      </c>
      <c r="W41">
        <v>2</v>
      </c>
      <c r="X41">
        <v>2</v>
      </c>
      <c r="Y41">
        <v>2</v>
      </c>
      <c r="Z41" t="s">
        <v>2730</v>
      </c>
      <c r="AA41" t="s">
        <v>2730</v>
      </c>
      <c r="AB41" t="s">
        <v>2732</v>
      </c>
      <c r="AC41" t="s">
        <v>2730</v>
      </c>
      <c r="AD41" t="s">
        <v>2730</v>
      </c>
      <c r="AE41" t="s">
        <v>2730</v>
      </c>
      <c r="AF41" t="s">
        <v>2730</v>
      </c>
      <c r="AG41" t="s">
        <v>2730</v>
      </c>
      <c r="AH41" t="s">
        <v>2730</v>
      </c>
    </row>
    <row r="42" spans="1:34">
      <c r="A42" s="149" t="str">
        <f>HYPERLINK("http://www.ofsted.gov.uk/inspection-reports/find-inspection-report/provider/ELS/140816 ","Ofsted School Webpage")</f>
        <v>Ofsted School Webpage</v>
      </c>
      <c r="B42">
        <v>140816</v>
      </c>
      <c r="C42">
        <v>3716001</v>
      </c>
      <c r="D42" t="s">
        <v>1421</v>
      </c>
      <c r="E42" t="s">
        <v>38</v>
      </c>
      <c r="F42" t="s">
        <v>184</v>
      </c>
      <c r="G42" t="s">
        <v>184</v>
      </c>
      <c r="H42" t="s">
        <v>2729</v>
      </c>
      <c r="I42" t="s">
        <v>2730</v>
      </c>
      <c r="J42" t="s">
        <v>186</v>
      </c>
      <c r="K42" t="s">
        <v>245</v>
      </c>
      <c r="L42" t="s">
        <v>246</v>
      </c>
      <c r="M42" t="s">
        <v>1157</v>
      </c>
      <c r="N42" t="s">
        <v>1422</v>
      </c>
      <c r="O42">
        <v>10006604</v>
      </c>
      <c r="P42" s="120">
        <v>42311</v>
      </c>
      <c r="Q42" s="120">
        <v>42313</v>
      </c>
      <c r="R42" s="120">
        <v>42353</v>
      </c>
      <c r="S42" t="s">
        <v>249</v>
      </c>
      <c r="T42">
        <v>3</v>
      </c>
      <c r="U42" t="s">
        <v>128</v>
      </c>
      <c r="V42">
        <v>3</v>
      </c>
      <c r="W42">
        <v>3</v>
      </c>
      <c r="X42">
        <v>3</v>
      </c>
      <c r="Y42">
        <v>3</v>
      </c>
      <c r="Z42" t="s">
        <v>2730</v>
      </c>
      <c r="AA42" t="s">
        <v>2730</v>
      </c>
      <c r="AB42" t="s">
        <v>2732</v>
      </c>
      <c r="AC42" t="s">
        <v>2730</v>
      </c>
      <c r="AD42" t="s">
        <v>2730</v>
      </c>
      <c r="AE42" t="s">
        <v>2730</v>
      </c>
      <c r="AF42" t="s">
        <v>2730</v>
      </c>
      <c r="AG42" t="s">
        <v>2730</v>
      </c>
      <c r="AH42" t="s">
        <v>2730</v>
      </c>
    </row>
    <row r="43" spans="1:34">
      <c r="A43" s="149" t="str">
        <f>HYPERLINK("http://www.ofsted.gov.uk/inspection-reports/find-inspection-report/provider/ELS/139329 ","Ofsted School Webpage")</f>
        <v>Ofsted School Webpage</v>
      </c>
      <c r="B43">
        <v>139329</v>
      </c>
      <c r="C43">
        <v>8406013</v>
      </c>
      <c r="D43" t="s">
        <v>1474</v>
      </c>
      <c r="E43" t="s">
        <v>38</v>
      </c>
      <c r="F43" t="s">
        <v>184</v>
      </c>
      <c r="G43" t="s">
        <v>184</v>
      </c>
      <c r="H43" t="s">
        <v>2729</v>
      </c>
      <c r="I43" t="s">
        <v>2730</v>
      </c>
      <c r="J43" t="s">
        <v>186</v>
      </c>
      <c r="K43" t="s">
        <v>245</v>
      </c>
      <c r="L43" t="s">
        <v>277</v>
      </c>
      <c r="M43" t="s">
        <v>1125</v>
      </c>
      <c r="N43" t="s">
        <v>1475</v>
      </c>
      <c r="O43">
        <v>10017429</v>
      </c>
      <c r="P43" s="120">
        <v>42486</v>
      </c>
      <c r="Q43" s="120">
        <v>42488</v>
      </c>
      <c r="R43" s="120">
        <v>42510</v>
      </c>
      <c r="S43" t="s">
        <v>196</v>
      </c>
      <c r="T43">
        <v>2</v>
      </c>
      <c r="U43" t="s">
        <v>128</v>
      </c>
      <c r="V43">
        <v>2</v>
      </c>
      <c r="W43">
        <v>2</v>
      </c>
      <c r="X43">
        <v>2</v>
      </c>
      <c r="Y43">
        <v>2</v>
      </c>
      <c r="Z43" t="s">
        <v>2730</v>
      </c>
      <c r="AA43">
        <v>2</v>
      </c>
      <c r="AB43" t="s">
        <v>2732</v>
      </c>
      <c r="AC43" t="s">
        <v>2730</v>
      </c>
      <c r="AD43" t="s">
        <v>2730</v>
      </c>
      <c r="AE43" t="s">
        <v>2730</v>
      </c>
      <c r="AF43" t="s">
        <v>2730</v>
      </c>
      <c r="AG43" t="s">
        <v>2730</v>
      </c>
      <c r="AH43" t="s">
        <v>2730</v>
      </c>
    </row>
    <row r="44" spans="1:34">
      <c r="A44" s="149" t="str">
        <f>HYPERLINK("http://www.ofsted.gov.uk/inspection-reports/find-inspection-report/provider/ELS/131975 ","Ofsted School Webpage")</f>
        <v>Ofsted School Webpage</v>
      </c>
      <c r="B44">
        <v>131975</v>
      </c>
      <c r="C44">
        <v>9336200</v>
      </c>
      <c r="D44" t="s">
        <v>1476</v>
      </c>
      <c r="E44" t="s">
        <v>38</v>
      </c>
      <c r="F44" t="s">
        <v>184</v>
      </c>
      <c r="G44" t="s">
        <v>184</v>
      </c>
      <c r="H44" t="s">
        <v>2729</v>
      </c>
      <c r="I44" t="s">
        <v>2730</v>
      </c>
      <c r="J44" t="s">
        <v>186</v>
      </c>
      <c r="K44" t="s">
        <v>225</v>
      </c>
      <c r="L44" t="s">
        <v>225</v>
      </c>
      <c r="M44" t="s">
        <v>262</v>
      </c>
      <c r="N44" t="s">
        <v>1477</v>
      </c>
      <c r="O44">
        <v>10026040</v>
      </c>
      <c r="P44" s="120">
        <v>42801</v>
      </c>
      <c r="Q44" s="120">
        <v>42803</v>
      </c>
      <c r="R44" s="120">
        <v>42850</v>
      </c>
      <c r="S44" t="s">
        <v>267</v>
      </c>
      <c r="T44">
        <v>2</v>
      </c>
      <c r="U44" t="s">
        <v>128</v>
      </c>
      <c r="V44">
        <v>2</v>
      </c>
      <c r="W44">
        <v>2</v>
      </c>
      <c r="X44">
        <v>2</v>
      </c>
      <c r="Y44">
        <v>2</v>
      </c>
      <c r="Z44" t="s">
        <v>2730</v>
      </c>
      <c r="AA44">
        <v>2</v>
      </c>
      <c r="AB44" t="s">
        <v>2732</v>
      </c>
      <c r="AC44" t="s">
        <v>2730</v>
      </c>
      <c r="AD44" t="s">
        <v>2730</v>
      </c>
      <c r="AE44" t="s">
        <v>2730</v>
      </c>
      <c r="AF44" t="s">
        <v>2730</v>
      </c>
      <c r="AG44" t="s">
        <v>2730</v>
      </c>
      <c r="AH44" t="s">
        <v>2730</v>
      </c>
    </row>
    <row r="45" spans="1:34">
      <c r="A45" s="149" t="str">
        <f>HYPERLINK("http://www.ofsted.gov.uk/inspection-reports/find-inspection-report/provider/ELS/138386 ","Ofsted School Webpage")</f>
        <v>Ofsted School Webpage</v>
      </c>
      <c r="B45">
        <v>138386</v>
      </c>
      <c r="C45">
        <v>3036000</v>
      </c>
      <c r="D45" t="s">
        <v>1054</v>
      </c>
      <c r="E45" t="s">
        <v>38</v>
      </c>
      <c r="F45" t="s">
        <v>184</v>
      </c>
      <c r="G45" t="s">
        <v>184</v>
      </c>
      <c r="H45" t="s">
        <v>2729</v>
      </c>
      <c r="I45" t="s">
        <v>2730</v>
      </c>
      <c r="J45" t="s">
        <v>186</v>
      </c>
      <c r="K45" t="s">
        <v>232</v>
      </c>
      <c r="L45" t="s">
        <v>232</v>
      </c>
      <c r="M45" t="s">
        <v>1055</v>
      </c>
      <c r="N45" t="s">
        <v>1056</v>
      </c>
      <c r="O45">
        <v>10012787</v>
      </c>
      <c r="P45" s="120">
        <v>42795</v>
      </c>
      <c r="Q45" s="120">
        <v>42797</v>
      </c>
      <c r="R45" s="120">
        <v>42817</v>
      </c>
      <c r="S45" t="s">
        <v>196</v>
      </c>
      <c r="T45">
        <v>3</v>
      </c>
      <c r="U45" t="s">
        <v>128</v>
      </c>
      <c r="V45">
        <v>3</v>
      </c>
      <c r="W45">
        <v>3</v>
      </c>
      <c r="X45">
        <v>3</v>
      </c>
      <c r="Y45">
        <v>3</v>
      </c>
      <c r="Z45" t="s">
        <v>2730</v>
      </c>
      <c r="AA45" t="s">
        <v>2730</v>
      </c>
      <c r="AB45" t="s">
        <v>2732</v>
      </c>
      <c r="AC45" t="s">
        <v>2730</v>
      </c>
      <c r="AD45" t="s">
        <v>2730</v>
      </c>
      <c r="AE45" t="s">
        <v>2730</v>
      </c>
      <c r="AF45" t="s">
        <v>2730</v>
      </c>
      <c r="AG45" t="s">
        <v>2730</v>
      </c>
      <c r="AH45" t="s">
        <v>2730</v>
      </c>
    </row>
    <row r="46" spans="1:34">
      <c r="A46" s="149" t="str">
        <f>HYPERLINK("http://www.ofsted.gov.uk/inspection-reports/find-inspection-report/provider/ELS/135001 ","Ofsted School Webpage")</f>
        <v>Ofsted School Webpage</v>
      </c>
      <c r="B46">
        <v>135001</v>
      </c>
      <c r="C46">
        <v>3926011</v>
      </c>
      <c r="D46" t="s">
        <v>1057</v>
      </c>
      <c r="E46" t="s">
        <v>38</v>
      </c>
      <c r="F46" t="s">
        <v>184</v>
      </c>
      <c r="G46" t="s">
        <v>184</v>
      </c>
      <c r="H46" t="s">
        <v>2729</v>
      </c>
      <c r="I46" t="s">
        <v>2730</v>
      </c>
      <c r="J46" t="s">
        <v>186</v>
      </c>
      <c r="K46" t="s">
        <v>245</v>
      </c>
      <c r="L46" t="s">
        <v>277</v>
      </c>
      <c r="M46" t="s">
        <v>838</v>
      </c>
      <c r="N46" t="s">
        <v>1058</v>
      </c>
      <c r="O46" t="s">
        <v>1059</v>
      </c>
      <c r="P46" s="120">
        <v>42122</v>
      </c>
      <c r="Q46" s="120">
        <v>42124</v>
      </c>
      <c r="R46" s="120">
        <v>42151</v>
      </c>
      <c r="S46" t="s">
        <v>196</v>
      </c>
      <c r="T46">
        <v>2</v>
      </c>
      <c r="U46" t="s">
        <v>2730</v>
      </c>
      <c r="V46">
        <v>2</v>
      </c>
      <c r="W46" t="s">
        <v>2730</v>
      </c>
      <c r="X46">
        <v>2</v>
      </c>
      <c r="Y46">
        <v>2</v>
      </c>
      <c r="Z46">
        <v>9</v>
      </c>
      <c r="AA46">
        <v>2</v>
      </c>
      <c r="AB46" t="s">
        <v>2730</v>
      </c>
      <c r="AC46" t="s">
        <v>2730</v>
      </c>
      <c r="AD46" t="s">
        <v>2730</v>
      </c>
      <c r="AE46" t="s">
        <v>2730</v>
      </c>
      <c r="AF46" t="s">
        <v>2730</v>
      </c>
      <c r="AG46" t="s">
        <v>2730</v>
      </c>
      <c r="AH46" t="s">
        <v>2730</v>
      </c>
    </row>
    <row r="47" spans="1:34">
      <c r="A47" s="149" t="str">
        <f>HYPERLINK("http://www.ofsted.gov.uk/inspection-reports/find-inspection-report/provider/ELS/137956 ","Ofsted School Webpage")</f>
        <v>Ofsted School Webpage</v>
      </c>
      <c r="B47">
        <v>137956</v>
      </c>
      <c r="C47">
        <v>8606039</v>
      </c>
      <c r="D47" t="s">
        <v>1060</v>
      </c>
      <c r="E47" t="s">
        <v>38</v>
      </c>
      <c r="F47" t="s">
        <v>184</v>
      </c>
      <c r="G47" t="s">
        <v>184</v>
      </c>
      <c r="H47" t="s">
        <v>2729</v>
      </c>
      <c r="I47" t="s">
        <v>2730</v>
      </c>
      <c r="J47" t="s">
        <v>186</v>
      </c>
      <c r="K47" t="s">
        <v>193</v>
      </c>
      <c r="L47" t="s">
        <v>193</v>
      </c>
      <c r="M47" t="s">
        <v>314</v>
      </c>
      <c r="N47" t="s">
        <v>1061</v>
      </c>
      <c r="O47">
        <v>10008530</v>
      </c>
      <c r="P47" s="120">
        <v>42430</v>
      </c>
      <c r="Q47" s="120">
        <v>42432</v>
      </c>
      <c r="R47" s="120">
        <v>42473</v>
      </c>
      <c r="S47" t="s">
        <v>196</v>
      </c>
      <c r="T47">
        <v>3</v>
      </c>
      <c r="U47" t="s">
        <v>128</v>
      </c>
      <c r="V47">
        <v>3</v>
      </c>
      <c r="W47">
        <v>3</v>
      </c>
      <c r="X47">
        <v>3</v>
      </c>
      <c r="Y47">
        <v>3</v>
      </c>
      <c r="Z47" t="s">
        <v>2730</v>
      </c>
      <c r="AA47">
        <v>3</v>
      </c>
      <c r="AB47" t="s">
        <v>2732</v>
      </c>
      <c r="AC47" t="s">
        <v>2730</v>
      </c>
      <c r="AD47" t="s">
        <v>2730</v>
      </c>
      <c r="AE47" t="s">
        <v>2730</v>
      </c>
      <c r="AF47" t="s">
        <v>2730</v>
      </c>
      <c r="AG47" t="s">
        <v>2730</v>
      </c>
      <c r="AH47" t="s">
        <v>2730</v>
      </c>
    </row>
    <row r="48" spans="1:34">
      <c r="A48" s="149" t="str">
        <f>HYPERLINK("http://www.ofsted.gov.uk/inspection-reports/find-inspection-report/provider/ELS/135113 ","Ofsted School Webpage")</f>
        <v>Ofsted School Webpage</v>
      </c>
      <c r="B48">
        <v>135113</v>
      </c>
      <c r="C48">
        <v>8416003</v>
      </c>
      <c r="D48" t="s">
        <v>1062</v>
      </c>
      <c r="E48" t="s">
        <v>38</v>
      </c>
      <c r="F48" t="s">
        <v>184</v>
      </c>
      <c r="G48" t="s">
        <v>184</v>
      </c>
      <c r="H48" t="s">
        <v>2729</v>
      </c>
      <c r="I48" t="s">
        <v>2730</v>
      </c>
      <c r="J48" t="s">
        <v>186</v>
      </c>
      <c r="K48" t="s">
        <v>245</v>
      </c>
      <c r="L48" t="s">
        <v>277</v>
      </c>
      <c r="M48" t="s">
        <v>592</v>
      </c>
      <c r="N48" t="s">
        <v>1063</v>
      </c>
      <c r="O48">
        <v>10025958</v>
      </c>
      <c r="P48" s="120">
        <v>42773</v>
      </c>
      <c r="Q48" s="120">
        <v>42775</v>
      </c>
      <c r="R48" s="120">
        <v>42807</v>
      </c>
      <c r="S48" t="s">
        <v>196</v>
      </c>
      <c r="T48">
        <v>1</v>
      </c>
      <c r="U48" t="s">
        <v>128</v>
      </c>
      <c r="V48">
        <v>1</v>
      </c>
      <c r="W48">
        <v>1</v>
      </c>
      <c r="X48">
        <v>1</v>
      </c>
      <c r="Y48">
        <v>1</v>
      </c>
      <c r="Z48" t="s">
        <v>2730</v>
      </c>
      <c r="AA48" t="s">
        <v>2730</v>
      </c>
      <c r="AB48" t="s">
        <v>2732</v>
      </c>
      <c r="AC48" t="s">
        <v>2730</v>
      </c>
      <c r="AD48" t="s">
        <v>2730</v>
      </c>
      <c r="AE48" t="s">
        <v>2730</v>
      </c>
      <c r="AF48" t="s">
        <v>2730</v>
      </c>
      <c r="AG48" t="s">
        <v>2730</v>
      </c>
      <c r="AH48" t="s">
        <v>2730</v>
      </c>
    </row>
    <row r="49" spans="1:34">
      <c r="A49" s="149" t="str">
        <f>HYPERLINK("http://www.ofsted.gov.uk/inspection-reports/find-inspection-report/provider/ELS/132735 ","Ofsted School Webpage")</f>
        <v>Ofsted School Webpage</v>
      </c>
      <c r="B49">
        <v>132735</v>
      </c>
      <c r="C49">
        <v>8606024</v>
      </c>
      <c r="D49" t="s">
        <v>327</v>
      </c>
      <c r="E49" t="s">
        <v>38</v>
      </c>
      <c r="F49" t="s">
        <v>184</v>
      </c>
      <c r="G49" t="s">
        <v>184</v>
      </c>
      <c r="H49" t="s">
        <v>2729</v>
      </c>
      <c r="I49" t="s">
        <v>2730</v>
      </c>
      <c r="J49" t="s">
        <v>186</v>
      </c>
      <c r="K49" t="s">
        <v>193</v>
      </c>
      <c r="L49" t="s">
        <v>193</v>
      </c>
      <c r="M49" t="s">
        <v>314</v>
      </c>
      <c r="N49" t="s">
        <v>328</v>
      </c>
      <c r="O49">
        <v>10040663</v>
      </c>
      <c r="P49" s="120">
        <v>43018</v>
      </c>
      <c r="Q49" s="120">
        <v>43020</v>
      </c>
      <c r="R49" s="120">
        <v>43048</v>
      </c>
      <c r="S49" t="s">
        <v>196</v>
      </c>
      <c r="T49">
        <v>3</v>
      </c>
      <c r="U49" t="s">
        <v>128</v>
      </c>
      <c r="V49">
        <v>3</v>
      </c>
      <c r="W49">
        <v>2</v>
      </c>
      <c r="X49">
        <v>3</v>
      </c>
      <c r="Y49">
        <v>3</v>
      </c>
      <c r="Z49" t="s">
        <v>2730</v>
      </c>
      <c r="AA49">
        <v>3</v>
      </c>
      <c r="AB49" t="s">
        <v>2732</v>
      </c>
      <c r="AC49" t="s">
        <v>2730</v>
      </c>
      <c r="AD49" t="s">
        <v>2730</v>
      </c>
      <c r="AE49" t="s">
        <v>2730</v>
      </c>
      <c r="AF49" t="s">
        <v>2730</v>
      </c>
      <c r="AG49" t="s">
        <v>2730</v>
      </c>
      <c r="AH49" t="s">
        <v>2730</v>
      </c>
    </row>
    <row r="50" spans="1:34">
      <c r="A50" s="149" t="str">
        <f>HYPERLINK("http://www.ofsted.gov.uk/inspection-reports/find-inspection-report/provider/ELS/101843 ","Ofsted School Webpage")</f>
        <v>Ofsted School Webpage</v>
      </c>
      <c r="B50">
        <v>101843</v>
      </c>
      <c r="C50">
        <v>3066078</v>
      </c>
      <c r="D50" t="s">
        <v>1218</v>
      </c>
      <c r="E50" t="s">
        <v>38</v>
      </c>
      <c r="F50" t="s">
        <v>184</v>
      </c>
      <c r="G50" t="s">
        <v>184</v>
      </c>
      <c r="H50" t="s">
        <v>2729</v>
      </c>
      <c r="I50" t="s">
        <v>2730</v>
      </c>
      <c r="J50" t="s">
        <v>186</v>
      </c>
      <c r="K50" t="s">
        <v>232</v>
      </c>
      <c r="L50" t="s">
        <v>232</v>
      </c>
      <c r="M50" t="s">
        <v>723</v>
      </c>
      <c r="N50" t="s">
        <v>1219</v>
      </c>
      <c r="O50" t="s">
        <v>1220</v>
      </c>
      <c r="P50" s="120">
        <v>42192</v>
      </c>
      <c r="Q50" s="120">
        <v>42194</v>
      </c>
      <c r="R50" s="120">
        <v>42257</v>
      </c>
      <c r="S50" t="s">
        <v>196</v>
      </c>
      <c r="T50">
        <v>1</v>
      </c>
      <c r="U50" t="s">
        <v>2730</v>
      </c>
      <c r="V50">
        <v>1</v>
      </c>
      <c r="W50" t="s">
        <v>2730</v>
      </c>
      <c r="X50">
        <v>1</v>
      </c>
      <c r="Y50">
        <v>1</v>
      </c>
      <c r="Z50">
        <v>9</v>
      </c>
      <c r="AA50">
        <v>2</v>
      </c>
      <c r="AB50" t="s">
        <v>2730</v>
      </c>
      <c r="AC50" t="s">
        <v>2730</v>
      </c>
      <c r="AD50" t="s">
        <v>2730</v>
      </c>
      <c r="AE50" t="s">
        <v>2730</v>
      </c>
      <c r="AF50" t="s">
        <v>2730</v>
      </c>
      <c r="AG50" t="s">
        <v>2730</v>
      </c>
      <c r="AH50" t="s">
        <v>2730</v>
      </c>
    </row>
    <row r="51" spans="1:34">
      <c r="A51" s="149" t="str">
        <f>HYPERLINK("http://www.ofsted.gov.uk/inspection-reports/find-inspection-report/provider/ELS/136233 ","Ofsted School Webpage")</f>
        <v>Ofsted School Webpage</v>
      </c>
      <c r="B51">
        <v>136233</v>
      </c>
      <c r="C51">
        <v>8746036</v>
      </c>
      <c r="D51" t="s">
        <v>1221</v>
      </c>
      <c r="E51" t="s">
        <v>38</v>
      </c>
      <c r="F51" t="s">
        <v>184</v>
      </c>
      <c r="G51" t="s">
        <v>184</v>
      </c>
      <c r="H51" t="s">
        <v>2729</v>
      </c>
      <c r="I51" t="s">
        <v>2730</v>
      </c>
      <c r="J51" t="s">
        <v>186</v>
      </c>
      <c r="K51" t="s">
        <v>220</v>
      </c>
      <c r="L51" t="s">
        <v>220</v>
      </c>
      <c r="M51" t="s">
        <v>617</v>
      </c>
      <c r="N51" t="s">
        <v>1222</v>
      </c>
      <c r="O51" t="s">
        <v>1223</v>
      </c>
      <c r="P51" s="120">
        <v>41619</v>
      </c>
      <c r="Q51" s="120">
        <v>41620</v>
      </c>
      <c r="R51" s="120">
        <v>41652</v>
      </c>
      <c r="S51" t="s">
        <v>249</v>
      </c>
      <c r="T51">
        <v>4</v>
      </c>
      <c r="U51" t="s">
        <v>2730</v>
      </c>
      <c r="V51">
        <v>4</v>
      </c>
      <c r="W51" t="s">
        <v>2730</v>
      </c>
      <c r="X51">
        <v>4</v>
      </c>
      <c r="Y51">
        <v>4</v>
      </c>
      <c r="Z51" t="s">
        <v>2730</v>
      </c>
      <c r="AA51" t="s">
        <v>2730</v>
      </c>
      <c r="AB51" t="s">
        <v>2730</v>
      </c>
      <c r="AC51" t="s">
        <v>3009</v>
      </c>
      <c r="AD51" t="s">
        <v>187</v>
      </c>
      <c r="AE51" s="120">
        <v>42018</v>
      </c>
      <c r="AF51" t="s">
        <v>3010</v>
      </c>
      <c r="AG51" s="120">
        <v>42033</v>
      </c>
      <c r="AH51" t="s">
        <v>3011</v>
      </c>
    </row>
    <row r="52" spans="1:34">
      <c r="A52" s="149" t="str">
        <f>HYPERLINK("http://www.ofsted.gov.uk/inspection-reports/find-inspection-report/provider/ELS/137795 ","Ofsted School Webpage")</f>
        <v>Ofsted School Webpage</v>
      </c>
      <c r="B52">
        <v>137795</v>
      </c>
      <c r="C52">
        <v>8866137</v>
      </c>
      <c r="D52" t="s">
        <v>1224</v>
      </c>
      <c r="E52" t="s">
        <v>38</v>
      </c>
      <c r="F52" t="s">
        <v>184</v>
      </c>
      <c r="G52" t="s">
        <v>184</v>
      </c>
      <c r="H52" t="s">
        <v>2729</v>
      </c>
      <c r="I52" t="s">
        <v>2730</v>
      </c>
      <c r="J52" t="s">
        <v>186</v>
      </c>
      <c r="K52" t="s">
        <v>181</v>
      </c>
      <c r="L52" t="s">
        <v>181</v>
      </c>
      <c r="M52" t="s">
        <v>182</v>
      </c>
      <c r="N52" t="s">
        <v>1225</v>
      </c>
      <c r="O52" t="s">
        <v>3019</v>
      </c>
      <c r="P52" s="120">
        <v>41317</v>
      </c>
      <c r="Q52" s="120">
        <v>41318</v>
      </c>
      <c r="R52" s="120">
        <v>41338</v>
      </c>
      <c r="S52" t="s">
        <v>249</v>
      </c>
      <c r="T52">
        <v>3</v>
      </c>
      <c r="U52" t="s">
        <v>2730</v>
      </c>
      <c r="V52">
        <v>3</v>
      </c>
      <c r="W52" t="s">
        <v>2730</v>
      </c>
      <c r="X52">
        <v>3</v>
      </c>
      <c r="Y52">
        <v>3</v>
      </c>
      <c r="Z52" t="s">
        <v>2730</v>
      </c>
      <c r="AA52" t="s">
        <v>2730</v>
      </c>
      <c r="AB52" t="s">
        <v>2730</v>
      </c>
      <c r="AC52" t="s">
        <v>2730</v>
      </c>
      <c r="AD52" t="s">
        <v>2730</v>
      </c>
      <c r="AE52" t="s">
        <v>2730</v>
      </c>
      <c r="AF52" t="s">
        <v>2730</v>
      </c>
      <c r="AG52" t="s">
        <v>2730</v>
      </c>
      <c r="AH52" t="s">
        <v>2730</v>
      </c>
    </row>
    <row r="53" spans="1:34">
      <c r="A53" s="149" t="str">
        <f>HYPERLINK("http://www.ofsted.gov.uk/inspection-reports/find-inspection-report/provider/ELS/134634 ","Ofsted School Webpage")</f>
        <v>Ofsted School Webpage</v>
      </c>
      <c r="B53">
        <v>134634</v>
      </c>
      <c r="C53">
        <v>8456054</v>
      </c>
      <c r="D53" t="s">
        <v>1846</v>
      </c>
      <c r="E53" t="s">
        <v>38</v>
      </c>
      <c r="F53" t="s">
        <v>184</v>
      </c>
      <c r="G53" t="s">
        <v>184</v>
      </c>
      <c r="H53" t="s">
        <v>2729</v>
      </c>
      <c r="I53" t="s">
        <v>2730</v>
      </c>
      <c r="J53" t="s">
        <v>186</v>
      </c>
      <c r="K53" t="s">
        <v>181</v>
      </c>
      <c r="L53" t="s">
        <v>181</v>
      </c>
      <c r="M53" t="s">
        <v>438</v>
      </c>
      <c r="N53" t="s">
        <v>1847</v>
      </c>
      <c r="O53" t="s">
        <v>1848</v>
      </c>
      <c r="P53" s="120">
        <v>42164</v>
      </c>
      <c r="Q53" s="120">
        <v>42166</v>
      </c>
      <c r="R53" s="120">
        <v>42198</v>
      </c>
      <c r="S53" t="s">
        <v>196</v>
      </c>
      <c r="T53">
        <v>2</v>
      </c>
      <c r="U53" t="s">
        <v>2730</v>
      </c>
      <c r="V53">
        <v>2</v>
      </c>
      <c r="W53" t="s">
        <v>2730</v>
      </c>
      <c r="X53">
        <v>1</v>
      </c>
      <c r="Y53">
        <v>1</v>
      </c>
      <c r="Z53">
        <v>1</v>
      </c>
      <c r="AA53">
        <v>9</v>
      </c>
      <c r="AB53" t="s">
        <v>2730</v>
      </c>
      <c r="AC53" t="s">
        <v>2730</v>
      </c>
      <c r="AD53" t="s">
        <v>2730</v>
      </c>
      <c r="AE53" t="s">
        <v>2730</v>
      </c>
      <c r="AF53" t="s">
        <v>2730</v>
      </c>
      <c r="AG53" t="s">
        <v>2730</v>
      </c>
      <c r="AH53" t="s">
        <v>2730</v>
      </c>
    </row>
    <row r="54" spans="1:34">
      <c r="A54" s="149" t="str">
        <f>HYPERLINK("http://www.ofsted.gov.uk/inspection-reports/find-inspection-report/provider/ELS/134833 ","Ofsted School Webpage")</f>
        <v>Ofsted School Webpage</v>
      </c>
      <c r="B54">
        <v>134833</v>
      </c>
      <c r="C54">
        <v>9366584</v>
      </c>
      <c r="D54" t="s">
        <v>1849</v>
      </c>
      <c r="E54" t="s">
        <v>38</v>
      </c>
      <c r="F54" t="s">
        <v>184</v>
      </c>
      <c r="G54" t="s">
        <v>184</v>
      </c>
      <c r="H54" t="s">
        <v>2729</v>
      </c>
      <c r="I54" t="s">
        <v>2730</v>
      </c>
      <c r="J54" t="s">
        <v>186</v>
      </c>
      <c r="K54" t="s">
        <v>181</v>
      </c>
      <c r="L54" t="s">
        <v>181</v>
      </c>
      <c r="M54" t="s">
        <v>582</v>
      </c>
      <c r="N54" t="s">
        <v>1850</v>
      </c>
      <c r="O54">
        <v>10006326</v>
      </c>
      <c r="P54" s="120">
        <v>42535</v>
      </c>
      <c r="Q54" s="120">
        <v>42537</v>
      </c>
      <c r="R54" s="120">
        <v>42557</v>
      </c>
      <c r="S54" t="s">
        <v>196</v>
      </c>
      <c r="T54">
        <v>2</v>
      </c>
      <c r="U54" t="s">
        <v>128</v>
      </c>
      <c r="V54">
        <v>2</v>
      </c>
      <c r="W54">
        <v>1</v>
      </c>
      <c r="X54">
        <v>2</v>
      </c>
      <c r="Y54">
        <v>2</v>
      </c>
      <c r="Z54" t="s">
        <v>2730</v>
      </c>
      <c r="AA54" t="s">
        <v>2730</v>
      </c>
      <c r="AB54" t="s">
        <v>2732</v>
      </c>
      <c r="AC54" t="s">
        <v>2730</v>
      </c>
      <c r="AD54" t="s">
        <v>2730</v>
      </c>
      <c r="AE54" s="120" t="s">
        <v>2730</v>
      </c>
      <c r="AF54" t="s">
        <v>2730</v>
      </c>
      <c r="AG54" s="120" t="s">
        <v>2730</v>
      </c>
      <c r="AH54" t="s">
        <v>2730</v>
      </c>
    </row>
    <row r="55" spans="1:34">
      <c r="A55" s="149" t="str">
        <f>HYPERLINK("http://www.ofsted.gov.uk/inspection-reports/find-inspection-report/provider/ELS/136244 ","Ofsted School Webpage")</f>
        <v>Ofsted School Webpage</v>
      </c>
      <c r="B55">
        <v>136244</v>
      </c>
      <c r="C55">
        <v>3176080</v>
      </c>
      <c r="D55" t="s">
        <v>1851</v>
      </c>
      <c r="E55" t="s">
        <v>38</v>
      </c>
      <c r="F55" t="s">
        <v>184</v>
      </c>
      <c r="G55" t="s">
        <v>184</v>
      </c>
      <c r="H55" t="s">
        <v>2729</v>
      </c>
      <c r="I55" t="s">
        <v>2730</v>
      </c>
      <c r="J55" t="s">
        <v>186</v>
      </c>
      <c r="K55" t="s">
        <v>232</v>
      </c>
      <c r="L55" t="s">
        <v>232</v>
      </c>
      <c r="M55" t="s">
        <v>805</v>
      </c>
      <c r="N55" t="s">
        <v>1852</v>
      </c>
      <c r="O55" t="s">
        <v>1853</v>
      </c>
      <c r="P55" s="120">
        <v>42185</v>
      </c>
      <c r="Q55" s="120">
        <v>42186</v>
      </c>
      <c r="R55" s="120">
        <v>42257</v>
      </c>
      <c r="S55" t="s">
        <v>3119</v>
      </c>
      <c r="T55">
        <v>2</v>
      </c>
      <c r="U55" t="s">
        <v>2730</v>
      </c>
      <c r="V55">
        <v>2</v>
      </c>
      <c r="W55" t="s">
        <v>2730</v>
      </c>
      <c r="X55">
        <v>2</v>
      </c>
      <c r="Y55">
        <v>2</v>
      </c>
      <c r="Z55">
        <v>9</v>
      </c>
      <c r="AA55">
        <v>9</v>
      </c>
      <c r="AB55" t="s">
        <v>2730</v>
      </c>
      <c r="AC55" t="s">
        <v>2730</v>
      </c>
      <c r="AD55" t="s">
        <v>2730</v>
      </c>
      <c r="AE55" t="s">
        <v>2730</v>
      </c>
      <c r="AF55" t="s">
        <v>2730</v>
      </c>
      <c r="AG55" t="s">
        <v>2730</v>
      </c>
      <c r="AH55" t="s">
        <v>2730</v>
      </c>
    </row>
    <row r="56" spans="1:34">
      <c r="A56" s="149" t="str">
        <f>HYPERLINK("http://www.ofsted.gov.uk/inspection-reports/find-inspection-report/provider/ELS/117033 ","Ofsted School Webpage")</f>
        <v>Ofsted School Webpage</v>
      </c>
      <c r="B56">
        <v>117033</v>
      </c>
      <c r="C56">
        <v>8856024</v>
      </c>
      <c r="D56" t="s">
        <v>1568</v>
      </c>
      <c r="E56" t="s">
        <v>38</v>
      </c>
      <c r="F56" t="s">
        <v>184</v>
      </c>
      <c r="G56" t="s">
        <v>184</v>
      </c>
      <c r="H56" t="s">
        <v>2729</v>
      </c>
      <c r="I56" t="s">
        <v>2730</v>
      </c>
      <c r="J56" t="s">
        <v>186</v>
      </c>
      <c r="K56" t="s">
        <v>193</v>
      </c>
      <c r="L56" t="s">
        <v>193</v>
      </c>
      <c r="M56" t="s">
        <v>891</v>
      </c>
      <c r="N56" t="s">
        <v>1569</v>
      </c>
      <c r="O56">
        <v>10008859</v>
      </c>
      <c r="P56" s="120">
        <v>42346</v>
      </c>
      <c r="Q56" s="120">
        <v>42348</v>
      </c>
      <c r="R56" s="120">
        <v>42398</v>
      </c>
      <c r="S56" t="s">
        <v>196</v>
      </c>
      <c r="T56">
        <v>2</v>
      </c>
      <c r="U56" t="s">
        <v>128</v>
      </c>
      <c r="V56">
        <v>2</v>
      </c>
      <c r="W56">
        <v>2</v>
      </c>
      <c r="X56">
        <v>2</v>
      </c>
      <c r="Y56">
        <v>2</v>
      </c>
      <c r="Z56" t="s">
        <v>2730</v>
      </c>
      <c r="AA56">
        <v>2</v>
      </c>
      <c r="AB56" t="s">
        <v>2732</v>
      </c>
      <c r="AC56" t="s">
        <v>2730</v>
      </c>
      <c r="AD56" t="s">
        <v>2730</v>
      </c>
      <c r="AE56" t="s">
        <v>2730</v>
      </c>
      <c r="AF56" t="s">
        <v>2730</v>
      </c>
      <c r="AG56" t="s">
        <v>2730</v>
      </c>
      <c r="AH56" t="s">
        <v>2730</v>
      </c>
    </row>
    <row r="57" spans="1:34">
      <c r="A57" s="149" t="str">
        <f>HYPERLINK("http://www.ofsted.gov.uk/inspection-reports/find-inspection-report/provider/ELS/102172 ","Ofsted School Webpage")</f>
        <v>Ofsted School Webpage</v>
      </c>
      <c r="B57">
        <v>102172</v>
      </c>
      <c r="C57">
        <v>3096070</v>
      </c>
      <c r="D57" t="s">
        <v>3020</v>
      </c>
      <c r="E57" t="s">
        <v>38</v>
      </c>
      <c r="F57" t="s">
        <v>184</v>
      </c>
      <c r="G57" t="s">
        <v>184</v>
      </c>
      <c r="H57" t="s">
        <v>2729</v>
      </c>
      <c r="I57" t="s">
        <v>2730</v>
      </c>
      <c r="J57" t="s">
        <v>186</v>
      </c>
      <c r="K57" t="s">
        <v>232</v>
      </c>
      <c r="L57" t="s">
        <v>232</v>
      </c>
      <c r="M57" t="s">
        <v>697</v>
      </c>
      <c r="N57" t="s">
        <v>1580</v>
      </c>
      <c r="O57">
        <v>10008599</v>
      </c>
      <c r="P57" s="120">
        <v>42773</v>
      </c>
      <c r="Q57" s="120">
        <v>42775</v>
      </c>
      <c r="R57" s="120">
        <v>42797</v>
      </c>
      <c r="S57" t="s">
        <v>196</v>
      </c>
      <c r="T57">
        <v>2</v>
      </c>
      <c r="U57" t="s">
        <v>128</v>
      </c>
      <c r="V57">
        <v>2</v>
      </c>
      <c r="W57">
        <v>2</v>
      </c>
      <c r="X57">
        <v>2</v>
      </c>
      <c r="Y57">
        <v>2</v>
      </c>
      <c r="Z57" t="s">
        <v>2730</v>
      </c>
      <c r="AA57" t="s">
        <v>2730</v>
      </c>
      <c r="AB57" t="s">
        <v>2732</v>
      </c>
      <c r="AC57" t="s">
        <v>2730</v>
      </c>
      <c r="AD57" t="s">
        <v>2730</v>
      </c>
      <c r="AE57" t="s">
        <v>2730</v>
      </c>
      <c r="AF57" t="s">
        <v>2730</v>
      </c>
      <c r="AG57" t="s">
        <v>2730</v>
      </c>
      <c r="AH57" t="s">
        <v>2730</v>
      </c>
    </row>
    <row r="58" spans="1:34">
      <c r="A58" s="149" t="str">
        <f>HYPERLINK("http://www.ofsted.gov.uk/inspection-reports/find-inspection-report/provider/ELS/115809 ","Ofsted School Webpage")</f>
        <v>Ofsted School Webpage</v>
      </c>
      <c r="B58">
        <v>115809</v>
      </c>
      <c r="C58">
        <v>9166072</v>
      </c>
      <c r="D58" t="s">
        <v>1581</v>
      </c>
      <c r="E58" t="s">
        <v>38</v>
      </c>
      <c r="F58" t="s">
        <v>184</v>
      </c>
      <c r="G58" t="s">
        <v>184</v>
      </c>
      <c r="H58" t="s">
        <v>2729</v>
      </c>
      <c r="I58" t="s">
        <v>2730</v>
      </c>
      <c r="J58" t="s">
        <v>186</v>
      </c>
      <c r="K58" t="s">
        <v>225</v>
      </c>
      <c r="L58" t="s">
        <v>225</v>
      </c>
      <c r="M58" t="s">
        <v>265</v>
      </c>
      <c r="N58" t="s">
        <v>1582</v>
      </c>
      <c r="O58" t="s">
        <v>1583</v>
      </c>
      <c r="P58" s="120">
        <v>42157</v>
      </c>
      <c r="Q58" s="120">
        <v>42159</v>
      </c>
      <c r="R58" s="120">
        <v>42194</v>
      </c>
      <c r="S58" t="s">
        <v>196</v>
      </c>
      <c r="T58">
        <v>2</v>
      </c>
      <c r="U58" t="s">
        <v>2730</v>
      </c>
      <c r="V58">
        <v>2</v>
      </c>
      <c r="W58" t="s">
        <v>2730</v>
      </c>
      <c r="X58">
        <v>2</v>
      </c>
      <c r="Y58">
        <v>2</v>
      </c>
      <c r="Z58">
        <v>9</v>
      </c>
      <c r="AA58">
        <v>9</v>
      </c>
      <c r="AB58" t="s">
        <v>2730</v>
      </c>
      <c r="AC58" t="s">
        <v>2730</v>
      </c>
      <c r="AD58" t="s">
        <v>2730</v>
      </c>
      <c r="AE58" t="s">
        <v>2730</v>
      </c>
      <c r="AF58" t="s">
        <v>2730</v>
      </c>
      <c r="AG58" t="s">
        <v>2730</v>
      </c>
      <c r="AH58" t="s">
        <v>2730</v>
      </c>
    </row>
    <row r="59" spans="1:34">
      <c r="A59" s="149" t="str">
        <f>HYPERLINK("http://www.ofsted.gov.uk/inspection-reports/find-inspection-report/provider/ELS/135241 ","Ofsted School Webpage")</f>
        <v>Ofsted School Webpage</v>
      </c>
      <c r="B59">
        <v>135241</v>
      </c>
      <c r="C59">
        <v>8306035</v>
      </c>
      <c r="D59" t="s">
        <v>1584</v>
      </c>
      <c r="E59" t="s">
        <v>38</v>
      </c>
      <c r="F59" t="s">
        <v>184</v>
      </c>
      <c r="G59" t="s">
        <v>184</v>
      </c>
      <c r="H59" t="s">
        <v>2729</v>
      </c>
      <c r="I59" t="s">
        <v>2730</v>
      </c>
      <c r="J59" t="s">
        <v>186</v>
      </c>
      <c r="K59" t="s">
        <v>214</v>
      </c>
      <c r="L59" t="s">
        <v>214</v>
      </c>
      <c r="M59" t="s">
        <v>364</v>
      </c>
      <c r="N59" t="s">
        <v>1585</v>
      </c>
      <c r="O59">
        <v>10006017</v>
      </c>
      <c r="P59" s="120">
        <v>42332</v>
      </c>
      <c r="Q59" s="120">
        <v>42333</v>
      </c>
      <c r="R59" s="120">
        <v>42355</v>
      </c>
      <c r="S59" t="s">
        <v>196</v>
      </c>
      <c r="T59">
        <v>1</v>
      </c>
      <c r="U59" t="s">
        <v>128</v>
      </c>
      <c r="V59">
        <v>1</v>
      </c>
      <c r="W59">
        <v>1</v>
      </c>
      <c r="X59">
        <v>1</v>
      </c>
      <c r="Y59">
        <v>1</v>
      </c>
      <c r="Z59" t="s">
        <v>2730</v>
      </c>
      <c r="AA59" t="s">
        <v>2730</v>
      </c>
      <c r="AB59" t="s">
        <v>2732</v>
      </c>
      <c r="AC59" t="s">
        <v>2730</v>
      </c>
      <c r="AD59" t="s">
        <v>2730</v>
      </c>
      <c r="AE59" t="s">
        <v>2730</v>
      </c>
      <c r="AF59" t="s">
        <v>2730</v>
      </c>
      <c r="AG59" t="s">
        <v>2730</v>
      </c>
      <c r="AH59" t="s">
        <v>2730</v>
      </c>
    </row>
    <row r="60" spans="1:34">
      <c r="A60" s="149" t="str">
        <f>HYPERLINK("http://www.ofsted.gov.uk/inspection-reports/find-inspection-report/provider/ELS/138563 ","Ofsted School Webpage")</f>
        <v>Ofsted School Webpage</v>
      </c>
      <c r="B60">
        <v>138563</v>
      </c>
      <c r="C60">
        <v>8036009</v>
      </c>
      <c r="D60" t="s">
        <v>1586</v>
      </c>
      <c r="E60" t="s">
        <v>38</v>
      </c>
      <c r="F60" t="s">
        <v>184</v>
      </c>
      <c r="G60" t="s">
        <v>184</v>
      </c>
      <c r="H60" t="s">
        <v>2729</v>
      </c>
      <c r="I60" t="s">
        <v>2730</v>
      </c>
      <c r="J60" t="s">
        <v>186</v>
      </c>
      <c r="K60" t="s">
        <v>225</v>
      </c>
      <c r="L60" t="s">
        <v>225</v>
      </c>
      <c r="M60" t="s">
        <v>614</v>
      </c>
      <c r="N60" t="s">
        <v>1587</v>
      </c>
      <c r="O60">
        <v>10026043</v>
      </c>
      <c r="P60" s="120">
        <v>43053</v>
      </c>
      <c r="Q60" s="120">
        <v>43055</v>
      </c>
      <c r="R60" s="120">
        <v>43077</v>
      </c>
      <c r="S60" t="s">
        <v>196</v>
      </c>
      <c r="T60">
        <v>2</v>
      </c>
      <c r="U60" t="s">
        <v>128</v>
      </c>
      <c r="V60">
        <v>2</v>
      </c>
      <c r="W60">
        <v>2</v>
      </c>
      <c r="X60">
        <v>2</v>
      </c>
      <c r="Y60">
        <v>2</v>
      </c>
      <c r="Z60" t="s">
        <v>2730</v>
      </c>
      <c r="AA60" t="s">
        <v>2730</v>
      </c>
      <c r="AB60" t="s">
        <v>2732</v>
      </c>
      <c r="AC60" t="s">
        <v>2730</v>
      </c>
      <c r="AD60" t="s">
        <v>2730</v>
      </c>
      <c r="AE60" t="s">
        <v>2730</v>
      </c>
      <c r="AF60" t="s">
        <v>2730</v>
      </c>
      <c r="AG60" t="s">
        <v>2730</v>
      </c>
      <c r="AH60" t="s">
        <v>2730</v>
      </c>
    </row>
    <row r="61" spans="1:34">
      <c r="A61" s="149" t="str">
        <f>HYPERLINK("http://www.ofsted.gov.uk/inspection-reports/find-inspection-report/provider/ELS/136373 ","Ofsted School Webpage")</f>
        <v>Ofsted School Webpage</v>
      </c>
      <c r="B61">
        <v>136373</v>
      </c>
      <c r="C61">
        <v>8256043</v>
      </c>
      <c r="D61" t="s">
        <v>250</v>
      </c>
      <c r="E61" t="s">
        <v>38</v>
      </c>
      <c r="F61" t="s">
        <v>184</v>
      </c>
      <c r="G61" t="s">
        <v>184</v>
      </c>
      <c r="H61" t="s">
        <v>2729</v>
      </c>
      <c r="I61" t="s">
        <v>2730</v>
      </c>
      <c r="J61" t="s">
        <v>186</v>
      </c>
      <c r="K61" t="s">
        <v>181</v>
      </c>
      <c r="L61" t="s">
        <v>181</v>
      </c>
      <c r="M61" t="s">
        <v>251</v>
      </c>
      <c r="N61" t="s">
        <v>252</v>
      </c>
      <c r="O61">
        <v>10035875</v>
      </c>
      <c r="P61" s="120">
        <v>43004</v>
      </c>
      <c r="Q61" s="120">
        <v>43006</v>
      </c>
      <c r="R61" s="120">
        <v>43038</v>
      </c>
      <c r="S61" t="s">
        <v>196</v>
      </c>
      <c r="T61">
        <v>2</v>
      </c>
      <c r="U61" t="s">
        <v>128</v>
      </c>
      <c r="V61">
        <v>1</v>
      </c>
      <c r="W61">
        <v>1</v>
      </c>
      <c r="X61">
        <v>2</v>
      </c>
      <c r="Y61">
        <v>2</v>
      </c>
      <c r="Z61" t="s">
        <v>2730</v>
      </c>
      <c r="AA61" t="s">
        <v>2730</v>
      </c>
      <c r="AB61" t="s">
        <v>2732</v>
      </c>
      <c r="AC61" t="s">
        <v>2730</v>
      </c>
      <c r="AD61" t="s">
        <v>2730</v>
      </c>
      <c r="AE61" t="s">
        <v>2730</v>
      </c>
      <c r="AF61" t="s">
        <v>2730</v>
      </c>
      <c r="AG61" t="s">
        <v>2730</v>
      </c>
      <c r="AH61" t="s">
        <v>2730</v>
      </c>
    </row>
    <row r="62" spans="1:34">
      <c r="A62" s="149" t="str">
        <f>HYPERLINK("http://www.ofsted.gov.uk/inspection-reports/find-inspection-report/provider/ELS/135419 ","Ofsted School Webpage")</f>
        <v>Ofsted School Webpage</v>
      </c>
      <c r="B62">
        <v>135419</v>
      </c>
      <c r="C62">
        <v>9366592</v>
      </c>
      <c r="D62" t="s">
        <v>1588</v>
      </c>
      <c r="E62" t="s">
        <v>38</v>
      </c>
      <c r="F62" t="s">
        <v>184</v>
      </c>
      <c r="G62" t="s">
        <v>184</v>
      </c>
      <c r="H62" t="s">
        <v>2729</v>
      </c>
      <c r="I62" t="s">
        <v>2730</v>
      </c>
      <c r="J62" t="s">
        <v>186</v>
      </c>
      <c r="K62" t="s">
        <v>181</v>
      </c>
      <c r="L62" t="s">
        <v>181</v>
      </c>
      <c r="M62" t="s">
        <v>582</v>
      </c>
      <c r="N62" t="s">
        <v>1589</v>
      </c>
      <c r="O62">
        <v>10017962</v>
      </c>
      <c r="P62" s="120">
        <v>42500</v>
      </c>
      <c r="Q62" s="120">
        <v>42502</v>
      </c>
      <c r="R62" s="120">
        <v>42534</v>
      </c>
      <c r="S62" t="s">
        <v>267</v>
      </c>
      <c r="T62">
        <v>2</v>
      </c>
      <c r="U62" t="s">
        <v>128</v>
      </c>
      <c r="V62">
        <v>1</v>
      </c>
      <c r="W62">
        <v>2</v>
      </c>
      <c r="X62">
        <v>2</v>
      </c>
      <c r="Y62">
        <v>2</v>
      </c>
      <c r="Z62" t="s">
        <v>2730</v>
      </c>
      <c r="AA62">
        <v>2</v>
      </c>
      <c r="AB62" t="s">
        <v>2732</v>
      </c>
      <c r="AC62" t="s">
        <v>2730</v>
      </c>
      <c r="AD62" t="s">
        <v>2730</v>
      </c>
      <c r="AE62" s="120" t="s">
        <v>2730</v>
      </c>
      <c r="AF62" t="s">
        <v>2730</v>
      </c>
      <c r="AG62" s="120" t="s">
        <v>2730</v>
      </c>
      <c r="AH62" t="s">
        <v>2730</v>
      </c>
    </row>
    <row r="63" spans="1:34">
      <c r="A63" s="149" t="str">
        <f>HYPERLINK("http://www.ofsted.gov.uk/inspection-reports/find-inspection-report/provider/ELS/135259 ","Ofsted School Webpage")</f>
        <v>Ofsted School Webpage</v>
      </c>
      <c r="B63">
        <v>135259</v>
      </c>
      <c r="C63">
        <v>9376105</v>
      </c>
      <c r="D63" t="s">
        <v>376</v>
      </c>
      <c r="E63" t="s">
        <v>38</v>
      </c>
      <c r="F63" t="s">
        <v>184</v>
      </c>
      <c r="G63" t="s">
        <v>184</v>
      </c>
      <c r="H63" t="s">
        <v>2729</v>
      </c>
      <c r="I63" t="s">
        <v>2730</v>
      </c>
      <c r="J63" t="s">
        <v>186</v>
      </c>
      <c r="K63" t="s">
        <v>193</v>
      </c>
      <c r="L63" t="s">
        <v>193</v>
      </c>
      <c r="M63" t="s">
        <v>377</v>
      </c>
      <c r="N63" t="s">
        <v>378</v>
      </c>
      <c r="O63">
        <v>10006087</v>
      </c>
      <c r="P63" s="120">
        <v>43011</v>
      </c>
      <c r="Q63" s="120">
        <v>43013</v>
      </c>
      <c r="R63" s="120">
        <v>43052</v>
      </c>
      <c r="S63" t="s">
        <v>196</v>
      </c>
      <c r="T63">
        <v>2</v>
      </c>
      <c r="U63" t="s">
        <v>128</v>
      </c>
      <c r="V63">
        <v>2</v>
      </c>
      <c r="W63">
        <v>1</v>
      </c>
      <c r="X63">
        <v>2</v>
      </c>
      <c r="Y63">
        <v>2</v>
      </c>
      <c r="Z63" t="s">
        <v>2730</v>
      </c>
      <c r="AA63">
        <v>2</v>
      </c>
      <c r="AB63" t="s">
        <v>2732</v>
      </c>
      <c r="AC63" t="s">
        <v>2730</v>
      </c>
      <c r="AD63" t="s">
        <v>2730</v>
      </c>
      <c r="AE63" s="120" t="s">
        <v>2730</v>
      </c>
      <c r="AF63" t="s">
        <v>2730</v>
      </c>
      <c r="AG63" s="120" t="s">
        <v>2730</v>
      </c>
      <c r="AH63" t="s">
        <v>2730</v>
      </c>
    </row>
    <row r="64" spans="1:34">
      <c r="A64" s="149" t="str">
        <f>HYPERLINK("http://www.ofsted.gov.uk/inspection-reports/find-inspection-report/provider/ELS/132743 ","Ofsted School Webpage")</f>
        <v>Ofsted School Webpage</v>
      </c>
      <c r="B64">
        <v>132743</v>
      </c>
      <c r="C64">
        <v>3306101</v>
      </c>
      <c r="D64" t="s">
        <v>1590</v>
      </c>
      <c r="E64" t="s">
        <v>38</v>
      </c>
      <c r="F64" t="s">
        <v>184</v>
      </c>
      <c r="G64" t="s">
        <v>184</v>
      </c>
      <c r="H64" t="s">
        <v>2729</v>
      </c>
      <c r="I64" t="s">
        <v>2730</v>
      </c>
      <c r="J64" t="s">
        <v>186</v>
      </c>
      <c r="K64" t="s">
        <v>193</v>
      </c>
      <c r="L64" t="s">
        <v>193</v>
      </c>
      <c r="M64" t="s">
        <v>210</v>
      </c>
      <c r="N64" t="s">
        <v>1591</v>
      </c>
      <c r="O64">
        <v>10008601</v>
      </c>
      <c r="P64" s="120">
        <v>42494</v>
      </c>
      <c r="Q64" s="120">
        <v>42496</v>
      </c>
      <c r="R64" s="120">
        <v>42542</v>
      </c>
      <c r="S64" t="s">
        <v>196</v>
      </c>
      <c r="T64">
        <v>2</v>
      </c>
      <c r="U64" t="s">
        <v>128</v>
      </c>
      <c r="V64">
        <v>2</v>
      </c>
      <c r="W64">
        <v>2</v>
      </c>
      <c r="X64">
        <v>2</v>
      </c>
      <c r="Y64">
        <v>2</v>
      </c>
      <c r="Z64" t="s">
        <v>2730</v>
      </c>
      <c r="AA64" t="s">
        <v>2730</v>
      </c>
      <c r="AB64" t="s">
        <v>2732</v>
      </c>
      <c r="AC64" t="s">
        <v>2730</v>
      </c>
      <c r="AD64" t="s">
        <v>2730</v>
      </c>
      <c r="AE64" t="s">
        <v>2730</v>
      </c>
      <c r="AF64" t="s">
        <v>2730</v>
      </c>
      <c r="AG64" t="s">
        <v>2730</v>
      </c>
      <c r="AH64" t="s">
        <v>2730</v>
      </c>
    </row>
    <row r="65" spans="1:34">
      <c r="A65" s="149" t="str">
        <f>HYPERLINK("http://www.ofsted.gov.uk/inspection-reports/find-inspection-report/provider/ELS/135483 ","Ofsted School Webpage")</f>
        <v>Ofsted School Webpage</v>
      </c>
      <c r="B65">
        <v>135483</v>
      </c>
      <c r="C65">
        <v>3356013</v>
      </c>
      <c r="D65" t="s">
        <v>1599</v>
      </c>
      <c r="E65" t="s">
        <v>37</v>
      </c>
      <c r="F65" t="s">
        <v>184</v>
      </c>
      <c r="G65" t="s">
        <v>223</v>
      </c>
      <c r="H65" t="s">
        <v>2729</v>
      </c>
      <c r="I65" t="s">
        <v>2730</v>
      </c>
      <c r="J65" t="s">
        <v>186</v>
      </c>
      <c r="K65" t="s">
        <v>193</v>
      </c>
      <c r="L65" t="s">
        <v>193</v>
      </c>
      <c r="M65" t="s">
        <v>1531</v>
      </c>
      <c r="N65" t="s">
        <v>1600</v>
      </c>
      <c r="O65" t="s">
        <v>1601</v>
      </c>
      <c r="P65" s="120">
        <v>41947</v>
      </c>
      <c r="Q65" s="120">
        <v>41949</v>
      </c>
      <c r="R65" s="120">
        <v>41978</v>
      </c>
      <c r="S65" t="s">
        <v>196</v>
      </c>
      <c r="T65">
        <v>2</v>
      </c>
      <c r="U65" t="s">
        <v>2730</v>
      </c>
      <c r="V65">
        <v>2</v>
      </c>
      <c r="W65" t="s">
        <v>2730</v>
      </c>
      <c r="X65">
        <v>2</v>
      </c>
      <c r="Y65">
        <v>2</v>
      </c>
      <c r="Z65">
        <v>9</v>
      </c>
      <c r="AA65">
        <v>9</v>
      </c>
      <c r="AB65" t="s">
        <v>2730</v>
      </c>
      <c r="AC65" t="s">
        <v>2730</v>
      </c>
      <c r="AD65" t="s">
        <v>2730</v>
      </c>
      <c r="AE65" t="s">
        <v>2730</v>
      </c>
      <c r="AF65" t="s">
        <v>2730</v>
      </c>
      <c r="AG65" t="s">
        <v>2730</v>
      </c>
      <c r="AH65" t="s">
        <v>2730</v>
      </c>
    </row>
    <row r="66" spans="1:34">
      <c r="A66" s="149" t="str">
        <f>HYPERLINK("http://www.ofsted.gov.uk/inspection-reports/find-inspection-report/provider/ELS/132750 ","Ofsted School Webpage")</f>
        <v>Ofsted School Webpage</v>
      </c>
      <c r="B66">
        <v>132750</v>
      </c>
      <c r="C66">
        <v>3356010</v>
      </c>
      <c r="D66" t="s">
        <v>1602</v>
      </c>
      <c r="E66" t="s">
        <v>37</v>
      </c>
      <c r="F66" t="s">
        <v>184</v>
      </c>
      <c r="G66" t="s">
        <v>223</v>
      </c>
      <c r="H66" t="s">
        <v>2729</v>
      </c>
      <c r="I66" t="s">
        <v>2730</v>
      </c>
      <c r="J66" t="s">
        <v>186</v>
      </c>
      <c r="K66" t="s">
        <v>193</v>
      </c>
      <c r="L66" t="s">
        <v>193</v>
      </c>
      <c r="M66" t="s">
        <v>1531</v>
      </c>
      <c r="N66" t="s">
        <v>1603</v>
      </c>
      <c r="O66" t="s">
        <v>3021</v>
      </c>
      <c r="P66" s="120">
        <v>39421</v>
      </c>
      <c r="Q66" s="120">
        <v>39422</v>
      </c>
      <c r="R66" s="120">
        <v>39450</v>
      </c>
      <c r="S66" t="s">
        <v>196</v>
      </c>
      <c r="T66">
        <v>2</v>
      </c>
      <c r="U66" t="s">
        <v>2730</v>
      </c>
      <c r="V66" t="s">
        <v>2730</v>
      </c>
      <c r="W66" t="s">
        <v>2730</v>
      </c>
      <c r="X66">
        <v>2</v>
      </c>
      <c r="Y66">
        <v>2</v>
      </c>
      <c r="Z66" t="s">
        <v>2730</v>
      </c>
      <c r="AA66" t="s">
        <v>2730</v>
      </c>
      <c r="AB66" t="s">
        <v>2730</v>
      </c>
      <c r="AC66" t="s">
        <v>2730</v>
      </c>
      <c r="AD66" t="s">
        <v>2730</v>
      </c>
      <c r="AE66" t="s">
        <v>2730</v>
      </c>
      <c r="AF66" t="s">
        <v>2730</v>
      </c>
      <c r="AG66" t="s">
        <v>2730</v>
      </c>
      <c r="AH66" t="s">
        <v>2730</v>
      </c>
    </row>
    <row r="67" spans="1:34">
      <c r="A67" s="149" t="str">
        <f>HYPERLINK("http://www.ofsted.gov.uk/inspection-reports/find-inspection-report/provider/ELS/134469 ","Ofsted School Webpage")</f>
        <v>Ofsted School Webpage</v>
      </c>
      <c r="B67">
        <v>134469</v>
      </c>
      <c r="C67">
        <v>3586018</v>
      </c>
      <c r="D67" t="s">
        <v>1495</v>
      </c>
      <c r="E67" t="s">
        <v>37</v>
      </c>
      <c r="F67" t="s">
        <v>223</v>
      </c>
      <c r="G67" t="s">
        <v>223</v>
      </c>
      <c r="H67" t="s">
        <v>2729</v>
      </c>
      <c r="I67" t="s">
        <v>2730</v>
      </c>
      <c r="J67" t="s">
        <v>186</v>
      </c>
      <c r="K67" t="s">
        <v>205</v>
      </c>
      <c r="L67" t="s">
        <v>205</v>
      </c>
      <c r="M67" t="s">
        <v>1390</v>
      </c>
      <c r="N67" t="s">
        <v>1496</v>
      </c>
      <c r="O67">
        <v>10026011</v>
      </c>
      <c r="P67" s="120">
        <v>42808</v>
      </c>
      <c r="Q67" s="120">
        <v>42810</v>
      </c>
      <c r="R67" s="120">
        <v>42830</v>
      </c>
      <c r="S67" t="s">
        <v>196</v>
      </c>
      <c r="T67">
        <v>2</v>
      </c>
      <c r="U67" t="s">
        <v>128</v>
      </c>
      <c r="V67">
        <v>2</v>
      </c>
      <c r="W67">
        <v>2</v>
      </c>
      <c r="X67">
        <v>2</v>
      </c>
      <c r="Y67">
        <v>2</v>
      </c>
      <c r="Z67">
        <v>2</v>
      </c>
      <c r="AA67" t="s">
        <v>2730</v>
      </c>
      <c r="AB67" t="s">
        <v>2732</v>
      </c>
      <c r="AC67" t="s">
        <v>2730</v>
      </c>
      <c r="AD67" t="s">
        <v>2730</v>
      </c>
      <c r="AE67" t="s">
        <v>2730</v>
      </c>
      <c r="AF67" t="s">
        <v>2730</v>
      </c>
      <c r="AG67" t="s">
        <v>2730</v>
      </c>
      <c r="AH67" t="s">
        <v>2730</v>
      </c>
    </row>
    <row r="68" spans="1:34">
      <c r="A68" s="149" t="str">
        <f>HYPERLINK("http://www.ofsted.gov.uk/inspection-reports/find-inspection-report/provider/ELS/140036 ","Ofsted School Webpage")</f>
        <v>Ofsted School Webpage</v>
      </c>
      <c r="B68">
        <v>140036</v>
      </c>
      <c r="C68">
        <v>3556000</v>
      </c>
      <c r="D68" t="s">
        <v>1497</v>
      </c>
      <c r="E68" t="s">
        <v>37</v>
      </c>
      <c r="F68" t="s">
        <v>825</v>
      </c>
      <c r="G68" t="s">
        <v>318</v>
      </c>
      <c r="H68" t="s">
        <v>2729</v>
      </c>
      <c r="I68" t="s">
        <v>2730</v>
      </c>
      <c r="J68" t="s">
        <v>186</v>
      </c>
      <c r="K68" t="s">
        <v>205</v>
      </c>
      <c r="L68" t="s">
        <v>205</v>
      </c>
      <c r="M68" t="s">
        <v>853</v>
      </c>
      <c r="N68" t="s">
        <v>1498</v>
      </c>
      <c r="O68" t="s">
        <v>1499</v>
      </c>
      <c r="P68" s="120">
        <v>41947</v>
      </c>
      <c r="Q68" s="120">
        <v>41949</v>
      </c>
      <c r="R68" s="120">
        <v>41970</v>
      </c>
      <c r="S68" t="s">
        <v>249</v>
      </c>
      <c r="T68">
        <v>3</v>
      </c>
      <c r="U68" t="s">
        <v>2730</v>
      </c>
      <c r="V68">
        <v>3</v>
      </c>
      <c r="W68" t="s">
        <v>2730</v>
      </c>
      <c r="X68">
        <v>3</v>
      </c>
      <c r="Y68">
        <v>3</v>
      </c>
      <c r="Z68">
        <v>9</v>
      </c>
      <c r="AA68">
        <v>9</v>
      </c>
      <c r="AB68" t="s">
        <v>2730</v>
      </c>
      <c r="AC68" t="s">
        <v>2730</v>
      </c>
      <c r="AD68" t="s">
        <v>2730</v>
      </c>
      <c r="AE68" s="120" t="s">
        <v>2730</v>
      </c>
      <c r="AF68" t="s">
        <v>2730</v>
      </c>
      <c r="AG68" s="120" t="s">
        <v>2730</v>
      </c>
      <c r="AH68" t="s">
        <v>2730</v>
      </c>
    </row>
    <row r="69" spans="1:34">
      <c r="A69" s="149" t="str">
        <f>HYPERLINK("http://www.ofsted.gov.uk/inspection-reports/find-inspection-report/provider/ELS/133646 ","Ofsted School Webpage")</f>
        <v>Ofsted School Webpage</v>
      </c>
      <c r="B69">
        <v>133646</v>
      </c>
      <c r="C69">
        <v>2116392</v>
      </c>
      <c r="D69" t="s">
        <v>1876</v>
      </c>
      <c r="E69" t="s">
        <v>37</v>
      </c>
      <c r="F69" t="s">
        <v>184</v>
      </c>
      <c r="G69" t="s">
        <v>223</v>
      </c>
      <c r="H69" t="s">
        <v>2729</v>
      </c>
      <c r="I69" t="s">
        <v>2730</v>
      </c>
      <c r="J69" t="s">
        <v>186</v>
      </c>
      <c r="K69" t="s">
        <v>232</v>
      </c>
      <c r="L69" t="s">
        <v>232</v>
      </c>
      <c r="M69" t="s">
        <v>539</v>
      </c>
      <c r="N69" t="s">
        <v>1877</v>
      </c>
      <c r="O69" t="s">
        <v>1878</v>
      </c>
      <c r="P69" s="120">
        <v>41920</v>
      </c>
      <c r="Q69" s="120">
        <v>41922</v>
      </c>
      <c r="R69" s="120">
        <v>42039</v>
      </c>
      <c r="S69" t="s">
        <v>196</v>
      </c>
      <c r="T69">
        <v>4</v>
      </c>
      <c r="U69" t="s">
        <v>2730</v>
      </c>
      <c r="V69">
        <v>4</v>
      </c>
      <c r="W69" t="s">
        <v>2730</v>
      </c>
      <c r="X69">
        <v>4</v>
      </c>
      <c r="Y69">
        <v>4</v>
      </c>
      <c r="Z69">
        <v>9</v>
      </c>
      <c r="AA69">
        <v>9</v>
      </c>
      <c r="AB69" t="s">
        <v>2730</v>
      </c>
      <c r="AC69">
        <v>10020469</v>
      </c>
      <c r="AD69" t="s">
        <v>187</v>
      </c>
      <c r="AE69" s="120">
        <v>42656</v>
      </c>
      <c r="AF69" t="s">
        <v>2769</v>
      </c>
      <c r="AG69" s="120">
        <v>42689</v>
      </c>
      <c r="AH69" t="s">
        <v>189</v>
      </c>
    </row>
    <row r="70" spans="1:34">
      <c r="A70" s="149" t="str">
        <f>HYPERLINK("http://www.ofsted.gov.uk/inspection-reports/find-inspection-report/provider/ELS/100372 ","Ofsted School Webpage")</f>
        <v>Ofsted School Webpage</v>
      </c>
      <c r="B70">
        <v>100372</v>
      </c>
      <c r="C70">
        <v>2056382</v>
      </c>
      <c r="D70" t="s">
        <v>302</v>
      </c>
      <c r="E70" t="s">
        <v>37</v>
      </c>
      <c r="F70" t="s">
        <v>304</v>
      </c>
      <c r="G70" t="s">
        <v>223</v>
      </c>
      <c r="H70" t="s">
        <v>2729</v>
      </c>
      <c r="I70" t="s">
        <v>2730</v>
      </c>
      <c r="J70" t="s">
        <v>186</v>
      </c>
      <c r="K70" t="s">
        <v>232</v>
      </c>
      <c r="L70" t="s">
        <v>232</v>
      </c>
      <c r="M70" t="s">
        <v>300</v>
      </c>
      <c r="N70" t="s">
        <v>303</v>
      </c>
      <c r="O70">
        <v>10035773</v>
      </c>
      <c r="P70" s="120">
        <v>42990</v>
      </c>
      <c r="Q70" s="120">
        <v>42992</v>
      </c>
      <c r="R70" s="120">
        <v>43054</v>
      </c>
      <c r="S70" t="s">
        <v>196</v>
      </c>
      <c r="T70">
        <v>3</v>
      </c>
      <c r="U70" t="s">
        <v>128</v>
      </c>
      <c r="V70">
        <v>3</v>
      </c>
      <c r="W70">
        <v>3</v>
      </c>
      <c r="X70">
        <v>3</v>
      </c>
      <c r="Y70">
        <v>3</v>
      </c>
      <c r="Z70">
        <v>3</v>
      </c>
      <c r="AA70" t="s">
        <v>2730</v>
      </c>
      <c r="AB70" t="s">
        <v>2732</v>
      </c>
      <c r="AC70" t="s">
        <v>2730</v>
      </c>
      <c r="AD70" t="s">
        <v>2730</v>
      </c>
      <c r="AE70" t="s">
        <v>2730</v>
      </c>
      <c r="AF70" t="s">
        <v>2730</v>
      </c>
      <c r="AG70" t="s">
        <v>2730</v>
      </c>
      <c r="AH70" t="s">
        <v>2730</v>
      </c>
    </row>
    <row r="71" spans="1:34">
      <c r="A71" s="149" t="str">
        <f>HYPERLINK("http://www.ofsted.gov.uk/inspection-reports/find-inspection-report/provider/ELS/136037 ","Ofsted School Webpage")</f>
        <v>Ofsted School Webpage</v>
      </c>
      <c r="B71">
        <v>136037</v>
      </c>
      <c r="C71">
        <v>3306130</v>
      </c>
      <c r="D71" t="s">
        <v>1924</v>
      </c>
      <c r="E71" t="s">
        <v>37</v>
      </c>
      <c r="F71" t="s">
        <v>184</v>
      </c>
      <c r="G71" t="s">
        <v>223</v>
      </c>
      <c r="H71" t="s">
        <v>2729</v>
      </c>
      <c r="I71" t="s">
        <v>2730</v>
      </c>
      <c r="J71" t="s">
        <v>186</v>
      </c>
      <c r="K71" t="s">
        <v>193</v>
      </c>
      <c r="L71" t="s">
        <v>193</v>
      </c>
      <c r="M71" t="s">
        <v>210</v>
      </c>
      <c r="N71" t="s">
        <v>1925</v>
      </c>
      <c r="O71">
        <v>10033572</v>
      </c>
      <c r="P71" s="120">
        <v>42920</v>
      </c>
      <c r="Q71" s="120">
        <v>42922</v>
      </c>
      <c r="R71" s="120">
        <v>42986</v>
      </c>
      <c r="S71" t="s">
        <v>196</v>
      </c>
      <c r="T71">
        <v>2</v>
      </c>
      <c r="U71" t="s">
        <v>128</v>
      </c>
      <c r="V71">
        <v>2</v>
      </c>
      <c r="W71">
        <v>2</v>
      </c>
      <c r="X71">
        <v>2</v>
      </c>
      <c r="Y71">
        <v>2</v>
      </c>
      <c r="Z71" t="s">
        <v>2730</v>
      </c>
      <c r="AA71" t="s">
        <v>2730</v>
      </c>
      <c r="AB71" t="s">
        <v>2732</v>
      </c>
      <c r="AC71" t="s">
        <v>2730</v>
      </c>
      <c r="AD71" t="s">
        <v>2730</v>
      </c>
      <c r="AE71" t="s">
        <v>2730</v>
      </c>
      <c r="AF71" t="s">
        <v>2730</v>
      </c>
      <c r="AG71" t="s">
        <v>2730</v>
      </c>
      <c r="AH71" t="s">
        <v>2730</v>
      </c>
    </row>
    <row r="72" spans="1:34">
      <c r="A72" s="149" t="str">
        <f>HYPERLINK("http://www.ofsted.gov.uk/inspection-reports/find-inspection-report/provider/ELS/134244 ","Ofsted School Webpage")</f>
        <v>Ofsted School Webpage</v>
      </c>
      <c r="B72">
        <v>134244</v>
      </c>
      <c r="C72">
        <v>3176076</v>
      </c>
      <c r="D72" t="s">
        <v>1926</v>
      </c>
      <c r="E72" t="s">
        <v>37</v>
      </c>
      <c r="F72" t="s">
        <v>223</v>
      </c>
      <c r="G72" t="s">
        <v>223</v>
      </c>
      <c r="H72" t="s">
        <v>2729</v>
      </c>
      <c r="I72" t="s">
        <v>2730</v>
      </c>
      <c r="J72" t="s">
        <v>186</v>
      </c>
      <c r="K72" t="s">
        <v>232</v>
      </c>
      <c r="L72" t="s">
        <v>232</v>
      </c>
      <c r="M72" t="s">
        <v>805</v>
      </c>
      <c r="N72" t="s">
        <v>1927</v>
      </c>
      <c r="O72">
        <v>10012977</v>
      </c>
      <c r="P72" s="120">
        <v>42711</v>
      </c>
      <c r="Q72" s="120">
        <v>42713</v>
      </c>
      <c r="R72" s="120">
        <v>42739</v>
      </c>
      <c r="S72" t="s">
        <v>196</v>
      </c>
      <c r="T72">
        <v>2</v>
      </c>
      <c r="U72" t="s">
        <v>128</v>
      </c>
      <c r="V72">
        <v>2</v>
      </c>
      <c r="W72">
        <v>2</v>
      </c>
      <c r="X72">
        <v>2</v>
      </c>
      <c r="Y72">
        <v>2</v>
      </c>
      <c r="Z72">
        <v>2</v>
      </c>
      <c r="AA72" t="s">
        <v>2730</v>
      </c>
      <c r="AB72" t="s">
        <v>2732</v>
      </c>
      <c r="AC72" t="s">
        <v>2730</v>
      </c>
      <c r="AD72" t="s">
        <v>2730</v>
      </c>
      <c r="AE72" t="s">
        <v>2730</v>
      </c>
      <c r="AF72" t="s">
        <v>2730</v>
      </c>
      <c r="AG72" t="s">
        <v>2730</v>
      </c>
      <c r="AH72" t="s">
        <v>2730</v>
      </c>
    </row>
    <row r="73" spans="1:34">
      <c r="A73" s="149" t="str">
        <f>HYPERLINK("http://www.ofsted.gov.uk/inspection-reports/find-inspection-report/provider/ELS/101948 ","Ofsted School Webpage")</f>
        <v>Ofsted School Webpage</v>
      </c>
      <c r="B73">
        <v>101948</v>
      </c>
      <c r="C73">
        <v>3076050</v>
      </c>
      <c r="D73" t="s">
        <v>1504</v>
      </c>
      <c r="E73" t="s">
        <v>37</v>
      </c>
      <c r="F73" t="s">
        <v>184</v>
      </c>
      <c r="G73" t="s">
        <v>184</v>
      </c>
      <c r="H73" t="s">
        <v>2729</v>
      </c>
      <c r="I73" t="s">
        <v>2730</v>
      </c>
      <c r="J73" t="s">
        <v>186</v>
      </c>
      <c r="K73" t="s">
        <v>232</v>
      </c>
      <c r="L73" t="s">
        <v>232</v>
      </c>
      <c r="M73" t="s">
        <v>631</v>
      </c>
      <c r="N73" t="s">
        <v>1505</v>
      </c>
      <c r="O73">
        <v>10012825</v>
      </c>
      <c r="P73" s="120">
        <v>43046</v>
      </c>
      <c r="Q73" s="120">
        <v>43048</v>
      </c>
      <c r="R73" s="120">
        <v>43076</v>
      </c>
      <c r="S73" t="s">
        <v>196</v>
      </c>
      <c r="T73">
        <v>3</v>
      </c>
      <c r="U73" t="s">
        <v>128</v>
      </c>
      <c r="V73">
        <v>3</v>
      </c>
      <c r="W73">
        <v>3</v>
      </c>
      <c r="X73">
        <v>3</v>
      </c>
      <c r="Y73">
        <v>3</v>
      </c>
      <c r="Z73" t="s">
        <v>2730</v>
      </c>
      <c r="AA73" t="s">
        <v>2730</v>
      </c>
      <c r="AB73" t="s">
        <v>2732</v>
      </c>
      <c r="AC73" t="s">
        <v>2730</v>
      </c>
      <c r="AD73" t="s">
        <v>2730</v>
      </c>
      <c r="AE73" s="120" t="s">
        <v>2730</v>
      </c>
      <c r="AF73" t="s">
        <v>2730</v>
      </c>
      <c r="AG73" s="120" t="s">
        <v>2730</v>
      </c>
      <c r="AH73" t="s">
        <v>2730</v>
      </c>
    </row>
    <row r="74" spans="1:34">
      <c r="A74" s="149" t="str">
        <f>HYPERLINK("http://www.ofsted.gov.uk/inspection-reports/find-inspection-report/provider/ELS/131181 ","Ofsted School Webpage")</f>
        <v>Ofsted School Webpage</v>
      </c>
      <c r="B74">
        <v>131181</v>
      </c>
      <c r="C74">
        <v>8866073</v>
      </c>
      <c r="D74" t="s">
        <v>1506</v>
      </c>
      <c r="E74" t="s">
        <v>37</v>
      </c>
      <c r="F74" t="s">
        <v>184</v>
      </c>
      <c r="G74" t="s">
        <v>212</v>
      </c>
      <c r="H74" t="s">
        <v>2729</v>
      </c>
      <c r="I74" t="s">
        <v>2730</v>
      </c>
      <c r="J74" t="s">
        <v>186</v>
      </c>
      <c r="K74" t="s">
        <v>181</v>
      </c>
      <c r="L74" t="s">
        <v>181</v>
      </c>
      <c r="M74" t="s">
        <v>182</v>
      </c>
      <c r="N74" t="s">
        <v>1507</v>
      </c>
      <c r="O74">
        <v>10018926</v>
      </c>
      <c r="P74" s="120">
        <v>42640</v>
      </c>
      <c r="Q74" s="120">
        <v>42642</v>
      </c>
      <c r="R74" s="120">
        <v>42660</v>
      </c>
      <c r="S74" t="s">
        <v>196</v>
      </c>
      <c r="T74">
        <v>2</v>
      </c>
      <c r="U74" t="s">
        <v>128</v>
      </c>
      <c r="V74">
        <v>2</v>
      </c>
      <c r="W74">
        <v>1</v>
      </c>
      <c r="X74">
        <v>2</v>
      </c>
      <c r="Y74">
        <v>2</v>
      </c>
      <c r="Z74">
        <v>2</v>
      </c>
      <c r="AA74">
        <v>2</v>
      </c>
      <c r="AB74" t="s">
        <v>2732</v>
      </c>
      <c r="AC74" t="s">
        <v>2730</v>
      </c>
      <c r="AD74" t="s">
        <v>2730</v>
      </c>
      <c r="AE74" t="s">
        <v>2730</v>
      </c>
      <c r="AF74" t="s">
        <v>2730</v>
      </c>
      <c r="AG74" t="s">
        <v>2730</v>
      </c>
      <c r="AH74" t="s">
        <v>2730</v>
      </c>
    </row>
    <row r="75" spans="1:34">
      <c r="A75" s="149" t="str">
        <f>HYPERLINK("http://www.ofsted.gov.uk/inspection-reports/find-inspection-report/provider/ELS/131170 ","Ofsted School Webpage")</f>
        <v>Ofsted School Webpage</v>
      </c>
      <c r="B75">
        <v>131170</v>
      </c>
      <c r="C75">
        <v>2046398</v>
      </c>
      <c r="D75" t="s">
        <v>1508</v>
      </c>
      <c r="E75" t="s">
        <v>37</v>
      </c>
      <c r="F75" t="s">
        <v>184</v>
      </c>
      <c r="G75" t="s">
        <v>825</v>
      </c>
      <c r="H75" t="s">
        <v>2729</v>
      </c>
      <c r="I75" t="s">
        <v>2730</v>
      </c>
      <c r="J75" t="s">
        <v>186</v>
      </c>
      <c r="K75" t="s">
        <v>232</v>
      </c>
      <c r="L75" t="s">
        <v>232</v>
      </c>
      <c r="M75" t="s">
        <v>479</v>
      </c>
      <c r="N75" t="s">
        <v>1509</v>
      </c>
      <c r="O75" t="s">
        <v>1510</v>
      </c>
      <c r="P75" s="120">
        <v>41961</v>
      </c>
      <c r="Q75" s="120">
        <v>41963</v>
      </c>
      <c r="R75" s="120">
        <v>42046</v>
      </c>
      <c r="S75" t="s">
        <v>196</v>
      </c>
      <c r="T75">
        <v>4</v>
      </c>
      <c r="U75" t="s">
        <v>2730</v>
      </c>
      <c r="V75">
        <v>4</v>
      </c>
      <c r="W75" t="s">
        <v>2730</v>
      </c>
      <c r="X75">
        <v>4</v>
      </c>
      <c r="Y75">
        <v>4</v>
      </c>
      <c r="Z75">
        <v>4</v>
      </c>
      <c r="AA75">
        <v>9</v>
      </c>
      <c r="AB75" t="s">
        <v>2730</v>
      </c>
      <c r="AC75">
        <v>10039496</v>
      </c>
      <c r="AD75" t="s">
        <v>187</v>
      </c>
      <c r="AE75" s="120">
        <v>42935</v>
      </c>
      <c r="AF75" t="s">
        <v>2769</v>
      </c>
      <c r="AG75" s="120">
        <v>43017</v>
      </c>
      <c r="AH75" t="s">
        <v>217</v>
      </c>
    </row>
    <row r="76" spans="1:34">
      <c r="A76" s="149" t="str">
        <f>HYPERLINK("http://www.ofsted.gov.uk/inspection-reports/find-inspection-report/provider/ELS/102171 ","Ofsted School Webpage")</f>
        <v>Ofsted School Webpage</v>
      </c>
      <c r="B76">
        <v>102171</v>
      </c>
      <c r="C76">
        <v>2046399</v>
      </c>
      <c r="D76" t="s">
        <v>1511</v>
      </c>
      <c r="E76" t="s">
        <v>37</v>
      </c>
      <c r="F76" t="s">
        <v>184</v>
      </c>
      <c r="G76" t="s">
        <v>184</v>
      </c>
      <c r="H76" t="s">
        <v>2729</v>
      </c>
      <c r="I76" t="s">
        <v>2730</v>
      </c>
      <c r="J76" t="s">
        <v>186</v>
      </c>
      <c r="K76" t="s">
        <v>232</v>
      </c>
      <c r="L76" t="s">
        <v>232</v>
      </c>
      <c r="M76" t="s">
        <v>479</v>
      </c>
      <c r="N76" t="s">
        <v>1512</v>
      </c>
      <c r="O76" t="s">
        <v>1513</v>
      </c>
      <c r="P76" s="120">
        <v>40605</v>
      </c>
      <c r="Q76" s="120">
        <v>40605</v>
      </c>
      <c r="R76" s="120">
        <v>40634</v>
      </c>
      <c r="S76" t="s">
        <v>655</v>
      </c>
      <c r="T76">
        <v>1</v>
      </c>
      <c r="U76" t="s">
        <v>2730</v>
      </c>
      <c r="V76" t="s">
        <v>2730</v>
      </c>
      <c r="W76" t="s">
        <v>2730</v>
      </c>
      <c r="X76">
        <v>2</v>
      </c>
      <c r="Y76">
        <v>1</v>
      </c>
      <c r="Z76">
        <v>2</v>
      </c>
      <c r="AA76" t="s">
        <v>2730</v>
      </c>
      <c r="AB76" t="s">
        <v>2730</v>
      </c>
      <c r="AC76" t="s">
        <v>2730</v>
      </c>
      <c r="AD76" t="s">
        <v>2730</v>
      </c>
      <c r="AE76" s="120" t="s">
        <v>2730</v>
      </c>
      <c r="AF76" t="s">
        <v>2730</v>
      </c>
      <c r="AG76" s="120" t="s">
        <v>2730</v>
      </c>
      <c r="AH76" t="s">
        <v>2730</v>
      </c>
    </row>
    <row r="77" spans="1:34">
      <c r="A77" s="149" t="str">
        <f>HYPERLINK("http://www.ofsted.gov.uk/inspection-reports/find-inspection-report/provider/ELS/105996 ","Ofsted School Webpage")</f>
        <v>Ofsted School Webpage</v>
      </c>
      <c r="B77">
        <v>105996</v>
      </c>
      <c r="C77">
        <v>3556011</v>
      </c>
      <c r="D77" t="s">
        <v>1940</v>
      </c>
      <c r="E77" t="s">
        <v>37</v>
      </c>
      <c r="F77" t="s">
        <v>184</v>
      </c>
      <c r="G77" t="s">
        <v>318</v>
      </c>
      <c r="H77" t="s">
        <v>2729</v>
      </c>
      <c r="I77" t="s">
        <v>2730</v>
      </c>
      <c r="J77" t="s">
        <v>186</v>
      </c>
      <c r="K77" t="s">
        <v>205</v>
      </c>
      <c r="L77" t="s">
        <v>205</v>
      </c>
      <c r="M77" t="s">
        <v>853</v>
      </c>
      <c r="N77" t="s">
        <v>1941</v>
      </c>
      <c r="O77">
        <v>10034022</v>
      </c>
      <c r="P77" s="120">
        <v>42920</v>
      </c>
      <c r="Q77" s="120">
        <v>42922</v>
      </c>
      <c r="R77" s="120">
        <v>43042</v>
      </c>
      <c r="S77" t="s">
        <v>196</v>
      </c>
      <c r="T77">
        <v>2</v>
      </c>
      <c r="U77" t="s">
        <v>128</v>
      </c>
      <c r="V77">
        <v>2</v>
      </c>
      <c r="W77">
        <v>2</v>
      </c>
      <c r="X77">
        <v>2</v>
      </c>
      <c r="Y77">
        <v>2</v>
      </c>
      <c r="Z77">
        <v>2</v>
      </c>
      <c r="AA77" t="s">
        <v>2730</v>
      </c>
      <c r="AB77" t="s">
        <v>2732</v>
      </c>
      <c r="AC77" t="s">
        <v>2730</v>
      </c>
      <c r="AD77" t="s">
        <v>2730</v>
      </c>
      <c r="AE77" t="s">
        <v>2730</v>
      </c>
      <c r="AF77" t="s">
        <v>2730</v>
      </c>
      <c r="AG77" t="s">
        <v>2730</v>
      </c>
      <c r="AH77" t="s">
        <v>2730</v>
      </c>
    </row>
    <row r="78" spans="1:34">
      <c r="A78" s="149" t="str">
        <f>HYPERLINK("http://www.ofsted.gov.uk/inspection-reports/find-inspection-report/provider/ELS/136015 ","Ofsted School Webpage")</f>
        <v>Ofsted School Webpage</v>
      </c>
      <c r="B78">
        <v>136015</v>
      </c>
      <c r="C78">
        <v>2046073</v>
      </c>
      <c r="D78" t="s">
        <v>1348</v>
      </c>
      <c r="E78" t="s">
        <v>37</v>
      </c>
      <c r="F78" t="s">
        <v>825</v>
      </c>
      <c r="G78" t="s">
        <v>318</v>
      </c>
      <c r="H78" t="s">
        <v>2729</v>
      </c>
      <c r="I78" t="s">
        <v>2730</v>
      </c>
      <c r="J78" t="s">
        <v>186</v>
      </c>
      <c r="K78" t="s">
        <v>232</v>
      </c>
      <c r="L78" t="s">
        <v>232</v>
      </c>
      <c r="M78" t="s">
        <v>479</v>
      </c>
      <c r="N78" t="s">
        <v>1349</v>
      </c>
      <c r="O78" t="s">
        <v>1350</v>
      </c>
      <c r="P78" s="120">
        <v>41829</v>
      </c>
      <c r="Q78" s="120">
        <v>41831</v>
      </c>
      <c r="R78" s="120">
        <v>41850</v>
      </c>
      <c r="S78" t="s">
        <v>196</v>
      </c>
      <c r="T78">
        <v>2</v>
      </c>
      <c r="U78" t="s">
        <v>2730</v>
      </c>
      <c r="V78">
        <v>2</v>
      </c>
      <c r="W78" t="s">
        <v>2730</v>
      </c>
      <c r="X78">
        <v>2</v>
      </c>
      <c r="Y78">
        <v>2</v>
      </c>
      <c r="Z78" t="s">
        <v>2730</v>
      </c>
      <c r="AA78" t="s">
        <v>2730</v>
      </c>
      <c r="AB78" t="s">
        <v>2730</v>
      </c>
      <c r="AC78" t="s">
        <v>2730</v>
      </c>
      <c r="AD78" t="s">
        <v>2730</v>
      </c>
      <c r="AE78" s="120" t="s">
        <v>2730</v>
      </c>
      <c r="AF78" t="s">
        <v>2730</v>
      </c>
      <c r="AG78" s="120" t="s">
        <v>2730</v>
      </c>
      <c r="AH78" t="s">
        <v>2730</v>
      </c>
    </row>
    <row r="79" spans="1:34">
      <c r="A79" s="149" t="str">
        <f>HYPERLINK("http://www.ofsted.gov.uk/inspection-reports/find-inspection-report/provider/ELS/138498 ","Ofsted School Webpage")</f>
        <v>Ofsted School Webpage</v>
      </c>
      <c r="B79">
        <v>138498</v>
      </c>
      <c r="C79">
        <v>3506001</v>
      </c>
      <c r="D79" t="s">
        <v>1351</v>
      </c>
      <c r="E79" t="s">
        <v>37</v>
      </c>
      <c r="F79" t="s">
        <v>184</v>
      </c>
      <c r="G79" t="s">
        <v>304</v>
      </c>
      <c r="H79" t="s">
        <v>2729</v>
      </c>
      <c r="I79" t="s">
        <v>2730</v>
      </c>
      <c r="J79" t="s">
        <v>186</v>
      </c>
      <c r="K79" t="s">
        <v>205</v>
      </c>
      <c r="L79" t="s">
        <v>205</v>
      </c>
      <c r="M79" t="s">
        <v>1265</v>
      </c>
      <c r="N79" t="s">
        <v>1352</v>
      </c>
      <c r="O79">
        <v>10012843</v>
      </c>
      <c r="P79" s="120">
        <v>42745</v>
      </c>
      <c r="Q79" s="120">
        <v>42747</v>
      </c>
      <c r="R79" s="120">
        <v>42774</v>
      </c>
      <c r="S79" t="s">
        <v>196</v>
      </c>
      <c r="T79">
        <v>2</v>
      </c>
      <c r="U79" t="s">
        <v>128</v>
      </c>
      <c r="V79">
        <v>2</v>
      </c>
      <c r="W79">
        <v>2</v>
      </c>
      <c r="X79">
        <v>2</v>
      </c>
      <c r="Y79">
        <v>2</v>
      </c>
      <c r="Z79" t="s">
        <v>2730</v>
      </c>
      <c r="AA79" t="s">
        <v>2730</v>
      </c>
      <c r="AB79" t="s">
        <v>2732</v>
      </c>
      <c r="AC79" t="s">
        <v>2730</v>
      </c>
      <c r="AD79" t="s">
        <v>2730</v>
      </c>
      <c r="AE79" s="120" t="s">
        <v>2730</v>
      </c>
      <c r="AF79" t="s">
        <v>2730</v>
      </c>
      <c r="AG79" s="120" t="s">
        <v>2730</v>
      </c>
      <c r="AH79" t="s">
        <v>2730</v>
      </c>
    </row>
    <row r="80" spans="1:34">
      <c r="A80" s="149" t="str">
        <f>HYPERLINK("http://www.ofsted.gov.uk/inspection-reports/find-inspection-report/provider/ELS/141562 ","Ofsted School Webpage")</f>
        <v>Ofsted School Webpage</v>
      </c>
      <c r="B80">
        <v>141562</v>
      </c>
      <c r="C80">
        <v>2106006</v>
      </c>
      <c r="D80" t="s">
        <v>1353</v>
      </c>
      <c r="E80" t="s">
        <v>37</v>
      </c>
      <c r="F80" t="s">
        <v>184</v>
      </c>
      <c r="G80" t="s">
        <v>212</v>
      </c>
      <c r="H80" t="s">
        <v>2729</v>
      </c>
      <c r="I80" t="s">
        <v>2730</v>
      </c>
      <c r="J80" t="s">
        <v>186</v>
      </c>
      <c r="K80" t="s">
        <v>232</v>
      </c>
      <c r="L80" t="s">
        <v>232</v>
      </c>
      <c r="M80" t="s">
        <v>550</v>
      </c>
      <c r="N80" t="s">
        <v>1354</v>
      </c>
      <c r="O80">
        <v>10006137</v>
      </c>
      <c r="P80" s="120">
        <v>42703</v>
      </c>
      <c r="Q80" s="120">
        <v>42705</v>
      </c>
      <c r="R80" s="120">
        <v>42752</v>
      </c>
      <c r="S80" t="s">
        <v>249</v>
      </c>
      <c r="T80">
        <v>2</v>
      </c>
      <c r="U80" t="s">
        <v>128</v>
      </c>
      <c r="V80">
        <v>2</v>
      </c>
      <c r="W80">
        <v>2</v>
      </c>
      <c r="X80">
        <v>2</v>
      </c>
      <c r="Y80">
        <v>2</v>
      </c>
      <c r="Z80" t="s">
        <v>2730</v>
      </c>
      <c r="AA80">
        <v>2</v>
      </c>
      <c r="AB80" t="s">
        <v>2732</v>
      </c>
      <c r="AC80" t="s">
        <v>2730</v>
      </c>
      <c r="AD80" t="s">
        <v>2730</v>
      </c>
      <c r="AE80" s="120" t="s">
        <v>2730</v>
      </c>
      <c r="AF80" t="s">
        <v>2730</v>
      </c>
      <c r="AG80" s="120" t="s">
        <v>2730</v>
      </c>
      <c r="AH80" t="s">
        <v>2730</v>
      </c>
    </row>
    <row r="81" spans="1:34">
      <c r="A81" s="149" t="str">
        <f>HYPERLINK("http://www.ofsted.gov.uk/inspection-reports/find-inspection-report/provider/ELS/132776 ","Ofsted School Webpage")</f>
        <v>Ofsted School Webpage</v>
      </c>
      <c r="B81">
        <v>132776</v>
      </c>
      <c r="C81">
        <v>3066094</v>
      </c>
      <c r="D81" t="s">
        <v>3022</v>
      </c>
      <c r="E81" t="s">
        <v>37</v>
      </c>
      <c r="F81" t="s">
        <v>184</v>
      </c>
      <c r="G81" t="s">
        <v>184</v>
      </c>
      <c r="H81" t="s">
        <v>2729</v>
      </c>
      <c r="I81" t="s">
        <v>2730</v>
      </c>
      <c r="J81" t="s">
        <v>186</v>
      </c>
      <c r="K81" t="s">
        <v>232</v>
      </c>
      <c r="L81" t="s">
        <v>232</v>
      </c>
      <c r="M81" t="s">
        <v>723</v>
      </c>
      <c r="N81" t="s">
        <v>1653</v>
      </c>
      <c r="O81">
        <v>10020768</v>
      </c>
      <c r="P81" s="120">
        <v>42913</v>
      </c>
      <c r="Q81" s="120">
        <v>42915</v>
      </c>
      <c r="R81" s="120">
        <v>43052</v>
      </c>
      <c r="S81" t="s">
        <v>196</v>
      </c>
      <c r="T81">
        <v>4</v>
      </c>
      <c r="U81" t="s">
        <v>129</v>
      </c>
      <c r="V81">
        <v>4</v>
      </c>
      <c r="W81">
        <v>4</v>
      </c>
      <c r="X81">
        <v>3</v>
      </c>
      <c r="Y81">
        <v>3</v>
      </c>
      <c r="Z81" t="s">
        <v>2730</v>
      </c>
      <c r="AA81" t="s">
        <v>2730</v>
      </c>
      <c r="AB81" t="s">
        <v>2733</v>
      </c>
      <c r="AC81" t="s">
        <v>2730</v>
      </c>
      <c r="AD81" t="s">
        <v>2730</v>
      </c>
      <c r="AE81" t="s">
        <v>2730</v>
      </c>
      <c r="AF81" t="s">
        <v>2730</v>
      </c>
      <c r="AG81" t="s">
        <v>2730</v>
      </c>
      <c r="AH81" t="s">
        <v>2730</v>
      </c>
    </row>
    <row r="82" spans="1:34">
      <c r="A82" s="149" t="str">
        <f>HYPERLINK("http://www.ofsted.gov.uk/inspection-reports/find-inspection-report/provider/ELS/139997 ","Ofsted School Webpage")</f>
        <v>Ofsted School Webpage</v>
      </c>
      <c r="B82">
        <v>139997</v>
      </c>
      <c r="C82">
        <v>9316014</v>
      </c>
      <c r="D82" t="s">
        <v>1654</v>
      </c>
      <c r="E82" t="s">
        <v>37</v>
      </c>
      <c r="F82" t="s">
        <v>184</v>
      </c>
      <c r="G82" t="s">
        <v>184</v>
      </c>
      <c r="H82" t="s">
        <v>2729</v>
      </c>
      <c r="I82" t="s">
        <v>2730</v>
      </c>
      <c r="J82" t="s">
        <v>186</v>
      </c>
      <c r="K82" t="s">
        <v>181</v>
      </c>
      <c r="L82" t="s">
        <v>181</v>
      </c>
      <c r="M82" t="s">
        <v>242</v>
      </c>
      <c r="N82" t="s">
        <v>1655</v>
      </c>
      <c r="O82" t="s">
        <v>1656</v>
      </c>
      <c r="P82" s="120">
        <v>41800</v>
      </c>
      <c r="Q82" s="120">
        <v>41802</v>
      </c>
      <c r="R82" s="120">
        <v>41821</v>
      </c>
      <c r="S82" t="s">
        <v>249</v>
      </c>
      <c r="T82">
        <v>2</v>
      </c>
      <c r="U82" t="s">
        <v>2730</v>
      </c>
      <c r="V82">
        <v>2</v>
      </c>
      <c r="W82" t="s">
        <v>2730</v>
      </c>
      <c r="X82">
        <v>2</v>
      </c>
      <c r="Y82">
        <v>2</v>
      </c>
      <c r="Z82" t="s">
        <v>2730</v>
      </c>
      <c r="AA82" t="s">
        <v>2730</v>
      </c>
      <c r="AB82" t="s">
        <v>2730</v>
      </c>
      <c r="AC82" t="s">
        <v>2730</v>
      </c>
      <c r="AD82" t="s">
        <v>2730</v>
      </c>
      <c r="AE82" t="s">
        <v>2730</v>
      </c>
      <c r="AF82" t="s">
        <v>2730</v>
      </c>
      <c r="AG82" t="s">
        <v>2730</v>
      </c>
      <c r="AH82" t="s">
        <v>2730</v>
      </c>
    </row>
    <row r="83" spans="1:34">
      <c r="A83" s="149" t="str">
        <f>HYPERLINK("http://www.ofsted.gov.uk/inspection-reports/find-inspection-report/provider/ELS/132774 ","Ofsted School Webpage")</f>
        <v>Ofsted School Webpage</v>
      </c>
      <c r="B83">
        <v>132774</v>
      </c>
      <c r="C83">
        <v>8016021</v>
      </c>
      <c r="D83" t="s">
        <v>1623</v>
      </c>
      <c r="E83" t="s">
        <v>37</v>
      </c>
      <c r="F83" t="s">
        <v>184</v>
      </c>
      <c r="G83" t="s">
        <v>212</v>
      </c>
      <c r="H83" t="s">
        <v>2729</v>
      </c>
      <c r="I83" t="s">
        <v>2730</v>
      </c>
      <c r="J83" t="s">
        <v>186</v>
      </c>
      <c r="K83" t="s">
        <v>225</v>
      </c>
      <c r="L83" t="s">
        <v>225</v>
      </c>
      <c r="M83" t="s">
        <v>361</v>
      </c>
      <c r="N83" t="s">
        <v>1624</v>
      </c>
      <c r="O83">
        <v>10020750</v>
      </c>
      <c r="P83" s="120">
        <v>42661</v>
      </c>
      <c r="Q83" s="120">
        <v>42663</v>
      </c>
      <c r="R83" s="120">
        <v>42696</v>
      </c>
      <c r="S83" t="s">
        <v>196</v>
      </c>
      <c r="T83">
        <v>3</v>
      </c>
      <c r="U83" t="s">
        <v>128</v>
      </c>
      <c r="V83">
        <v>3</v>
      </c>
      <c r="W83">
        <v>2</v>
      </c>
      <c r="X83">
        <v>3</v>
      </c>
      <c r="Y83">
        <v>3</v>
      </c>
      <c r="Z83">
        <v>2</v>
      </c>
      <c r="AA83" t="s">
        <v>2730</v>
      </c>
      <c r="AB83" t="s">
        <v>2733</v>
      </c>
      <c r="AC83" t="s">
        <v>2730</v>
      </c>
      <c r="AD83" t="s">
        <v>2730</v>
      </c>
      <c r="AE83" t="s">
        <v>2730</v>
      </c>
      <c r="AF83" t="s">
        <v>2730</v>
      </c>
      <c r="AG83" t="s">
        <v>2730</v>
      </c>
      <c r="AH83" t="s">
        <v>2730</v>
      </c>
    </row>
    <row r="84" spans="1:34">
      <c r="A84" s="149" t="str">
        <f>HYPERLINK("http://www.ofsted.gov.uk/inspection-reports/find-inspection-report/provider/ELS/118977 ","Ofsted School Webpage")</f>
        <v>Ofsted School Webpage</v>
      </c>
      <c r="B84">
        <v>118977</v>
      </c>
      <c r="C84">
        <v>8866035</v>
      </c>
      <c r="D84" t="s">
        <v>1625</v>
      </c>
      <c r="E84" t="s">
        <v>37</v>
      </c>
      <c r="F84" t="s">
        <v>184</v>
      </c>
      <c r="G84" t="s">
        <v>212</v>
      </c>
      <c r="H84" t="s">
        <v>2729</v>
      </c>
      <c r="I84" t="s">
        <v>2730</v>
      </c>
      <c r="J84" t="s">
        <v>186</v>
      </c>
      <c r="K84" t="s">
        <v>181</v>
      </c>
      <c r="L84" t="s">
        <v>181</v>
      </c>
      <c r="M84" t="s">
        <v>182</v>
      </c>
      <c r="N84" t="s">
        <v>1626</v>
      </c>
      <c r="O84" t="s">
        <v>1627</v>
      </c>
      <c r="P84" s="120">
        <v>41717</v>
      </c>
      <c r="Q84" s="120">
        <v>41719</v>
      </c>
      <c r="R84" s="120">
        <v>41754</v>
      </c>
      <c r="S84" t="s">
        <v>196</v>
      </c>
      <c r="T84">
        <v>2</v>
      </c>
      <c r="U84" t="s">
        <v>2730</v>
      </c>
      <c r="V84">
        <v>2</v>
      </c>
      <c r="W84" t="s">
        <v>2730</v>
      </c>
      <c r="X84">
        <v>2</v>
      </c>
      <c r="Y84">
        <v>2</v>
      </c>
      <c r="Z84" t="s">
        <v>2730</v>
      </c>
      <c r="AA84" t="s">
        <v>2730</v>
      </c>
      <c r="AB84" t="s">
        <v>2730</v>
      </c>
      <c r="AC84" t="s">
        <v>2730</v>
      </c>
      <c r="AD84" t="s">
        <v>2730</v>
      </c>
      <c r="AE84" t="s">
        <v>2730</v>
      </c>
      <c r="AF84" t="s">
        <v>2730</v>
      </c>
      <c r="AG84" t="s">
        <v>2730</v>
      </c>
      <c r="AH84" t="s">
        <v>2730</v>
      </c>
    </row>
    <row r="85" spans="1:34">
      <c r="A85" s="149" t="str">
        <f>HYPERLINK("http://www.ofsted.gov.uk/inspection-reports/find-inspection-report/provider/ELS/113023 ","Ofsted School Webpage")</f>
        <v>Ofsted School Webpage</v>
      </c>
      <c r="B85">
        <v>113023</v>
      </c>
      <c r="C85">
        <v>8306020</v>
      </c>
      <c r="D85" t="s">
        <v>363</v>
      </c>
      <c r="E85" t="s">
        <v>37</v>
      </c>
      <c r="F85" t="s">
        <v>184</v>
      </c>
      <c r="G85" t="s">
        <v>184</v>
      </c>
      <c r="H85" t="s">
        <v>2729</v>
      </c>
      <c r="I85" t="s">
        <v>2730</v>
      </c>
      <c r="J85" t="s">
        <v>186</v>
      </c>
      <c r="K85" t="s">
        <v>214</v>
      </c>
      <c r="L85" t="s">
        <v>214</v>
      </c>
      <c r="M85" t="s">
        <v>364</v>
      </c>
      <c r="N85" t="s">
        <v>365</v>
      </c>
      <c r="O85">
        <v>10026044</v>
      </c>
      <c r="P85" s="120">
        <v>42893</v>
      </c>
      <c r="Q85" s="120">
        <v>42895</v>
      </c>
      <c r="R85" s="120">
        <v>42992</v>
      </c>
      <c r="S85" t="s">
        <v>196</v>
      </c>
      <c r="T85">
        <v>4</v>
      </c>
      <c r="U85" t="s">
        <v>129</v>
      </c>
      <c r="V85">
        <v>4</v>
      </c>
      <c r="W85">
        <v>4</v>
      </c>
      <c r="X85">
        <v>2</v>
      </c>
      <c r="Y85">
        <v>2</v>
      </c>
      <c r="Z85">
        <v>4</v>
      </c>
      <c r="AA85" t="s">
        <v>2730</v>
      </c>
      <c r="AB85" t="s">
        <v>2733</v>
      </c>
      <c r="AC85">
        <v>10043874</v>
      </c>
      <c r="AD85" t="s">
        <v>187</v>
      </c>
      <c r="AE85" s="120">
        <v>43047</v>
      </c>
      <c r="AF85" t="s">
        <v>2771</v>
      </c>
      <c r="AG85" s="120">
        <v>43066</v>
      </c>
      <c r="AH85" t="s">
        <v>189</v>
      </c>
    </row>
    <row r="86" spans="1:34">
      <c r="A86" s="149" t="str">
        <f>HYPERLINK("http://www.ofsted.gov.uk/inspection-reports/find-inspection-report/provider/ELS/131745 ","Ofsted School Webpage")</f>
        <v>Ofsted School Webpage</v>
      </c>
      <c r="B86">
        <v>131745</v>
      </c>
      <c r="C86">
        <v>2116389</v>
      </c>
      <c r="D86" t="s">
        <v>2283</v>
      </c>
      <c r="E86" t="s">
        <v>37</v>
      </c>
      <c r="F86" t="s">
        <v>184</v>
      </c>
      <c r="G86" t="s">
        <v>223</v>
      </c>
      <c r="H86" t="s">
        <v>2729</v>
      </c>
      <c r="I86" t="s">
        <v>2730</v>
      </c>
      <c r="J86" t="s">
        <v>186</v>
      </c>
      <c r="K86" t="s">
        <v>232</v>
      </c>
      <c r="L86" t="s">
        <v>232</v>
      </c>
      <c r="M86" t="s">
        <v>539</v>
      </c>
      <c r="N86" t="s">
        <v>2284</v>
      </c>
      <c r="O86">
        <v>10020719</v>
      </c>
      <c r="P86" s="120">
        <v>42648</v>
      </c>
      <c r="Q86" s="120">
        <v>42650</v>
      </c>
      <c r="R86" s="120">
        <v>42803</v>
      </c>
      <c r="S86" t="s">
        <v>196</v>
      </c>
      <c r="T86">
        <v>4</v>
      </c>
      <c r="U86" t="s">
        <v>129</v>
      </c>
      <c r="V86">
        <v>4</v>
      </c>
      <c r="W86">
        <v>4</v>
      </c>
      <c r="X86">
        <v>4</v>
      </c>
      <c r="Y86">
        <v>4</v>
      </c>
      <c r="Z86" t="s">
        <v>2730</v>
      </c>
      <c r="AA86">
        <v>4</v>
      </c>
      <c r="AB86" t="s">
        <v>2733</v>
      </c>
      <c r="AC86">
        <v>10034301</v>
      </c>
      <c r="AD86" t="s">
        <v>187</v>
      </c>
      <c r="AE86" s="120">
        <v>42852</v>
      </c>
      <c r="AF86" t="s">
        <v>2769</v>
      </c>
      <c r="AG86" s="120">
        <v>42900</v>
      </c>
      <c r="AH86" t="s">
        <v>189</v>
      </c>
    </row>
    <row r="87" spans="1:34">
      <c r="A87" s="149" t="str">
        <f>HYPERLINK("http://www.ofsted.gov.uk/inspection-reports/find-inspection-report/provider/ELS/138568 ","Ofsted School Webpage")</f>
        <v>Ofsted School Webpage</v>
      </c>
      <c r="B87">
        <v>138568</v>
      </c>
      <c r="C87">
        <v>3536001</v>
      </c>
      <c r="D87" t="s">
        <v>1708</v>
      </c>
      <c r="E87" t="s">
        <v>37</v>
      </c>
      <c r="F87" t="s">
        <v>184</v>
      </c>
      <c r="G87" t="s">
        <v>223</v>
      </c>
      <c r="H87" t="s">
        <v>2729</v>
      </c>
      <c r="I87" t="s">
        <v>2730</v>
      </c>
      <c r="J87" t="s">
        <v>186</v>
      </c>
      <c r="K87" t="s">
        <v>205</v>
      </c>
      <c r="L87" t="s">
        <v>205</v>
      </c>
      <c r="M87" t="s">
        <v>468</v>
      </c>
      <c r="N87" t="s">
        <v>1709</v>
      </c>
      <c r="O87">
        <v>10012868</v>
      </c>
      <c r="P87" s="120">
        <v>42500</v>
      </c>
      <c r="Q87" s="120">
        <v>42502</v>
      </c>
      <c r="R87" s="120">
        <v>42536</v>
      </c>
      <c r="S87" t="s">
        <v>196</v>
      </c>
      <c r="T87">
        <v>2</v>
      </c>
      <c r="U87" t="s">
        <v>128</v>
      </c>
      <c r="V87">
        <v>2</v>
      </c>
      <c r="W87">
        <v>2</v>
      </c>
      <c r="X87">
        <v>2</v>
      </c>
      <c r="Y87">
        <v>2</v>
      </c>
      <c r="Z87" t="s">
        <v>2730</v>
      </c>
      <c r="AA87" t="s">
        <v>2730</v>
      </c>
      <c r="AB87" t="s">
        <v>2732</v>
      </c>
      <c r="AC87" t="s">
        <v>2730</v>
      </c>
      <c r="AD87" t="s">
        <v>2730</v>
      </c>
      <c r="AE87" t="s">
        <v>2730</v>
      </c>
      <c r="AF87" t="s">
        <v>2730</v>
      </c>
      <c r="AG87" t="s">
        <v>2730</v>
      </c>
      <c r="AH87" t="s">
        <v>2730</v>
      </c>
    </row>
    <row r="88" spans="1:34">
      <c r="A88" s="149" t="str">
        <f>HYPERLINK("http://www.ofsted.gov.uk/inspection-reports/find-inspection-report/provider/ELS/105372 ","Ofsted School Webpage")</f>
        <v>Ofsted School Webpage</v>
      </c>
      <c r="B88">
        <v>105372</v>
      </c>
      <c r="C88">
        <v>3516007</v>
      </c>
      <c r="D88" t="s">
        <v>1710</v>
      </c>
      <c r="E88" t="s">
        <v>37</v>
      </c>
      <c r="F88" t="s">
        <v>304</v>
      </c>
      <c r="G88" t="s">
        <v>223</v>
      </c>
      <c r="H88" t="s">
        <v>2729</v>
      </c>
      <c r="I88" t="s">
        <v>2730</v>
      </c>
      <c r="J88" t="s">
        <v>186</v>
      </c>
      <c r="K88" t="s">
        <v>205</v>
      </c>
      <c r="L88" t="s">
        <v>205</v>
      </c>
      <c r="M88" t="s">
        <v>453</v>
      </c>
      <c r="N88" t="s">
        <v>1711</v>
      </c>
      <c r="O88" t="s">
        <v>1712</v>
      </c>
      <c r="P88" s="120">
        <v>41947</v>
      </c>
      <c r="Q88" s="120">
        <v>41949</v>
      </c>
      <c r="R88" s="120">
        <v>41970</v>
      </c>
      <c r="S88" t="s">
        <v>196</v>
      </c>
      <c r="T88">
        <v>1</v>
      </c>
      <c r="U88" t="s">
        <v>2730</v>
      </c>
      <c r="V88">
        <v>1</v>
      </c>
      <c r="W88" t="s">
        <v>2730</v>
      </c>
      <c r="X88">
        <v>1</v>
      </c>
      <c r="Y88">
        <v>1</v>
      </c>
      <c r="Z88">
        <v>9</v>
      </c>
      <c r="AA88">
        <v>1</v>
      </c>
      <c r="AB88" t="s">
        <v>2730</v>
      </c>
      <c r="AC88" t="s">
        <v>2730</v>
      </c>
      <c r="AD88" t="s">
        <v>2730</v>
      </c>
      <c r="AE88" t="s">
        <v>2730</v>
      </c>
      <c r="AF88" t="s">
        <v>2730</v>
      </c>
      <c r="AG88" t="s">
        <v>2730</v>
      </c>
      <c r="AH88" t="s">
        <v>2730</v>
      </c>
    </row>
    <row r="89" spans="1:34">
      <c r="A89" s="149" t="str">
        <f>HYPERLINK("http://www.ofsted.gov.uk/inspection-reports/find-inspection-report/provider/ELS/131351 ","Ofsted School Webpage")</f>
        <v>Ofsted School Webpage</v>
      </c>
      <c r="B89">
        <v>131351</v>
      </c>
      <c r="C89">
        <v>3146070</v>
      </c>
      <c r="D89" t="s">
        <v>238</v>
      </c>
      <c r="E89" t="s">
        <v>37</v>
      </c>
      <c r="F89" t="s">
        <v>184</v>
      </c>
      <c r="G89" t="s">
        <v>184</v>
      </c>
      <c r="H89" t="s">
        <v>2729</v>
      </c>
      <c r="I89" t="s">
        <v>2730</v>
      </c>
      <c r="J89" t="s">
        <v>186</v>
      </c>
      <c r="K89" t="s">
        <v>232</v>
      </c>
      <c r="L89" t="s">
        <v>232</v>
      </c>
      <c r="M89" t="s">
        <v>239</v>
      </c>
      <c r="N89" t="s">
        <v>240</v>
      </c>
      <c r="O89">
        <v>10012830</v>
      </c>
      <c r="P89" s="120">
        <v>43025</v>
      </c>
      <c r="Q89" s="120">
        <v>43027</v>
      </c>
      <c r="R89" s="120">
        <v>43054</v>
      </c>
      <c r="S89" t="s">
        <v>196</v>
      </c>
      <c r="T89">
        <v>2</v>
      </c>
      <c r="U89" t="s">
        <v>128</v>
      </c>
      <c r="V89">
        <v>2</v>
      </c>
      <c r="W89">
        <v>2</v>
      </c>
      <c r="X89">
        <v>2</v>
      </c>
      <c r="Y89">
        <v>2</v>
      </c>
      <c r="Z89">
        <v>2</v>
      </c>
      <c r="AA89" t="s">
        <v>2730</v>
      </c>
      <c r="AB89" t="s">
        <v>2732</v>
      </c>
      <c r="AC89" t="s">
        <v>2730</v>
      </c>
      <c r="AD89" t="s">
        <v>2730</v>
      </c>
      <c r="AE89" s="120" t="s">
        <v>2730</v>
      </c>
      <c r="AF89" t="s">
        <v>2730</v>
      </c>
      <c r="AG89" s="120" t="s">
        <v>2730</v>
      </c>
      <c r="AH89" t="s">
        <v>2730</v>
      </c>
    </row>
    <row r="90" spans="1:34">
      <c r="A90" s="149" t="str">
        <f>HYPERLINK("http://www.ofsted.gov.uk/inspection-reports/find-inspection-report/provider/ELS/137671 ","Ofsted School Webpage")</f>
        <v>Ofsted School Webpage</v>
      </c>
      <c r="B90">
        <v>137671</v>
      </c>
      <c r="C90">
        <v>3066010</v>
      </c>
      <c r="D90" t="s">
        <v>1767</v>
      </c>
      <c r="E90" t="s">
        <v>37</v>
      </c>
      <c r="F90" t="s">
        <v>184</v>
      </c>
      <c r="G90" t="s">
        <v>184</v>
      </c>
      <c r="H90" t="s">
        <v>2729</v>
      </c>
      <c r="I90" t="s">
        <v>2730</v>
      </c>
      <c r="J90" t="s">
        <v>186</v>
      </c>
      <c r="K90" t="s">
        <v>232</v>
      </c>
      <c r="L90" t="s">
        <v>232</v>
      </c>
      <c r="M90" t="s">
        <v>723</v>
      </c>
      <c r="N90" t="s">
        <v>1768</v>
      </c>
      <c r="O90">
        <v>10006089</v>
      </c>
      <c r="P90" s="120">
        <v>42319</v>
      </c>
      <c r="Q90" s="120">
        <v>42320</v>
      </c>
      <c r="R90" s="120">
        <v>42346</v>
      </c>
      <c r="S90" t="s">
        <v>196</v>
      </c>
      <c r="T90">
        <v>2</v>
      </c>
      <c r="U90" t="s">
        <v>128</v>
      </c>
      <c r="V90">
        <v>2</v>
      </c>
      <c r="W90">
        <v>2</v>
      </c>
      <c r="X90">
        <v>2</v>
      </c>
      <c r="Y90">
        <v>2</v>
      </c>
      <c r="Z90" t="s">
        <v>2730</v>
      </c>
      <c r="AA90" t="s">
        <v>2730</v>
      </c>
      <c r="AB90" t="s">
        <v>2732</v>
      </c>
      <c r="AC90" t="s">
        <v>2730</v>
      </c>
      <c r="AD90" t="s">
        <v>2730</v>
      </c>
      <c r="AE90" s="120" t="s">
        <v>2730</v>
      </c>
      <c r="AF90" t="s">
        <v>2730</v>
      </c>
      <c r="AG90" s="120" t="s">
        <v>2730</v>
      </c>
      <c r="AH90" t="s">
        <v>2730</v>
      </c>
    </row>
    <row r="91" spans="1:34">
      <c r="A91" s="149" t="str">
        <f>HYPERLINK("http://www.ofsted.gov.uk/inspection-reports/find-inspection-report/provider/ELS/135072 ","Ofsted School Webpage")</f>
        <v>Ofsted School Webpage</v>
      </c>
      <c r="B91">
        <v>135072</v>
      </c>
      <c r="C91">
        <v>3026118</v>
      </c>
      <c r="D91" t="s">
        <v>1769</v>
      </c>
      <c r="E91" t="s">
        <v>37</v>
      </c>
      <c r="F91" t="s">
        <v>184</v>
      </c>
      <c r="G91" t="s">
        <v>184</v>
      </c>
      <c r="H91" t="s">
        <v>2729</v>
      </c>
      <c r="I91" t="s">
        <v>2730</v>
      </c>
      <c r="J91" t="s">
        <v>186</v>
      </c>
      <c r="K91" t="s">
        <v>232</v>
      </c>
      <c r="L91" t="s">
        <v>232</v>
      </c>
      <c r="M91" t="s">
        <v>311</v>
      </c>
      <c r="N91" t="s">
        <v>1770</v>
      </c>
      <c r="O91" t="s">
        <v>1771</v>
      </c>
      <c r="P91" s="120">
        <v>41920</v>
      </c>
      <c r="Q91" s="120">
        <v>41922</v>
      </c>
      <c r="R91" s="120">
        <v>41958</v>
      </c>
      <c r="S91" t="s">
        <v>196</v>
      </c>
      <c r="T91">
        <v>1</v>
      </c>
      <c r="U91" t="s">
        <v>2730</v>
      </c>
      <c r="V91">
        <v>1</v>
      </c>
      <c r="W91" t="s">
        <v>2730</v>
      </c>
      <c r="X91">
        <v>1</v>
      </c>
      <c r="Y91">
        <v>1</v>
      </c>
      <c r="Z91">
        <v>9</v>
      </c>
      <c r="AA91">
        <v>1</v>
      </c>
      <c r="AB91" t="s">
        <v>2730</v>
      </c>
      <c r="AC91" t="s">
        <v>2730</v>
      </c>
      <c r="AD91" t="s">
        <v>2730</v>
      </c>
      <c r="AE91" t="s">
        <v>2730</v>
      </c>
      <c r="AF91" t="s">
        <v>2730</v>
      </c>
      <c r="AG91" t="s">
        <v>2730</v>
      </c>
      <c r="AH91" t="s">
        <v>2730</v>
      </c>
    </row>
    <row r="92" spans="1:34">
      <c r="A92" s="149" t="str">
        <f>HYPERLINK("http://www.ofsted.gov.uk/inspection-reports/find-inspection-report/provider/ELS/119005 ","Ofsted School Webpage")</f>
        <v>Ofsted School Webpage</v>
      </c>
      <c r="B92">
        <v>119005</v>
      </c>
      <c r="C92">
        <v>8866057</v>
      </c>
      <c r="D92" t="s">
        <v>343</v>
      </c>
      <c r="E92" t="s">
        <v>37</v>
      </c>
      <c r="F92" t="s">
        <v>184</v>
      </c>
      <c r="G92" t="s">
        <v>212</v>
      </c>
      <c r="H92" t="s">
        <v>2729</v>
      </c>
      <c r="I92" t="s">
        <v>2730</v>
      </c>
      <c r="J92" t="s">
        <v>186</v>
      </c>
      <c r="K92" t="s">
        <v>181</v>
      </c>
      <c r="L92" t="s">
        <v>181</v>
      </c>
      <c r="M92" t="s">
        <v>182</v>
      </c>
      <c r="N92" t="s">
        <v>344</v>
      </c>
      <c r="O92">
        <v>10020908</v>
      </c>
      <c r="P92" s="120">
        <v>43046</v>
      </c>
      <c r="Q92" s="120">
        <v>43048</v>
      </c>
      <c r="R92" s="120">
        <v>43069</v>
      </c>
      <c r="S92" t="s">
        <v>196</v>
      </c>
      <c r="T92">
        <v>3</v>
      </c>
      <c r="U92" t="s">
        <v>128</v>
      </c>
      <c r="V92">
        <v>3</v>
      </c>
      <c r="W92">
        <v>2</v>
      </c>
      <c r="X92">
        <v>3</v>
      </c>
      <c r="Y92">
        <v>3</v>
      </c>
      <c r="Z92">
        <v>3</v>
      </c>
      <c r="AA92" t="s">
        <v>2730</v>
      </c>
      <c r="AB92" t="s">
        <v>2732</v>
      </c>
      <c r="AC92" t="s">
        <v>2730</v>
      </c>
      <c r="AD92" t="s">
        <v>2730</v>
      </c>
      <c r="AE92" s="120" t="s">
        <v>2730</v>
      </c>
      <c r="AF92" t="s">
        <v>2730</v>
      </c>
      <c r="AG92" s="120" t="s">
        <v>2730</v>
      </c>
      <c r="AH92" t="s">
        <v>2730</v>
      </c>
    </row>
    <row r="93" spans="1:34">
      <c r="A93" s="149" t="str">
        <f>HYPERLINK("http://www.ofsted.gov.uk/inspection-reports/find-inspection-report/provider/ELS/108419 ","Ofsted School Webpage")</f>
        <v>Ofsted School Webpage</v>
      </c>
      <c r="B93">
        <v>108419</v>
      </c>
      <c r="C93">
        <v>3906007</v>
      </c>
      <c r="D93" t="s">
        <v>1719</v>
      </c>
      <c r="E93" t="s">
        <v>37</v>
      </c>
      <c r="F93" t="s">
        <v>184</v>
      </c>
      <c r="G93" t="s">
        <v>318</v>
      </c>
      <c r="H93" t="s">
        <v>2729</v>
      </c>
      <c r="I93" t="s">
        <v>2730</v>
      </c>
      <c r="J93" t="s">
        <v>186</v>
      </c>
      <c r="K93" t="s">
        <v>245</v>
      </c>
      <c r="L93" t="s">
        <v>277</v>
      </c>
      <c r="M93" t="s">
        <v>651</v>
      </c>
      <c r="N93" t="s">
        <v>1720</v>
      </c>
      <c r="O93" t="s">
        <v>1721</v>
      </c>
      <c r="P93" s="120">
        <v>41716</v>
      </c>
      <c r="Q93" s="120">
        <v>41718</v>
      </c>
      <c r="R93" s="120">
        <v>41739</v>
      </c>
      <c r="S93" t="s">
        <v>196</v>
      </c>
      <c r="T93">
        <v>2</v>
      </c>
      <c r="U93" t="s">
        <v>2730</v>
      </c>
      <c r="V93">
        <v>2</v>
      </c>
      <c r="W93" t="s">
        <v>2730</v>
      </c>
      <c r="X93">
        <v>2</v>
      </c>
      <c r="Y93">
        <v>2</v>
      </c>
      <c r="Z93" t="s">
        <v>2730</v>
      </c>
      <c r="AA93" t="s">
        <v>2730</v>
      </c>
      <c r="AB93" t="s">
        <v>2730</v>
      </c>
      <c r="AC93" t="s">
        <v>2730</v>
      </c>
      <c r="AD93" t="s">
        <v>2730</v>
      </c>
      <c r="AE93" t="s">
        <v>2730</v>
      </c>
      <c r="AF93" t="s">
        <v>2730</v>
      </c>
      <c r="AG93" t="s">
        <v>2730</v>
      </c>
      <c r="AH93" t="s">
        <v>2730</v>
      </c>
    </row>
    <row r="94" spans="1:34">
      <c r="A94" s="149" t="str">
        <f>HYPERLINK("http://www.ofsted.gov.uk/inspection-reports/find-inspection-report/provider/ELS/108416 ","Ofsted School Webpage")</f>
        <v>Ofsted School Webpage</v>
      </c>
      <c r="B94">
        <v>108416</v>
      </c>
      <c r="C94">
        <v>3906004</v>
      </c>
      <c r="D94" t="s">
        <v>1774</v>
      </c>
      <c r="E94" t="s">
        <v>37</v>
      </c>
      <c r="F94" t="s">
        <v>184</v>
      </c>
      <c r="G94" t="s">
        <v>184</v>
      </c>
      <c r="H94" t="s">
        <v>2729</v>
      </c>
      <c r="I94" t="s">
        <v>2730</v>
      </c>
      <c r="J94" t="s">
        <v>186</v>
      </c>
      <c r="K94" t="s">
        <v>245</v>
      </c>
      <c r="L94" t="s">
        <v>277</v>
      </c>
      <c r="M94" t="s">
        <v>651</v>
      </c>
      <c r="N94" t="s">
        <v>1775</v>
      </c>
      <c r="O94">
        <v>10010417</v>
      </c>
      <c r="P94" s="120">
        <v>42430</v>
      </c>
      <c r="Q94" s="120">
        <v>42432</v>
      </c>
      <c r="R94" s="120">
        <v>42466</v>
      </c>
      <c r="S94" t="s">
        <v>267</v>
      </c>
      <c r="T94">
        <v>2</v>
      </c>
      <c r="U94" t="s">
        <v>128</v>
      </c>
      <c r="V94">
        <v>2</v>
      </c>
      <c r="W94">
        <v>2</v>
      </c>
      <c r="X94">
        <v>2</v>
      </c>
      <c r="Y94">
        <v>2</v>
      </c>
      <c r="Z94" t="s">
        <v>2730</v>
      </c>
      <c r="AA94" t="s">
        <v>2730</v>
      </c>
      <c r="AB94" t="s">
        <v>2732</v>
      </c>
      <c r="AC94" t="s">
        <v>2730</v>
      </c>
      <c r="AD94" t="s">
        <v>2730</v>
      </c>
      <c r="AE94" s="120" t="s">
        <v>2730</v>
      </c>
      <c r="AF94" t="s">
        <v>2730</v>
      </c>
      <c r="AG94" s="120" t="s">
        <v>2730</v>
      </c>
      <c r="AH94" t="s">
        <v>2730</v>
      </c>
    </row>
    <row r="95" spans="1:34">
      <c r="A95" s="149" t="str">
        <f>HYPERLINK("http://www.ofsted.gov.uk/inspection-reports/find-inspection-report/provider/ELS/132041 ","Ofsted School Webpage")</f>
        <v>Ofsted School Webpage</v>
      </c>
      <c r="B95">
        <v>132041</v>
      </c>
      <c r="C95">
        <v>2046405</v>
      </c>
      <c r="D95" t="s">
        <v>1776</v>
      </c>
      <c r="E95" t="s">
        <v>37</v>
      </c>
      <c r="F95" t="s">
        <v>184</v>
      </c>
      <c r="G95" t="s">
        <v>318</v>
      </c>
      <c r="H95" t="s">
        <v>2729</v>
      </c>
      <c r="I95" t="s">
        <v>2730</v>
      </c>
      <c r="J95" t="s">
        <v>186</v>
      </c>
      <c r="K95" t="s">
        <v>232</v>
      </c>
      <c r="L95" t="s">
        <v>232</v>
      </c>
      <c r="M95" t="s">
        <v>479</v>
      </c>
      <c r="N95" t="s">
        <v>1777</v>
      </c>
      <c r="O95" t="s">
        <v>1778</v>
      </c>
      <c r="P95" s="120">
        <v>41982</v>
      </c>
      <c r="Q95" s="120">
        <v>41984</v>
      </c>
      <c r="R95" s="120">
        <v>42055</v>
      </c>
      <c r="S95" t="s">
        <v>196</v>
      </c>
      <c r="T95">
        <v>4</v>
      </c>
      <c r="U95" t="s">
        <v>2730</v>
      </c>
      <c r="V95">
        <v>4</v>
      </c>
      <c r="W95" t="s">
        <v>2730</v>
      </c>
      <c r="X95">
        <v>4</v>
      </c>
      <c r="Y95">
        <v>4</v>
      </c>
      <c r="Z95">
        <v>3</v>
      </c>
      <c r="AA95">
        <v>9</v>
      </c>
      <c r="AB95" t="s">
        <v>2730</v>
      </c>
      <c r="AC95">
        <v>10026505</v>
      </c>
      <c r="AD95" t="s">
        <v>187</v>
      </c>
      <c r="AE95" s="120">
        <v>42752</v>
      </c>
      <c r="AF95" t="s">
        <v>2769</v>
      </c>
      <c r="AG95" s="120">
        <v>42773</v>
      </c>
      <c r="AH95" t="s">
        <v>217</v>
      </c>
    </row>
    <row r="96" spans="1:34">
      <c r="A96" s="149" t="str">
        <f>HYPERLINK("http://www.ofsted.gov.uk/inspection-reports/find-inspection-report/provider/ELS/131337 ","Ofsted School Webpage")</f>
        <v>Ofsted School Webpage</v>
      </c>
      <c r="B96">
        <v>131337</v>
      </c>
      <c r="C96">
        <v>8886033</v>
      </c>
      <c r="D96" t="s">
        <v>1779</v>
      </c>
      <c r="E96" t="s">
        <v>37</v>
      </c>
      <c r="F96" t="s">
        <v>184</v>
      </c>
      <c r="G96" t="s">
        <v>223</v>
      </c>
      <c r="H96" t="s">
        <v>2729</v>
      </c>
      <c r="I96" t="s">
        <v>2730</v>
      </c>
      <c r="J96" t="s">
        <v>186</v>
      </c>
      <c r="K96" t="s">
        <v>205</v>
      </c>
      <c r="L96" t="s">
        <v>205</v>
      </c>
      <c r="M96" t="s">
        <v>206</v>
      </c>
      <c r="N96" t="s">
        <v>1780</v>
      </c>
      <c r="O96">
        <v>10034539</v>
      </c>
      <c r="P96" s="120">
        <v>42899</v>
      </c>
      <c r="Q96" s="120">
        <v>42901</v>
      </c>
      <c r="R96" s="120">
        <v>42927</v>
      </c>
      <c r="S96" t="s">
        <v>196</v>
      </c>
      <c r="T96">
        <v>3</v>
      </c>
      <c r="U96" t="s">
        <v>128</v>
      </c>
      <c r="V96">
        <v>3</v>
      </c>
      <c r="W96">
        <v>2</v>
      </c>
      <c r="X96">
        <v>3</v>
      </c>
      <c r="Y96">
        <v>3</v>
      </c>
      <c r="Z96" t="s">
        <v>2730</v>
      </c>
      <c r="AA96" t="s">
        <v>2730</v>
      </c>
      <c r="AB96" t="s">
        <v>2732</v>
      </c>
      <c r="AC96" t="s">
        <v>2730</v>
      </c>
      <c r="AD96" t="s">
        <v>2730</v>
      </c>
      <c r="AE96" s="120" t="s">
        <v>2730</v>
      </c>
      <c r="AF96" t="s">
        <v>2730</v>
      </c>
      <c r="AG96" s="120" t="s">
        <v>2730</v>
      </c>
      <c r="AH96" t="s">
        <v>2730</v>
      </c>
    </row>
    <row r="97" spans="1:34">
      <c r="A97" s="149" t="str">
        <f>HYPERLINK("http://www.ofsted.gov.uk/inspection-reports/find-inspection-report/provider/ELS/100078 ","Ofsted School Webpage")</f>
        <v>Ofsted School Webpage</v>
      </c>
      <c r="B97">
        <v>100078</v>
      </c>
      <c r="C97">
        <v>2026360</v>
      </c>
      <c r="D97" t="s">
        <v>535</v>
      </c>
      <c r="E97" t="s">
        <v>37</v>
      </c>
      <c r="F97" t="s">
        <v>184</v>
      </c>
      <c r="G97" t="s">
        <v>184</v>
      </c>
      <c r="H97" t="s">
        <v>2729</v>
      </c>
      <c r="I97" t="s">
        <v>2730</v>
      </c>
      <c r="J97" t="s">
        <v>186</v>
      </c>
      <c r="K97" t="s">
        <v>232</v>
      </c>
      <c r="L97" t="s">
        <v>232</v>
      </c>
      <c r="M97" t="s">
        <v>536</v>
      </c>
      <c r="N97" t="s">
        <v>537</v>
      </c>
      <c r="O97">
        <v>10012781</v>
      </c>
      <c r="P97" s="120">
        <v>42997</v>
      </c>
      <c r="Q97" s="120">
        <v>42999</v>
      </c>
      <c r="R97" s="120">
        <v>43052</v>
      </c>
      <c r="S97" t="s">
        <v>196</v>
      </c>
      <c r="T97">
        <v>1</v>
      </c>
      <c r="U97" t="s">
        <v>128</v>
      </c>
      <c r="V97">
        <v>1</v>
      </c>
      <c r="W97">
        <v>1</v>
      </c>
      <c r="X97">
        <v>1</v>
      </c>
      <c r="Y97">
        <v>1</v>
      </c>
      <c r="Z97">
        <v>2</v>
      </c>
      <c r="AA97" t="s">
        <v>2730</v>
      </c>
      <c r="AB97" t="s">
        <v>2732</v>
      </c>
      <c r="AC97" t="s">
        <v>2730</v>
      </c>
      <c r="AD97" t="s">
        <v>2730</v>
      </c>
      <c r="AE97" t="s">
        <v>2730</v>
      </c>
      <c r="AF97" t="s">
        <v>2730</v>
      </c>
      <c r="AG97" t="s">
        <v>2730</v>
      </c>
      <c r="AH97" t="s">
        <v>2730</v>
      </c>
    </row>
    <row r="98" spans="1:34">
      <c r="A98" s="149" t="str">
        <f>HYPERLINK("http://www.ofsted.gov.uk/inspection-reports/find-inspection-report/provider/ELS/135418 ","Ofsted School Webpage")</f>
        <v>Ofsted School Webpage</v>
      </c>
      <c r="B98">
        <v>135418</v>
      </c>
      <c r="C98">
        <v>9376106</v>
      </c>
      <c r="D98" t="s">
        <v>699</v>
      </c>
      <c r="E98" t="s">
        <v>37</v>
      </c>
      <c r="F98" t="s">
        <v>184</v>
      </c>
      <c r="G98" t="s">
        <v>184</v>
      </c>
      <c r="H98" t="s">
        <v>2729</v>
      </c>
      <c r="I98" t="s">
        <v>2730</v>
      </c>
      <c r="J98" t="s">
        <v>186</v>
      </c>
      <c r="K98" t="s">
        <v>193</v>
      </c>
      <c r="L98" t="s">
        <v>193</v>
      </c>
      <c r="M98" t="s">
        <v>377</v>
      </c>
      <c r="N98" t="s">
        <v>700</v>
      </c>
      <c r="O98">
        <v>10026105</v>
      </c>
      <c r="P98" s="120">
        <v>42920</v>
      </c>
      <c r="Q98" s="120">
        <v>42922</v>
      </c>
      <c r="R98" s="120">
        <v>42989</v>
      </c>
      <c r="S98" t="s">
        <v>196</v>
      </c>
      <c r="T98">
        <v>3</v>
      </c>
      <c r="U98" t="s">
        <v>128</v>
      </c>
      <c r="V98">
        <v>3</v>
      </c>
      <c r="W98">
        <v>2</v>
      </c>
      <c r="X98">
        <v>3</v>
      </c>
      <c r="Y98">
        <v>3</v>
      </c>
      <c r="Z98">
        <v>3</v>
      </c>
      <c r="AA98" t="s">
        <v>2730</v>
      </c>
      <c r="AB98" t="s">
        <v>2733</v>
      </c>
      <c r="AC98" t="s">
        <v>2730</v>
      </c>
      <c r="AD98" t="s">
        <v>2730</v>
      </c>
      <c r="AE98" t="s">
        <v>2730</v>
      </c>
      <c r="AF98" t="s">
        <v>2730</v>
      </c>
      <c r="AG98" t="s">
        <v>2730</v>
      </c>
      <c r="AH98" t="s">
        <v>2730</v>
      </c>
    </row>
    <row r="99" spans="1:34">
      <c r="A99" s="149" t="str">
        <f>HYPERLINK("http://www.ofsted.gov.uk/inspection-reports/find-inspection-report/provider/ELS/115418 ","Ofsted School Webpage")</f>
        <v>Ofsted School Webpage</v>
      </c>
      <c r="B99">
        <v>115418</v>
      </c>
      <c r="C99">
        <v>8816024</v>
      </c>
      <c r="D99" t="s">
        <v>701</v>
      </c>
      <c r="E99" t="s">
        <v>37</v>
      </c>
      <c r="F99" t="s">
        <v>184</v>
      </c>
      <c r="G99" t="s">
        <v>184</v>
      </c>
      <c r="H99" t="s">
        <v>2729</v>
      </c>
      <c r="I99" t="s">
        <v>2730</v>
      </c>
      <c r="J99" t="s">
        <v>186</v>
      </c>
      <c r="K99" t="s">
        <v>220</v>
      </c>
      <c r="L99" t="s">
        <v>220</v>
      </c>
      <c r="M99" t="s">
        <v>323</v>
      </c>
      <c r="N99" t="s">
        <v>702</v>
      </c>
      <c r="O99">
        <v>10008564</v>
      </c>
      <c r="P99" s="120">
        <v>42535</v>
      </c>
      <c r="Q99" s="120">
        <v>42537</v>
      </c>
      <c r="R99" s="120">
        <v>42625</v>
      </c>
      <c r="S99" t="s">
        <v>196</v>
      </c>
      <c r="T99">
        <v>2</v>
      </c>
      <c r="U99" t="s">
        <v>128</v>
      </c>
      <c r="V99">
        <v>2</v>
      </c>
      <c r="W99">
        <v>1</v>
      </c>
      <c r="X99">
        <v>2</v>
      </c>
      <c r="Y99">
        <v>2</v>
      </c>
      <c r="Z99">
        <v>2</v>
      </c>
      <c r="AA99" t="s">
        <v>2730</v>
      </c>
      <c r="AB99" t="s">
        <v>2732</v>
      </c>
      <c r="AC99" t="s">
        <v>2730</v>
      </c>
      <c r="AD99" t="s">
        <v>2730</v>
      </c>
      <c r="AE99" t="s">
        <v>2730</v>
      </c>
      <c r="AF99" t="s">
        <v>2730</v>
      </c>
      <c r="AG99" t="s">
        <v>2730</v>
      </c>
      <c r="AH99" t="s">
        <v>2730</v>
      </c>
    </row>
    <row r="100" spans="1:34">
      <c r="A100" s="149" t="str">
        <f>HYPERLINK("http://www.ofsted.gov.uk/inspection-reports/find-inspection-report/provider/ELS/118127 ","Ofsted School Webpage")</f>
        <v>Ofsted School Webpage</v>
      </c>
      <c r="B100">
        <v>118127</v>
      </c>
      <c r="C100">
        <v>8116001</v>
      </c>
      <c r="D100" t="s">
        <v>703</v>
      </c>
      <c r="E100" t="s">
        <v>37</v>
      </c>
      <c r="F100" t="s">
        <v>184</v>
      </c>
      <c r="G100" t="s">
        <v>184</v>
      </c>
      <c r="H100" t="s">
        <v>2729</v>
      </c>
      <c r="I100" t="s">
        <v>2730</v>
      </c>
      <c r="J100" t="s">
        <v>186</v>
      </c>
      <c r="K100" t="s">
        <v>245</v>
      </c>
      <c r="L100" t="s">
        <v>246</v>
      </c>
      <c r="M100" t="s">
        <v>704</v>
      </c>
      <c r="N100" t="s">
        <v>705</v>
      </c>
      <c r="O100">
        <v>10008557</v>
      </c>
      <c r="P100" s="120">
        <v>42549</v>
      </c>
      <c r="Q100" s="120">
        <v>42551</v>
      </c>
      <c r="R100" s="120">
        <v>42626</v>
      </c>
      <c r="S100" t="s">
        <v>196</v>
      </c>
      <c r="T100">
        <v>1</v>
      </c>
      <c r="U100" t="s">
        <v>128</v>
      </c>
      <c r="V100">
        <v>1</v>
      </c>
      <c r="W100">
        <v>1</v>
      </c>
      <c r="X100">
        <v>1</v>
      </c>
      <c r="Y100">
        <v>1</v>
      </c>
      <c r="Z100">
        <v>1</v>
      </c>
      <c r="AA100" t="s">
        <v>2730</v>
      </c>
      <c r="AB100" t="s">
        <v>2732</v>
      </c>
      <c r="AC100" t="s">
        <v>2730</v>
      </c>
      <c r="AD100" t="s">
        <v>2730</v>
      </c>
      <c r="AE100" t="s">
        <v>2730</v>
      </c>
      <c r="AF100" t="s">
        <v>2730</v>
      </c>
      <c r="AG100" t="s">
        <v>2730</v>
      </c>
      <c r="AH100" t="s">
        <v>2730</v>
      </c>
    </row>
    <row r="101" spans="1:34">
      <c r="A101" s="149" t="str">
        <f>HYPERLINK("http://www.ofsted.gov.uk/inspection-reports/find-inspection-report/provider/ELS/107793 ","Ofsted School Webpage")</f>
        <v>Ofsted School Webpage</v>
      </c>
      <c r="B101">
        <v>107793</v>
      </c>
      <c r="C101">
        <v>3826016</v>
      </c>
      <c r="D101" t="s">
        <v>2306</v>
      </c>
      <c r="E101" t="s">
        <v>37</v>
      </c>
      <c r="F101" t="s">
        <v>184</v>
      </c>
      <c r="G101" t="s">
        <v>223</v>
      </c>
      <c r="H101" t="s">
        <v>2729</v>
      </c>
      <c r="I101" t="s">
        <v>2730</v>
      </c>
      <c r="J101" t="s">
        <v>186</v>
      </c>
      <c r="K101" t="s">
        <v>245</v>
      </c>
      <c r="L101" t="s">
        <v>246</v>
      </c>
      <c r="M101" t="s">
        <v>768</v>
      </c>
      <c r="N101" t="s">
        <v>2307</v>
      </c>
      <c r="O101">
        <v>10012841</v>
      </c>
      <c r="P101" s="120">
        <v>42487</v>
      </c>
      <c r="Q101" s="120">
        <v>42489</v>
      </c>
      <c r="R101" s="120">
        <v>42641</v>
      </c>
      <c r="S101" t="s">
        <v>196</v>
      </c>
      <c r="T101">
        <v>4</v>
      </c>
      <c r="U101" t="s">
        <v>129</v>
      </c>
      <c r="V101">
        <v>4</v>
      </c>
      <c r="W101">
        <v>4</v>
      </c>
      <c r="X101">
        <v>2</v>
      </c>
      <c r="Y101">
        <v>2</v>
      </c>
      <c r="Z101" t="s">
        <v>2730</v>
      </c>
      <c r="AA101" t="s">
        <v>2730</v>
      </c>
      <c r="AB101" t="s">
        <v>2733</v>
      </c>
      <c r="AC101">
        <v>10031461</v>
      </c>
      <c r="AD101" t="s">
        <v>187</v>
      </c>
      <c r="AE101" s="120">
        <v>42817</v>
      </c>
      <c r="AF101" t="s">
        <v>2769</v>
      </c>
      <c r="AG101" s="120">
        <v>42860</v>
      </c>
      <c r="AH101" t="s">
        <v>217</v>
      </c>
    </row>
    <row r="102" spans="1:34">
      <c r="A102" s="149" t="str">
        <f>HYPERLINK("http://www.ofsted.gov.uk/inspection-reports/find-inspection-report/provider/ELS/101575 ","Ofsted School Webpage")</f>
        <v>Ofsted School Webpage</v>
      </c>
      <c r="B102">
        <v>101575</v>
      </c>
      <c r="C102">
        <v>3046069</v>
      </c>
      <c r="D102" t="s">
        <v>2308</v>
      </c>
      <c r="E102" t="s">
        <v>37</v>
      </c>
      <c r="F102" t="s">
        <v>304</v>
      </c>
      <c r="G102" t="s">
        <v>223</v>
      </c>
      <c r="H102" t="s">
        <v>2729</v>
      </c>
      <c r="I102" t="s">
        <v>2730</v>
      </c>
      <c r="J102" t="s">
        <v>186</v>
      </c>
      <c r="K102" t="s">
        <v>232</v>
      </c>
      <c r="L102" t="s">
        <v>232</v>
      </c>
      <c r="M102" t="s">
        <v>749</v>
      </c>
      <c r="N102" t="s">
        <v>2309</v>
      </c>
      <c r="O102">
        <v>10026716</v>
      </c>
      <c r="P102" s="120">
        <v>42787</v>
      </c>
      <c r="Q102" s="120">
        <v>42789</v>
      </c>
      <c r="R102" s="120">
        <v>42850</v>
      </c>
      <c r="S102" t="s">
        <v>196</v>
      </c>
      <c r="T102">
        <v>1</v>
      </c>
      <c r="U102" t="s">
        <v>128</v>
      </c>
      <c r="V102">
        <v>1</v>
      </c>
      <c r="W102">
        <v>1</v>
      </c>
      <c r="X102">
        <v>1</v>
      </c>
      <c r="Y102">
        <v>1</v>
      </c>
      <c r="Z102" t="s">
        <v>2730</v>
      </c>
      <c r="AA102" t="s">
        <v>2730</v>
      </c>
      <c r="AB102" t="s">
        <v>2732</v>
      </c>
      <c r="AC102" t="s">
        <v>2730</v>
      </c>
      <c r="AD102" t="s">
        <v>2730</v>
      </c>
      <c r="AE102" t="s">
        <v>2730</v>
      </c>
      <c r="AF102" t="s">
        <v>2730</v>
      </c>
      <c r="AG102" t="s">
        <v>2730</v>
      </c>
      <c r="AH102" t="s">
        <v>2730</v>
      </c>
    </row>
    <row r="103" spans="1:34">
      <c r="A103" s="149" t="str">
        <f>HYPERLINK("http://www.ofsted.gov.uk/inspection-reports/find-inspection-report/provider/ELS/134422 ","Ofsted School Webpage")</f>
        <v>Ofsted School Webpage</v>
      </c>
      <c r="B103">
        <v>134422</v>
      </c>
      <c r="C103">
        <v>3366024</v>
      </c>
      <c r="D103" t="s">
        <v>2310</v>
      </c>
      <c r="E103" t="s">
        <v>37</v>
      </c>
      <c r="F103" t="s">
        <v>223</v>
      </c>
      <c r="G103" t="s">
        <v>223</v>
      </c>
      <c r="H103" t="s">
        <v>2729</v>
      </c>
      <c r="I103" t="s">
        <v>2730</v>
      </c>
      <c r="J103" t="s">
        <v>186</v>
      </c>
      <c r="K103" t="s">
        <v>193</v>
      </c>
      <c r="L103" t="s">
        <v>193</v>
      </c>
      <c r="M103" t="s">
        <v>2311</v>
      </c>
      <c r="N103" t="s">
        <v>2312</v>
      </c>
      <c r="O103">
        <v>10025695</v>
      </c>
      <c r="P103" s="120">
        <v>42871</v>
      </c>
      <c r="Q103" s="120">
        <v>42873</v>
      </c>
      <c r="R103" s="120">
        <v>42923</v>
      </c>
      <c r="S103" t="s">
        <v>196</v>
      </c>
      <c r="T103">
        <v>4</v>
      </c>
      <c r="U103" t="s">
        <v>129</v>
      </c>
      <c r="V103">
        <v>4</v>
      </c>
      <c r="W103">
        <v>3</v>
      </c>
      <c r="X103">
        <v>3</v>
      </c>
      <c r="Y103">
        <v>3</v>
      </c>
      <c r="Z103">
        <v>3</v>
      </c>
      <c r="AA103" t="s">
        <v>2730</v>
      </c>
      <c r="AB103" t="s">
        <v>2733</v>
      </c>
      <c r="AC103" t="s">
        <v>2730</v>
      </c>
      <c r="AD103" t="s">
        <v>2730</v>
      </c>
      <c r="AE103" s="120" t="s">
        <v>2730</v>
      </c>
      <c r="AF103" t="s">
        <v>2730</v>
      </c>
      <c r="AG103" s="120" t="s">
        <v>2730</v>
      </c>
      <c r="AH103" t="s">
        <v>2730</v>
      </c>
    </row>
    <row r="104" spans="1:34">
      <c r="A104" s="149" t="str">
        <f>HYPERLINK("http://www.ofsted.gov.uk/inspection-reports/find-inspection-report/provider/ELS/134084 ","Ofsted School Webpage")</f>
        <v>Ofsted School Webpage</v>
      </c>
      <c r="B104">
        <v>134084</v>
      </c>
      <c r="C104">
        <v>3096087</v>
      </c>
      <c r="D104" t="s">
        <v>228</v>
      </c>
      <c r="E104" t="s">
        <v>37</v>
      </c>
      <c r="F104" t="s">
        <v>184</v>
      </c>
      <c r="G104" t="s">
        <v>223</v>
      </c>
      <c r="H104" t="s">
        <v>2729</v>
      </c>
      <c r="I104" t="s">
        <v>2730</v>
      </c>
      <c r="J104" t="s">
        <v>186</v>
      </c>
      <c r="K104" t="s">
        <v>232</v>
      </c>
      <c r="L104" t="s">
        <v>232</v>
      </c>
      <c r="M104" t="s">
        <v>697</v>
      </c>
      <c r="N104" t="s">
        <v>2313</v>
      </c>
      <c r="O104" t="s">
        <v>2314</v>
      </c>
      <c r="P104" s="120">
        <v>42171</v>
      </c>
      <c r="Q104" s="120">
        <v>42173</v>
      </c>
      <c r="R104" s="120">
        <v>42255</v>
      </c>
      <c r="S104" t="s">
        <v>196</v>
      </c>
      <c r="T104">
        <v>3</v>
      </c>
      <c r="U104" t="s">
        <v>2730</v>
      </c>
      <c r="V104">
        <v>2</v>
      </c>
      <c r="W104" t="s">
        <v>2730</v>
      </c>
      <c r="X104">
        <v>3</v>
      </c>
      <c r="Y104">
        <v>3</v>
      </c>
      <c r="Z104">
        <v>3</v>
      </c>
      <c r="AA104">
        <v>9</v>
      </c>
      <c r="AB104" t="s">
        <v>2730</v>
      </c>
      <c r="AC104" t="s">
        <v>2730</v>
      </c>
      <c r="AD104" t="s">
        <v>2730</v>
      </c>
      <c r="AE104" s="120" t="s">
        <v>2730</v>
      </c>
      <c r="AF104" t="s">
        <v>2730</v>
      </c>
      <c r="AG104" s="120" t="s">
        <v>2730</v>
      </c>
      <c r="AH104" t="s">
        <v>2730</v>
      </c>
    </row>
    <row r="105" spans="1:34">
      <c r="A105" s="149" t="str">
        <f>HYPERLINK("http://www.ofsted.gov.uk/inspection-reports/find-inspection-report/provider/ELS/140491 ","Ofsted School Webpage")</f>
        <v>Ofsted School Webpage</v>
      </c>
      <c r="B105">
        <v>140491</v>
      </c>
      <c r="C105">
        <v>3556001</v>
      </c>
      <c r="D105" t="s">
        <v>1549</v>
      </c>
      <c r="E105" t="s">
        <v>37</v>
      </c>
      <c r="F105" t="s">
        <v>184</v>
      </c>
      <c r="G105" t="s">
        <v>318</v>
      </c>
      <c r="H105" t="s">
        <v>2729</v>
      </c>
      <c r="I105" t="s">
        <v>2730</v>
      </c>
      <c r="J105" t="s">
        <v>186</v>
      </c>
      <c r="K105" t="s">
        <v>205</v>
      </c>
      <c r="L105" t="s">
        <v>205</v>
      </c>
      <c r="M105" t="s">
        <v>853</v>
      </c>
      <c r="N105" t="s">
        <v>1550</v>
      </c>
      <c r="O105">
        <v>10026019</v>
      </c>
      <c r="P105" s="120">
        <v>42780</v>
      </c>
      <c r="Q105" s="120">
        <v>42782</v>
      </c>
      <c r="R105" s="120">
        <v>42817</v>
      </c>
      <c r="S105" t="s">
        <v>196</v>
      </c>
      <c r="T105">
        <v>4</v>
      </c>
      <c r="U105" t="s">
        <v>128</v>
      </c>
      <c r="V105">
        <v>4</v>
      </c>
      <c r="W105">
        <v>2</v>
      </c>
      <c r="X105">
        <v>4</v>
      </c>
      <c r="Y105">
        <v>4</v>
      </c>
      <c r="Z105">
        <v>4</v>
      </c>
      <c r="AA105" t="s">
        <v>2730</v>
      </c>
      <c r="AB105" t="s">
        <v>2733</v>
      </c>
      <c r="AC105" t="s">
        <v>2730</v>
      </c>
      <c r="AD105" t="s">
        <v>2730</v>
      </c>
      <c r="AE105" t="s">
        <v>2730</v>
      </c>
      <c r="AF105" t="s">
        <v>2730</v>
      </c>
      <c r="AG105" t="s">
        <v>2730</v>
      </c>
      <c r="AH105" t="s">
        <v>2730</v>
      </c>
    </row>
    <row r="106" spans="1:34">
      <c r="A106" s="149" t="str">
        <f>HYPERLINK("http://www.ofsted.gov.uk/inspection-reports/find-inspection-report/provider/ELS/136259 ","Ofsted School Webpage")</f>
        <v>Ofsted School Webpage</v>
      </c>
      <c r="B106">
        <v>136259</v>
      </c>
      <c r="C106">
        <v>8066002</v>
      </c>
      <c r="D106" t="s">
        <v>3023</v>
      </c>
      <c r="E106" t="s">
        <v>37</v>
      </c>
      <c r="F106" t="s">
        <v>184</v>
      </c>
      <c r="G106" t="s">
        <v>184</v>
      </c>
      <c r="H106" t="s">
        <v>2729</v>
      </c>
      <c r="I106" t="s">
        <v>2730</v>
      </c>
      <c r="J106" t="s">
        <v>186</v>
      </c>
      <c r="K106" t="s">
        <v>245</v>
      </c>
      <c r="L106" t="s">
        <v>277</v>
      </c>
      <c r="M106" t="s">
        <v>1090</v>
      </c>
      <c r="N106" t="s">
        <v>2359</v>
      </c>
      <c r="O106" t="s">
        <v>2360</v>
      </c>
      <c r="P106" s="120">
        <v>42059</v>
      </c>
      <c r="Q106" s="120">
        <v>42061</v>
      </c>
      <c r="R106" s="120">
        <v>42110</v>
      </c>
      <c r="S106" t="s">
        <v>196</v>
      </c>
      <c r="T106">
        <v>2</v>
      </c>
      <c r="U106" t="s">
        <v>2730</v>
      </c>
      <c r="V106">
        <v>2</v>
      </c>
      <c r="W106" t="s">
        <v>2730</v>
      </c>
      <c r="X106">
        <v>2</v>
      </c>
      <c r="Y106">
        <v>2</v>
      </c>
      <c r="Z106">
        <v>9</v>
      </c>
      <c r="AA106">
        <v>9</v>
      </c>
      <c r="AB106" t="s">
        <v>2730</v>
      </c>
      <c r="AC106" t="s">
        <v>2730</v>
      </c>
      <c r="AD106" t="s">
        <v>2730</v>
      </c>
      <c r="AE106" t="s">
        <v>2730</v>
      </c>
      <c r="AF106" t="s">
        <v>2730</v>
      </c>
      <c r="AG106" t="s">
        <v>2730</v>
      </c>
      <c r="AH106" t="s">
        <v>2730</v>
      </c>
    </row>
    <row r="107" spans="1:34">
      <c r="A107" s="149" t="str">
        <f>HYPERLINK("http://www.ofsted.gov.uk/inspection-reports/find-inspection-report/provider/ELS/135334 ","Ofsted School Webpage")</f>
        <v>Ofsted School Webpage</v>
      </c>
      <c r="B107">
        <v>135334</v>
      </c>
      <c r="C107">
        <v>3106083</v>
      </c>
      <c r="D107" t="s">
        <v>2361</v>
      </c>
      <c r="E107" t="s">
        <v>37</v>
      </c>
      <c r="F107" t="s">
        <v>184</v>
      </c>
      <c r="G107" t="s">
        <v>184</v>
      </c>
      <c r="H107" t="s">
        <v>2729</v>
      </c>
      <c r="I107" t="s">
        <v>2730</v>
      </c>
      <c r="J107" t="s">
        <v>186</v>
      </c>
      <c r="K107" t="s">
        <v>232</v>
      </c>
      <c r="L107" t="s">
        <v>232</v>
      </c>
      <c r="M107" t="s">
        <v>1672</v>
      </c>
      <c r="N107" t="s">
        <v>2362</v>
      </c>
      <c r="O107" t="s">
        <v>2363</v>
      </c>
      <c r="P107" s="120">
        <v>42081</v>
      </c>
      <c r="Q107" s="120">
        <v>42083</v>
      </c>
      <c r="R107" s="120">
        <v>42121</v>
      </c>
      <c r="S107" t="s">
        <v>196</v>
      </c>
      <c r="T107">
        <v>2</v>
      </c>
      <c r="U107" t="s">
        <v>2730</v>
      </c>
      <c r="V107">
        <v>2</v>
      </c>
      <c r="W107" t="s">
        <v>2730</v>
      </c>
      <c r="X107">
        <v>2</v>
      </c>
      <c r="Y107">
        <v>2</v>
      </c>
      <c r="Z107">
        <v>9</v>
      </c>
      <c r="AA107">
        <v>2</v>
      </c>
      <c r="AB107" t="s">
        <v>2730</v>
      </c>
      <c r="AC107" t="s">
        <v>2730</v>
      </c>
      <c r="AD107" t="s">
        <v>2730</v>
      </c>
      <c r="AE107" t="s">
        <v>2730</v>
      </c>
      <c r="AF107" t="s">
        <v>2730</v>
      </c>
      <c r="AG107" t="s">
        <v>2730</v>
      </c>
      <c r="AH107" t="s">
        <v>2730</v>
      </c>
    </row>
    <row r="108" spans="1:34">
      <c r="A108" s="149" t="str">
        <f>HYPERLINK("http://www.ofsted.gov.uk/inspection-reports/find-inspection-report/provider/ELS/141242 ","Ofsted School Webpage")</f>
        <v>Ofsted School Webpage</v>
      </c>
      <c r="B108">
        <v>141242</v>
      </c>
      <c r="C108">
        <v>3306017</v>
      </c>
      <c r="D108" t="s">
        <v>2364</v>
      </c>
      <c r="E108" t="s">
        <v>37</v>
      </c>
      <c r="F108" t="s">
        <v>184</v>
      </c>
      <c r="G108" t="s">
        <v>184</v>
      </c>
      <c r="H108" t="s">
        <v>2729</v>
      </c>
      <c r="I108" t="s">
        <v>2730</v>
      </c>
      <c r="J108" t="s">
        <v>186</v>
      </c>
      <c r="K108" t="s">
        <v>193</v>
      </c>
      <c r="L108" t="s">
        <v>193</v>
      </c>
      <c r="M108" t="s">
        <v>210</v>
      </c>
      <c r="N108" t="s">
        <v>2365</v>
      </c>
      <c r="O108" t="s">
        <v>2366</v>
      </c>
      <c r="P108" s="120">
        <v>42130</v>
      </c>
      <c r="Q108" s="120">
        <v>42131</v>
      </c>
      <c r="R108" s="120">
        <v>42160</v>
      </c>
      <c r="S108" t="s">
        <v>249</v>
      </c>
      <c r="T108">
        <v>2</v>
      </c>
      <c r="U108" t="s">
        <v>2730</v>
      </c>
      <c r="V108">
        <v>2</v>
      </c>
      <c r="W108" t="s">
        <v>2730</v>
      </c>
      <c r="X108">
        <v>2</v>
      </c>
      <c r="Y108">
        <v>2</v>
      </c>
      <c r="Z108">
        <v>9</v>
      </c>
      <c r="AA108">
        <v>9</v>
      </c>
      <c r="AB108" t="s">
        <v>2730</v>
      </c>
      <c r="AC108" t="s">
        <v>2730</v>
      </c>
      <c r="AD108" t="s">
        <v>2730</v>
      </c>
      <c r="AE108" s="120" t="s">
        <v>2730</v>
      </c>
      <c r="AF108" t="s">
        <v>2730</v>
      </c>
      <c r="AG108" s="120" t="s">
        <v>2730</v>
      </c>
      <c r="AH108" t="s">
        <v>2730</v>
      </c>
    </row>
    <row r="109" spans="1:34">
      <c r="A109" s="149" t="str">
        <f>HYPERLINK("http://www.ofsted.gov.uk/inspection-reports/find-inspection-report/provider/ELS/134905 ","Ofsted School Webpage")</f>
        <v>Ofsted School Webpage</v>
      </c>
      <c r="B109">
        <v>134905</v>
      </c>
      <c r="C109">
        <v>8566019</v>
      </c>
      <c r="D109" t="s">
        <v>2055</v>
      </c>
      <c r="E109" t="s">
        <v>37</v>
      </c>
      <c r="F109" t="s">
        <v>184</v>
      </c>
      <c r="G109" t="s">
        <v>223</v>
      </c>
      <c r="H109" t="s">
        <v>2729</v>
      </c>
      <c r="I109" t="s">
        <v>2730</v>
      </c>
      <c r="J109" t="s">
        <v>186</v>
      </c>
      <c r="K109" t="s">
        <v>214</v>
      </c>
      <c r="L109" t="s">
        <v>214</v>
      </c>
      <c r="M109" t="s">
        <v>330</v>
      </c>
      <c r="N109" t="s">
        <v>2056</v>
      </c>
      <c r="O109">
        <v>10020836</v>
      </c>
      <c r="P109" s="120">
        <v>42920</v>
      </c>
      <c r="Q109" s="120">
        <v>42922</v>
      </c>
      <c r="R109" s="120">
        <v>42998</v>
      </c>
      <c r="S109" t="s">
        <v>196</v>
      </c>
      <c r="T109">
        <v>4</v>
      </c>
      <c r="U109" t="s">
        <v>129</v>
      </c>
      <c r="V109">
        <v>4</v>
      </c>
      <c r="W109">
        <v>4</v>
      </c>
      <c r="X109">
        <v>3</v>
      </c>
      <c r="Y109">
        <v>3</v>
      </c>
      <c r="Z109" t="s">
        <v>2730</v>
      </c>
      <c r="AA109" t="s">
        <v>2730</v>
      </c>
      <c r="AB109" t="s">
        <v>2733</v>
      </c>
      <c r="AC109" t="s">
        <v>2730</v>
      </c>
      <c r="AD109" t="s">
        <v>2730</v>
      </c>
      <c r="AE109" t="s">
        <v>2730</v>
      </c>
      <c r="AF109" t="s">
        <v>2730</v>
      </c>
      <c r="AG109" t="s">
        <v>2730</v>
      </c>
      <c r="AH109" t="s">
        <v>2730</v>
      </c>
    </row>
    <row r="110" spans="1:34">
      <c r="A110" s="149" t="str">
        <f>HYPERLINK("http://www.ofsted.gov.uk/inspection-reports/find-inspection-report/provider/ELS/120335 ","Ofsted School Webpage")</f>
        <v>Ofsted School Webpage</v>
      </c>
      <c r="B110">
        <v>120335</v>
      </c>
      <c r="C110">
        <v>8566007</v>
      </c>
      <c r="D110" t="s">
        <v>2057</v>
      </c>
      <c r="E110" t="s">
        <v>37</v>
      </c>
      <c r="F110" t="s">
        <v>304</v>
      </c>
      <c r="G110" t="s">
        <v>223</v>
      </c>
      <c r="H110" t="s">
        <v>2729</v>
      </c>
      <c r="I110" t="s">
        <v>2730</v>
      </c>
      <c r="J110" t="s">
        <v>186</v>
      </c>
      <c r="K110" t="s">
        <v>214</v>
      </c>
      <c r="L110" t="s">
        <v>214</v>
      </c>
      <c r="M110" t="s">
        <v>330</v>
      </c>
      <c r="N110" t="s">
        <v>2058</v>
      </c>
      <c r="O110">
        <v>10039180</v>
      </c>
      <c r="P110" s="120">
        <v>43060</v>
      </c>
      <c r="Q110" s="120">
        <v>43062</v>
      </c>
      <c r="R110" s="120">
        <v>43081</v>
      </c>
      <c r="S110" t="s">
        <v>196</v>
      </c>
      <c r="T110">
        <v>2</v>
      </c>
      <c r="U110" t="s">
        <v>128</v>
      </c>
      <c r="V110">
        <v>2</v>
      </c>
      <c r="W110">
        <v>2</v>
      </c>
      <c r="X110">
        <v>2</v>
      </c>
      <c r="Y110">
        <v>2</v>
      </c>
      <c r="Z110">
        <v>2</v>
      </c>
      <c r="AA110" t="s">
        <v>2730</v>
      </c>
      <c r="AB110" t="s">
        <v>2732</v>
      </c>
      <c r="AC110" t="s">
        <v>2730</v>
      </c>
      <c r="AD110" t="s">
        <v>2730</v>
      </c>
      <c r="AE110" t="s">
        <v>2730</v>
      </c>
      <c r="AF110" t="s">
        <v>2730</v>
      </c>
      <c r="AG110" t="s">
        <v>2730</v>
      </c>
      <c r="AH110" t="s">
        <v>2730</v>
      </c>
    </row>
    <row r="111" spans="1:34">
      <c r="A111" s="149" t="str">
        <f>HYPERLINK("http://www.ofsted.gov.uk/inspection-reports/find-inspection-report/provider/ELS/120329 ","Ofsted School Webpage")</f>
        <v>Ofsted School Webpage</v>
      </c>
      <c r="B111">
        <v>120329</v>
      </c>
      <c r="C111">
        <v>8566003</v>
      </c>
      <c r="D111" t="s">
        <v>2059</v>
      </c>
      <c r="E111" t="s">
        <v>37</v>
      </c>
      <c r="F111" t="s">
        <v>184</v>
      </c>
      <c r="G111" t="s">
        <v>184</v>
      </c>
      <c r="H111" t="s">
        <v>2729</v>
      </c>
      <c r="I111" t="s">
        <v>2730</v>
      </c>
      <c r="J111" t="s">
        <v>186</v>
      </c>
      <c r="K111" t="s">
        <v>214</v>
      </c>
      <c r="L111" t="s">
        <v>214</v>
      </c>
      <c r="M111" t="s">
        <v>330</v>
      </c>
      <c r="N111" t="s">
        <v>2060</v>
      </c>
      <c r="O111" t="s">
        <v>2061</v>
      </c>
      <c r="P111" s="120">
        <v>42123</v>
      </c>
      <c r="Q111" s="120">
        <v>42125</v>
      </c>
      <c r="R111" s="120">
        <v>42158</v>
      </c>
      <c r="S111" t="s">
        <v>196</v>
      </c>
      <c r="T111">
        <v>2</v>
      </c>
      <c r="U111" t="s">
        <v>2730</v>
      </c>
      <c r="V111">
        <v>2</v>
      </c>
      <c r="W111" t="s">
        <v>2730</v>
      </c>
      <c r="X111">
        <v>2</v>
      </c>
      <c r="Y111">
        <v>2</v>
      </c>
      <c r="Z111">
        <v>1</v>
      </c>
      <c r="AA111">
        <v>9</v>
      </c>
      <c r="AB111" t="s">
        <v>2730</v>
      </c>
      <c r="AC111" t="s">
        <v>2730</v>
      </c>
      <c r="AD111" t="s">
        <v>2730</v>
      </c>
      <c r="AE111" t="s">
        <v>2730</v>
      </c>
      <c r="AF111" t="s">
        <v>2730</v>
      </c>
      <c r="AG111" t="s">
        <v>2730</v>
      </c>
      <c r="AH111" t="s">
        <v>2730</v>
      </c>
    </row>
    <row r="112" spans="1:34">
      <c r="A112" s="149" t="str">
        <f>HYPERLINK("http://www.ofsted.gov.uk/inspection-reports/find-inspection-report/provider/ELS/101087 ","Ofsted School Webpage")</f>
        <v>Ofsted School Webpage</v>
      </c>
      <c r="B112">
        <v>101087</v>
      </c>
      <c r="C112">
        <v>2126391</v>
      </c>
      <c r="D112" t="s">
        <v>2369</v>
      </c>
      <c r="E112" t="s">
        <v>37</v>
      </c>
      <c r="F112" t="s">
        <v>184</v>
      </c>
      <c r="G112" t="s">
        <v>184</v>
      </c>
      <c r="H112" t="s">
        <v>2729</v>
      </c>
      <c r="I112" t="s">
        <v>2730</v>
      </c>
      <c r="J112" t="s">
        <v>186</v>
      </c>
      <c r="K112" t="s">
        <v>232</v>
      </c>
      <c r="L112" t="s">
        <v>232</v>
      </c>
      <c r="M112" t="s">
        <v>435</v>
      </c>
      <c r="N112" t="s">
        <v>2370</v>
      </c>
      <c r="O112" t="s">
        <v>2371</v>
      </c>
      <c r="P112" s="120">
        <v>41779</v>
      </c>
      <c r="Q112" s="120">
        <v>41781</v>
      </c>
      <c r="R112" s="120">
        <v>41801</v>
      </c>
      <c r="S112" t="s">
        <v>196</v>
      </c>
      <c r="T112">
        <v>1</v>
      </c>
      <c r="U112" t="s">
        <v>2730</v>
      </c>
      <c r="V112">
        <v>1</v>
      </c>
      <c r="W112" t="s">
        <v>2730</v>
      </c>
      <c r="X112">
        <v>1</v>
      </c>
      <c r="Y112">
        <v>1</v>
      </c>
      <c r="Z112" t="s">
        <v>2730</v>
      </c>
      <c r="AA112" t="s">
        <v>2730</v>
      </c>
      <c r="AB112" t="s">
        <v>2730</v>
      </c>
      <c r="AC112" t="s">
        <v>2730</v>
      </c>
      <c r="AD112" t="s">
        <v>2730</v>
      </c>
      <c r="AE112" t="s">
        <v>2730</v>
      </c>
      <c r="AF112" t="s">
        <v>2730</v>
      </c>
      <c r="AG112" t="s">
        <v>2730</v>
      </c>
      <c r="AH112" t="s">
        <v>2730</v>
      </c>
    </row>
    <row r="113" spans="1:34">
      <c r="A113" s="149" t="str">
        <f>HYPERLINK("http://www.ofsted.gov.uk/inspection-reports/find-inspection-report/provider/ELS/103587 ","Ofsted School Webpage")</f>
        <v>Ofsted School Webpage</v>
      </c>
      <c r="B113">
        <v>103587</v>
      </c>
      <c r="C113">
        <v>3306079</v>
      </c>
      <c r="D113" t="s">
        <v>719</v>
      </c>
      <c r="E113" t="s">
        <v>37</v>
      </c>
      <c r="F113" t="s">
        <v>184</v>
      </c>
      <c r="G113" t="s">
        <v>184</v>
      </c>
      <c r="H113" t="s">
        <v>2729</v>
      </c>
      <c r="I113" t="s">
        <v>2730</v>
      </c>
      <c r="J113" t="s">
        <v>186</v>
      </c>
      <c r="K113" t="s">
        <v>193</v>
      </c>
      <c r="L113" t="s">
        <v>193</v>
      </c>
      <c r="M113" t="s">
        <v>210</v>
      </c>
      <c r="N113" t="s">
        <v>720</v>
      </c>
      <c r="O113" t="s">
        <v>721</v>
      </c>
      <c r="P113" s="120">
        <v>41906</v>
      </c>
      <c r="Q113" s="120">
        <v>41908</v>
      </c>
      <c r="R113" s="120">
        <v>41929</v>
      </c>
      <c r="S113" t="s">
        <v>196</v>
      </c>
      <c r="T113">
        <v>1</v>
      </c>
      <c r="U113" t="s">
        <v>2730</v>
      </c>
      <c r="V113">
        <v>1</v>
      </c>
      <c r="W113" t="s">
        <v>2730</v>
      </c>
      <c r="X113">
        <v>1</v>
      </c>
      <c r="Y113">
        <v>1</v>
      </c>
      <c r="Z113" t="s">
        <v>2730</v>
      </c>
      <c r="AA113" t="s">
        <v>2730</v>
      </c>
      <c r="AB113" t="s">
        <v>2730</v>
      </c>
      <c r="AC113" t="s">
        <v>2730</v>
      </c>
      <c r="AD113" t="s">
        <v>2730</v>
      </c>
      <c r="AE113" t="s">
        <v>2730</v>
      </c>
      <c r="AF113" t="s">
        <v>2730</v>
      </c>
      <c r="AG113" t="s">
        <v>2730</v>
      </c>
      <c r="AH113" t="s">
        <v>2730</v>
      </c>
    </row>
    <row r="114" spans="1:34">
      <c r="A114" s="149" t="str">
        <f>HYPERLINK("http://www.ofsted.gov.uk/inspection-reports/find-inspection-report/provider/ELS/131770 ","Ofsted School Webpage")</f>
        <v>Ofsted School Webpage</v>
      </c>
      <c r="B114">
        <v>131770</v>
      </c>
      <c r="C114">
        <v>3066090</v>
      </c>
      <c r="D114" t="s">
        <v>722</v>
      </c>
      <c r="E114" t="s">
        <v>37</v>
      </c>
      <c r="F114" t="s">
        <v>184</v>
      </c>
      <c r="G114" t="s">
        <v>184</v>
      </c>
      <c r="H114" t="s">
        <v>2729</v>
      </c>
      <c r="I114" t="s">
        <v>2730</v>
      </c>
      <c r="J114" t="s">
        <v>186</v>
      </c>
      <c r="K114" t="s">
        <v>232</v>
      </c>
      <c r="L114" t="s">
        <v>232</v>
      </c>
      <c r="M114" t="s">
        <v>723</v>
      </c>
      <c r="N114" t="s">
        <v>724</v>
      </c>
      <c r="O114" t="s">
        <v>725</v>
      </c>
      <c r="P114" s="120">
        <v>41310</v>
      </c>
      <c r="Q114" s="120">
        <v>41312</v>
      </c>
      <c r="R114" s="120">
        <v>41333</v>
      </c>
      <c r="S114" t="s">
        <v>196</v>
      </c>
      <c r="T114">
        <v>2</v>
      </c>
      <c r="U114" t="s">
        <v>2730</v>
      </c>
      <c r="V114">
        <v>2</v>
      </c>
      <c r="W114" t="s">
        <v>2730</v>
      </c>
      <c r="X114">
        <v>2</v>
      </c>
      <c r="Y114">
        <v>2</v>
      </c>
      <c r="Z114" t="s">
        <v>2730</v>
      </c>
      <c r="AA114" t="s">
        <v>2730</v>
      </c>
      <c r="AB114" t="s">
        <v>2730</v>
      </c>
      <c r="AC114" t="s">
        <v>2730</v>
      </c>
      <c r="AD114" t="s">
        <v>2730</v>
      </c>
      <c r="AE114" t="s">
        <v>2730</v>
      </c>
      <c r="AF114" t="s">
        <v>2730</v>
      </c>
      <c r="AG114" t="s">
        <v>2730</v>
      </c>
      <c r="AH114" t="s">
        <v>2730</v>
      </c>
    </row>
    <row r="115" spans="1:34">
      <c r="A115" s="149" t="str">
        <f>HYPERLINK("http://www.ofsted.gov.uk/inspection-reports/find-inspection-report/provider/ELS/126536 ","Ofsted School Webpage")</f>
        <v>Ofsted School Webpage</v>
      </c>
      <c r="B115">
        <v>126536</v>
      </c>
      <c r="C115">
        <v>8666001</v>
      </c>
      <c r="D115" t="s">
        <v>726</v>
      </c>
      <c r="E115" t="s">
        <v>37</v>
      </c>
      <c r="F115" t="s">
        <v>184</v>
      </c>
      <c r="G115" t="s">
        <v>212</v>
      </c>
      <c r="H115" t="s">
        <v>2729</v>
      </c>
      <c r="I115" t="s">
        <v>2730</v>
      </c>
      <c r="J115" t="s">
        <v>186</v>
      </c>
      <c r="K115" t="s">
        <v>225</v>
      </c>
      <c r="L115" t="s">
        <v>225</v>
      </c>
      <c r="M115" t="s">
        <v>727</v>
      </c>
      <c r="N115" t="s">
        <v>728</v>
      </c>
      <c r="O115">
        <v>10020791</v>
      </c>
      <c r="P115" s="120">
        <v>42661</v>
      </c>
      <c r="Q115" s="120">
        <v>42663</v>
      </c>
      <c r="R115" s="120">
        <v>42709</v>
      </c>
      <c r="S115" t="s">
        <v>196</v>
      </c>
      <c r="T115">
        <v>4</v>
      </c>
      <c r="U115" t="s">
        <v>129</v>
      </c>
      <c r="V115">
        <v>4</v>
      </c>
      <c r="W115">
        <v>4</v>
      </c>
      <c r="X115">
        <v>3</v>
      </c>
      <c r="Y115">
        <v>3</v>
      </c>
      <c r="Z115">
        <v>4</v>
      </c>
      <c r="AA115" t="s">
        <v>2730</v>
      </c>
      <c r="AB115" t="s">
        <v>2733</v>
      </c>
      <c r="AC115">
        <v>10034719</v>
      </c>
      <c r="AD115" t="s">
        <v>187</v>
      </c>
      <c r="AE115" s="120">
        <v>42928</v>
      </c>
      <c r="AF115" t="s">
        <v>2769</v>
      </c>
      <c r="AG115" s="120">
        <v>42996</v>
      </c>
      <c r="AH115" t="s">
        <v>217</v>
      </c>
    </row>
    <row r="116" spans="1:34">
      <c r="A116" s="149" t="str">
        <f>HYPERLINK("http://www.ofsted.gov.uk/inspection-reports/find-inspection-report/provider/ELS/135901 ","Ofsted School Webpage")</f>
        <v>Ofsted School Webpage</v>
      </c>
      <c r="B116">
        <v>135901</v>
      </c>
      <c r="C116">
        <v>2096409</v>
      </c>
      <c r="D116" t="s">
        <v>1685</v>
      </c>
      <c r="E116" t="s">
        <v>37</v>
      </c>
      <c r="F116" t="s">
        <v>184</v>
      </c>
      <c r="G116" t="s">
        <v>184</v>
      </c>
      <c r="H116" t="s">
        <v>2729</v>
      </c>
      <c r="I116" t="s">
        <v>2730</v>
      </c>
      <c r="J116" t="s">
        <v>186</v>
      </c>
      <c r="K116" t="s">
        <v>232</v>
      </c>
      <c r="L116" t="s">
        <v>232</v>
      </c>
      <c r="M116" t="s">
        <v>529</v>
      </c>
      <c r="N116" t="s">
        <v>1686</v>
      </c>
      <c r="O116">
        <v>10020714</v>
      </c>
      <c r="P116" s="120">
        <v>42815</v>
      </c>
      <c r="Q116" s="120">
        <v>42817</v>
      </c>
      <c r="R116" s="120">
        <v>42905</v>
      </c>
      <c r="S116" t="s">
        <v>267</v>
      </c>
      <c r="T116">
        <v>3</v>
      </c>
      <c r="U116" t="s">
        <v>128</v>
      </c>
      <c r="V116">
        <v>3</v>
      </c>
      <c r="W116">
        <v>2</v>
      </c>
      <c r="X116">
        <v>3</v>
      </c>
      <c r="Y116">
        <v>3</v>
      </c>
      <c r="Z116" t="s">
        <v>2730</v>
      </c>
      <c r="AA116" t="s">
        <v>2730</v>
      </c>
      <c r="AB116" t="s">
        <v>2732</v>
      </c>
      <c r="AC116" t="s">
        <v>2730</v>
      </c>
      <c r="AD116" t="s">
        <v>2730</v>
      </c>
      <c r="AE116" s="120" t="s">
        <v>2730</v>
      </c>
      <c r="AF116" t="s">
        <v>2730</v>
      </c>
      <c r="AG116" s="120" t="s">
        <v>2730</v>
      </c>
      <c r="AH116" t="s">
        <v>2730</v>
      </c>
    </row>
    <row r="117" spans="1:34">
      <c r="A117" s="149" t="str">
        <f>HYPERLINK("http://www.ofsted.gov.uk/inspection-reports/find-inspection-report/provider/ELS/133517 ","Ofsted School Webpage")</f>
        <v>Ofsted School Webpage</v>
      </c>
      <c r="B117">
        <v>133517</v>
      </c>
      <c r="C117">
        <v>3206061</v>
      </c>
      <c r="D117" t="s">
        <v>2386</v>
      </c>
      <c r="E117" t="s">
        <v>37</v>
      </c>
      <c r="F117" t="s">
        <v>304</v>
      </c>
      <c r="G117" t="s">
        <v>223</v>
      </c>
      <c r="H117" t="s">
        <v>2729</v>
      </c>
      <c r="I117" t="s">
        <v>2730</v>
      </c>
      <c r="J117" t="s">
        <v>186</v>
      </c>
      <c r="K117" t="s">
        <v>232</v>
      </c>
      <c r="L117" t="s">
        <v>232</v>
      </c>
      <c r="M117" t="s">
        <v>709</v>
      </c>
      <c r="N117" t="s">
        <v>2387</v>
      </c>
      <c r="O117" t="s">
        <v>2388</v>
      </c>
      <c r="P117" s="120">
        <v>40689</v>
      </c>
      <c r="Q117" s="120">
        <v>40689</v>
      </c>
      <c r="R117" s="120">
        <v>40722</v>
      </c>
      <c r="S117" t="s">
        <v>655</v>
      </c>
      <c r="T117">
        <v>2</v>
      </c>
      <c r="U117" t="s">
        <v>2730</v>
      </c>
      <c r="V117" t="s">
        <v>2730</v>
      </c>
      <c r="W117" t="s">
        <v>2730</v>
      </c>
      <c r="X117">
        <v>2</v>
      </c>
      <c r="Y117">
        <v>2</v>
      </c>
      <c r="Z117">
        <v>2</v>
      </c>
      <c r="AA117" t="s">
        <v>2730</v>
      </c>
      <c r="AB117" t="s">
        <v>2730</v>
      </c>
      <c r="AC117" t="s">
        <v>2730</v>
      </c>
      <c r="AD117" t="s">
        <v>2730</v>
      </c>
      <c r="AE117" t="s">
        <v>2730</v>
      </c>
      <c r="AF117" t="s">
        <v>2730</v>
      </c>
      <c r="AG117" t="s">
        <v>2730</v>
      </c>
      <c r="AH117" t="s">
        <v>2730</v>
      </c>
    </row>
    <row r="118" spans="1:34">
      <c r="A118" s="149" t="str">
        <f>HYPERLINK("http://www.ofsted.gov.uk/inspection-reports/find-inspection-report/provider/ELS/141249 ","Ofsted School Webpage")</f>
        <v>Ofsted School Webpage</v>
      </c>
      <c r="B118">
        <v>141249</v>
      </c>
      <c r="C118">
        <v>8506091</v>
      </c>
      <c r="D118" t="s">
        <v>2389</v>
      </c>
      <c r="E118" t="s">
        <v>37</v>
      </c>
      <c r="F118" t="s">
        <v>184</v>
      </c>
      <c r="G118" t="s">
        <v>184</v>
      </c>
      <c r="H118" t="s">
        <v>2729</v>
      </c>
      <c r="I118" t="s">
        <v>2730</v>
      </c>
      <c r="J118" t="s">
        <v>186</v>
      </c>
      <c r="K118" t="s">
        <v>181</v>
      </c>
      <c r="L118" t="s">
        <v>181</v>
      </c>
      <c r="M118" t="s">
        <v>201</v>
      </c>
      <c r="N118" t="s">
        <v>2390</v>
      </c>
      <c r="O118" t="s">
        <v>2391</v>
      </c>
      <c r="P118" s="120">
        <v>42158</v>
      </c>
      <c r="Q118" s="120">
        <v>42160</v>
      </c>
      <c r="R118" s="120">
        <v>42193</v>
      </c>
      <c r="S118" t="s">
        <v>249</v>
      </c>
      <c r="T118">
        <v>2</v>
      </c>
      <c r="U118" t="s">
        <v>2730</v>
      </c>
      <c r="V118">
        <v>2</v>
      </c>
      <c r="W118" t="s">
        <v>2730</v>
      </c>
      <c r="X118">
        <v>2</v>
      </c>
      <c r="Y118">
        <v>2</v>
      </c>
      <c r="Z118">
        <v>2</v>
      </c>
      <c r="AA118">
        <v>9</v>
      </c>
      <c r="AB118" t="s">
        <v>2730</v>
      </c>
      <c r="AC118" t="s">
        <v>2730</v>
      </c>
      <c r="AD118" t="s">
        <v>2730</v>
      </c>
      <c r="AE118" t="s">
        <v>2730</v>
      </c>
      <c r="AF118" t="s">
        <v>2730</v>
      </c>
      <c r="AG118" t="s">
        <v>2730</v>
      </c>
      <c r="AH118" t="s">
        <v>2730</v>
      </c>
    </row>
    <row r="119" spans="1:34">
      <c r="A119" s="149" t="str">
        <f>HYPERLINK("http://www.ofsted.gov.uk/inspection-reports/find-inspection-report/provider/ELS/134294 ","Ofsted School Webpage")</f>
        <v>Ofsted School Webpage</v>
      </c>
      <c r="B119">
        <v>134294</v>
      </c>
      <c r="C119">
        <v>8316006</v>
      </c>
      <c r="D119" t="s">
        <v>419</v>
      </c>
      <c r="E119" t="s">
        <v>37</v>
      </c>
      <c r="F119" t="s">
        <v>304</v>
      </c>
      <c r="G119" t="s">
        <v>223</v>
      </c>
      <c r="H119" t="s">
        <v>2729</v>
      </c>
      <c r="I119" t="s">
        <v>2730</v>
      </c>
      <c r="J119" t="s">
        <v>186</v>
      </c>
      <c r="K119" t="s">
        <v>214</v>
      </c>
      <c r="L119" t="s">
        <v>214</v>
      </c>
      <c r="M119" t="s">
        <v>420</v>
      </c>
      <c r="N119" t="s">
        <v>421</v>
      </c>
      <c r="O119">
        <v>10033532</v>
      </c>
      <c r="P119" s="120">
        <v>43025</v>
      </c>
      <c r="Q119" s="120">
        <v>43027</v>
      </c>
      <c r="R119" s="120">
        <v>43052</v>
      </c>
      <c r="S119" t="s">
        <v>196</v>
      </c>
      <c r="T119">
        <v>3</v>
      </c>
      <c r="U119" t="s">
        <v>128</v>
      </c>
      <c r="V119">
        <v>3</v>
      </c>
      <c r="W119">
        <v>2</v>
      </c>
      <c r="X119">
        <v>3</v>
      </c>
      <c r="Y119">
        <v>3</v>
      </c>
      <c r="Z119">
        <v>3</v>
      </c>
      <c r="AA119" t="s">
        <v>2730</v>
      </c>
      <c r="AB119" t="s">
        <v>2732</v>
      </c>
      <c r="AC119" t="s">
        <v>2730</v>
      </c>
      <c r="AD119" t="s">
        <v>2730</v>
      </c>
      <c r="AE119" t="s">
        <v>2730</v>
      </c>
      <c r="AF119" t="s">
        <v>2730</v>
      </c>
      <c r="AG119" t="s">
        <v>2730</v>
      </c>
      <c r="AH119" t="s">
        <v>2730</v>
      </c>
    </row>
    <row r="120" spans="1:34">
      <c r="A120" s="149" t="str">
        <f>HYPERLINK("http://www.ofsted.gov.uk/inspection-reports/find-inspection-report/provider/ELS/134764 ","Ofsted School Webpage")</f>
        <v>Ofsted School Webpage</v>
      </c>
      <c r="B120">
        <v>134764</v>
      </c>
      <c r="C120">
        <v>3026086</v>
      </c>
      <c r="D120" t="s">
        <v>2392</v>
      </c>
      <c r="E120" t="s">
        <v>37</v>
      </c>
      <c r="F120" t="s">
        <v>184</v>
      </c>
      <c r="G120" t="s">
        <v>184</v>
      </c>
      <c r="H120" t="s">
        <v>2729</v>
      </c>
      <c r="I120" t="s">
        <v>2730</v>
      </c>
      <c r="J120" t="s">
        <v>186</v>
      </c>
      <c r="K120" t="s">
        <v>232</v>
      </c>
      <c r="L120" t="s">
        <v>232</v>
      </c>
      <c r="M120" t="s">
        <v>311</v>
      </c>
      <c r="N120" t="s">
        <v>2393</v>
      </c>
      <c r="O120" t="s">
        <v>2394</v>
      </c>
      <c r="P120" s="120">
        <v>41605</v>
      </c>
      <c r="Q120" s="120">
        <v>41607</v>
      </c>
      <c r="R120" s="120">
        <v>41627</v>
      </c>
      <c r="S120" t="s">
        <v>196</v>
      </c>
      <c r="T120">
        <v>2</v>
      </c>
      <c r="U120" t="s">
        <v>2730</v>
      </c>
      <c r="V120">
        <v>2</v>
      </c>
      <c r="W120" t="s">
        <v>2730</v>
      </c>
      <c r="X120">
        <v>2</v>
      </c>
      <c r="Y120">
        <v>2</v>
      </c>
      <c r="Z120" t="s">
        <v>2730</v>
      </c>
      <c r="AA120" t="s">
        <v>2730</v>
      </c>
      <c r="AB120" t="s">
        <v>2730</v>
      </c>
      <c r="AC120" t="s">
        <v>2730</v>
      </c>
      <c r="AD120" t="s">
        <v>2730</v>
      </c>
      <c r="AE120" t="s">
        <v>2730</v>
      </c>
      <c r="AF120" t="s">
        <v>2730</v>
      </c>
      <c r="AG120" t="s">
        <v>2730</v>
      </c>
      <c r="AH120" t="s">
        <v>2730</v>
      </c>
    </row>
    <row r="121" spans="1:34">
      <c r="A121" s="149" t="str">
        <f>HYPERLINK("http://www.ofsted.gov.uk/inspection-reports/find-inspection-report/provider/ELS/139071 ","Ofsted School Webpage")</f>
        <v>Ofsted School Webpage</v>
      </c>
      <c r="B121">
        <v>139071</v>
      </c>
      <c r="C121">
        <v>8616008</v>
      </c>
      <c r="D121" t="s">
        <v>2395</v>
      </c>
      <c r="E121" t="s">
        <v>37</v>
      </c>
      <c r="F121" t="s">
        <v>304</v>
      </c>
      <c r="G121" t="s">
        <v>223</v>
      </c>
      <c r="H121" t="s">
        <v>2729</v>
      </c>
      <c r="I121" t="s">
        <v>2730</v>
      </c>
      <c r="J121" t="s">
        <v>186</v>
      </c>
      <c r="K121" t="s">
        <v>193</v>
      </c>
      <c r="L121" t="s">
        <v>193</v>
      </c>
      <c r="M121" t="s">
        <v>492</v>
      </c>
      <c r="N121" t="s">
        <v>2396</v>
      </c>
      <c r="O121" t="s">
        <v>2397</v>
      </c>
      <c r="P121" s="120">
        <v>41611</v>
      </c>
      <c r="Q121" s="120">
        <v>41613</v>
      </c>
      <c r="R121" s="120">
        <v>41631</v>
      </c>
      <c r="S121" t="s">
        <v>249</v>
      </c>
      <c r="T121">
        <v>2</v>
      </c>
      <c r="U121" t="s">
        <v>2730</v>
      </c>
      <c r="V121">
        <v>2</v>
      </c>
      <c r="W121" t="s">
        <v>2730</v>
      </c>
      <c r="X121">
        <v>2</v>
      </c>
      <c r="Y121">
        <v>2</v>
      </c>
      <c r="Z121" t="s">
        <v>2730</v>
      </c>
      <c r="AA121" t="s">
        <v>2730</v>
      </c>
      <c r="AB121" t="s">
        <v>2730</v>
      </c>
      <c r="AC121" t="s">
        <v>2730</v>
      </c>
      <c r="AD121" t="s">
        <v>2730</v>
      </c>
      <c r="AE121" s="120" t="s">
        <v>2730</v>
      </c>
      <c r="AF121" t="s">
        <v>2730</v>
      </c>
      <c r="AG121" s="120" t="s">
        <v>2730</v>
      </c>
      <c r="AH121" t="s">
        <v>2730</v>
      </c>
    </row>
    <row r="122" spans="1:34">
      <c r="A122" s="149" t="str">
        <f>HYPERLINK("http://www.ofsted.gov.uk/inspection-reports/find-inspection-report/provider/ELS/117615 ","Ofsted School Webpage")</f>
        <v>Ofsted School Webpage</v>
      </c>
      <c r="B122">
        <v>117615</v>
      </c>
      <c r="C122">
        <v>9196034</v>
      </c>
      <c r="D122" t="s">
        <v>2074</v>
      </c>
      <c r="E122" t="s">
        <v>37</v>
      </c>
      <c r="F122" t="s">
        <v>184</v>
      </c>
      <c r="G122" t="s">
        <v>184</v>
      </c>
      <c r="H122" t="s">
        <v>2729</v>
      </c>
      <c r="I122" t="s">
        <v>2730</v>
      </c>
      <c r="J122" t="s">
        <v>186</v>
      </c>
      <c r="K122" t="s">
        <v>220</v>
      </c>
      <c r="L122" t="s">
        <v>220</v>
      </c>
      <c r="M122" t="s">
        <v>822</v>
      </c>
      <c r="N122" t="s">
        <v>2075</v>
      </c>
      <c r="O122">
        <v>10012935</v>
      </c>
      <c r="P122" s="120">
        <v>42640</v>
      </c>
      <c r="Q122" s="120">
        <v>42642</v>
      </c>
      <c r="R122" s="120">
        <v>42681</v>
      </c>
      <c r="S122" t="s">
        <v>196</v>
      </c>
      <c r="T122">
        <v>2</v>
      </c>
      <c r="U122" t="s">
        <v>128</v>
      </c>
      <c r="V122">
        <v>2</v>
      </c>
      <c r="W122">
        <v>1</v>
      </c>
      <c r="X122">
        <v>2</v>
      </c>
      <c r="Y122">
        <v>2</v>
      </c>
      <c r="Z122">
        <v>2</v>
      </c>
      <c r="AA122" t="s">
        <v>2730</v>
      </c>
      <c r="AB122" t="s">
        <v>2732</v>
      </c>
      <c r="AC122" t="s">
        <v>2730</v>
      </c>
      <c r="AD122" t="s">
        <v>2730</v>
      </c>
      <c r="AE122" t="s">
        <v>2730</v>
      </c>
      <c r="AF122" t="s">
        <v>2730</v>
      </c>
      <c r="AG122" t="s">
        <v>2730</v>
      </c>
      <c r="AH122" t="s">
        <v>2730</v>
      </c>
    </row>
    <row r="123" spans="1:34">
      <c r="A123" s="149" t="str">
        <f>HYPERLINK("http://www.ofsted.gov.uk/inspection-reports/find-inspection-report/provider/ELS/100086 ","Ofsted School Webpage")</f>
        <v>Ofsted School Webpage</v>
      </c>
      <c r="B123">
        <v>100086</v>
      </c>
      <c r="C123">
        <v>2026390</v>
      </c>
      <c r="D123" t="s">
        <v>2076</v>
      </c>
      <c r="E123" t="s">
        <v>37</v>
      </c>
      <c r="F123" t="s">
        <v>184</v>
      </c>
      <c r="G123" t="s">
        <v>184</v>
      </c>
      <c r="H123" t="s">
        <v>2729</v>
      </c>
      <c r="I123" t="s">
        <v>2730</v>
      </c>
      <c r="J123" t="s">
        <v>186</v>
      </c>
      <c r="K123" t="s">
        <v>232</v>
      </c>
      <c r="L123" t="s">
        <v>232</v>
      </c>
      <c r="M123" t="s">
        <v>536</v>
      </c>
      <c r="N123" t="s">
        <v>2077</v>
      </c>
      <c r="O123" t="s">
        <v>2078</v>
      </c>
      <c r="P123" s="120">
        <v>40807</v>
      </c>
      <c r="Q123" s="120">
        <v>40808</v>
      </c>
      <c r="R123" s="120">
        <v>40851</v>
      </c>
      <c r="S123" t="s">
        <v>196</v>
      </c>
      <c r="T123">
        <v>2</v>
      </c>
      <c r="U123" t="s">
        <v>2730</v>
      </c>
      <c r="V123" t="s">
        <v>2730</v>
      </c>
      <c r="W123" t="s">
        <v>2730</v>
      </c>
      <c r="X123">
        <v>2</v>
      </c>
      <c r="Y123">
        <v>2</v>
      </c>
      <c r="Z123">
        <v>8</v>
      </c>
      <c r="AA123" t="s">
        <v>2730</v>
      </c>
      <c r="AB123" t="s">
        <v>2730</v>
      </c>
      <c r="AC123" t="s">
        <v>2730</v>
      </c>
      <c r="AD123" t="s">
        <v>2730</v>
      </c>
      <c r="AE123" t="s">
        <v>2730</v>
      </c>
      <c r="AF123" t="s">
        <v>2730</v>
      </c>
      <c r="AG123" t="s">
        <v>2730</v>
      </c>
      <c r="AH123" t="s">
        <v>2730</v>
      </c>
    </row>
    <row r="124" spans="1:34">
      <c r="A124" s="149" t="str">
        <f>HYPERLINK("http://www.ofsted.gov.uk/inspection-reports/find-inspection-report/provider/ELS/135219 ","Ofsted School Webpage")</f>
        <v>Ofsted School Webpage</v>
      </c>
      <c r="B124">
        <v>135219</v>
      </c>
      <c r="C124">
        <v>8886097</v>
      </c>
      <c r="D124" t="s">
        <v>2079</v>
      </c>
      <c r="E124" t="s">
        <v>37</v>
      </c>
      <c r="F124" t="s">
        <v>184</v>
      </c>
      <c r="G124" t="s">
        <v>223</v>
      </c>
      <c r="H124" t="s">
        <v>2729</v>
      </c>
      <c r="I124" t="s">
        <v>2730</v>
      </c>
      <c r="J124" t="s">
        <v>186</v>
      </c>
      <c r="K124" t="s">
        <v>205</v>
      </c>
      <c r="L124" t="s">
        <v>205</v>
      </c>
      <c r="M124" t="s">
        <v>206</v>
      </c>
      <c r="N124" t="s">
        <v>2080</v>
      </c>
      <c r="O124" t="s">
        <v>2081</v>
      </c>
      <c r="P124" s="120">
        <v>41723</v>
      </c>
      <c r="Q124" s="120">
        <v>41725</v>
      </c>
      <c r="R124" s="120">
        <v>41760</v>
      </c>
      <c r="S124" t="s">
        <v>196</v>
      </c>
      <c r="T124">
        <v>3</v>
      </c>
      <c r="U124" t="s">
        <v>2730</v>
      </c>
      <c r="V124">
        <v>3</v>
      </c>
      <c r="W124" t="s">
        <v>2730</v>
      </c>
      <c r="X124">
        <v>3</v>
      </c>
      <c r="Y124">
        <v>3</v>
      </c>
      <c r="Z124" t="s">
        <v>2730</v>
      </c>
      <c r="AA124" t="s">
        <v>2730</v>
      </c>
      <c r="AB124" t="s">
        <v>2730</v>
      </c>
      <c r="AC124" t="s">
        <v>2730</v>
      </c>
      <c r="AD124" t="s">
        <v>2730</v>
      </c>
      <c r="AE124" s="120" t="s">
        <v>2730</v>
      </c>
      <c r="AF124" t="s">
        <v>2730</v>
      </c>
      <c r="AG124" s="120" t="s">
        <v>2730</v>
      </c>
      <c r="AH124" t="s">
        <v>2730</v>
      </c>
    </row>
    <row r="125" spans="1:34">
      <c r="A125" s="149" t="str">
        <f>HYPERLINK("http://www.ofsted.gov.uk/inspection-reports/find-inspection-report/provider/ELS/119848 ","Ofsted School Webpage")</f>
        <v>Ofsted School Webpage</v>
      </c>
      <c r="B125">
        <v>119848</v>
      </c>
      <c r="C125">
        <v>8896003</v>
      </c>
      <c r="D125" t="s">
        <v>2082</v>
      </c>
      <c r="E125" t="s">
        <v>37</v>
      </c>
      <c r="F125" t="s">
        <v>184</v>
      </c>
      <c r="G125" t="s">
        <v>223</v>
      </c>
      <c r="H125" t="s">
        <v>2729</v>
      </c>
      <c r="I125" t="s">
        <v>2730</v>
      </c>
      <c r="J125" t="s">
        <v>186</v>
      </c>
      <c r="K125" t="s">
        <v>205</v>
      </c>
      <c r="L125" t="s">
        <v>205</v>
      </c>
      <c r="M125" t="s">
        <v>485</v>
      </c>
      <c r="N125" t="s">
        <v>2083</v>
      </c>
      <c r="O125">
        <v>10026006</v>
      </c>
      <c r="P125" s="120">
        <v>42815</v>
      </c>
      <c r="Q125" s="120">
        <v>42817</v>
      </c>
      <c r="R125" s="120">
        <v>42859</v>
      </c>
      <c r="S125" t="s">
        <v>196</v>
      </c>
      <c r="T125">
        <v>3</v>
      </c>
      <c r="U125" t="s">
        <v>128</v>
      </c>
      <c r="V125">
        <v>3</v>
      </c>
      <c r="W125">
        <v>2</v>
      </c>
      <c r="X125">
        <v>3</v>
      </c>
      <c r="Y125">
        <v>3</v>
      </c>
      <c r="Z125">
        <v>3</v>
      </c>
      <c r="AA125" t="s">
        <v>2730</v>
      </c>
      <c r="AB125" t="s">
        <v>2732</v>
      </c>
      <c r="AC125" t="s">
        <v>2730</v>
      </c>
      <c r="AD125" t="s">
        <v>2730</v>
      </c>
      <c r="AE125" t="s">
        <v>2730</v>
      </c>
      <c r="AF125" t="s">
        <v>2730</v>
      </c>
      <c r="AG125" t="s">
        <v>2730</v>
      </c>
      <c r="AH125" t="s">
        <v>2730</v>
      </c>
    </row>
    <row r="126" spans="1:34">
      <c r="A126" s="149" t="str">
        <f>HYPERLINK("http://www.ofsted.gov.uk/inspection-reports/find-inspection-report/provider/ELS/139826 ","Ofsted School Webpage")</f>
        <v>Ofsted School Webpage</v>
      </c>
      <c r="B126">
        <v>139826</v>
      </c>
      <c r="C126">
        <v>3176000</v>
      </c>
      <c r="D126" t="s">
        <v>2084</v>
      </c>
      <c r="E126" t="s">
        <v>37</v>
      </c>
      <c r="F126" t="s">
        <v>184</v>
      </c>
      <c r="G126" t="s">
        <v>223</v>
      </c>
      <c r="H126" t="s">
        <v>2729</v>
      </c>
      <c r="I126" t="s">
        <v>2730</v>
      </c>
      <c r="J126" t="s">
        <v>186</v>
      </c>
      <c r="K126" t="s">
        <v>232</v>
      </c>
      <c r="L126" t="s">
        <v>232</v>
      </c>
      <c r="M126" t="s">
        <v>805</v>
      </c>
      <c r="N126" t="s">
        <v>2085</v>
      </c>
      <c r="O126" t="s">
        <v>2086</v>
      </c>
      <c r="P126" s="120">
        <v>41808</v>
      </c>
      <c r="Q126" s="120">
        <v>41810</v>
      </c>
      <c r="R126" s="120">
        <v>41829</v>
      </c>
      <c r="S126" t="s">
        <v>249</v>
      </c>
      <c r="T126">
        <v>2</v>
      </c>
      <c r="U126" t="s">
        <v>2730</v>
      </c>
      <c r="V126">
        <v>2</v>
      </c>
      <c r="W126" t="s">
        <v>2730</v>
      </c>
      <c r="X126">
        <v>2</v>
      </c>
      <c r="Y126">
        <v>2</v>
      </c>
      <c r="Z126" t="s">
        <v>2730</v>
      </c>
      <c r="AA126" t="s">
        <v>2730</v>
      </c>
      <c r="AB126" t="s">
        <v>2730</v>
      </c>
      <c r="AC126" t="s">
        <v>2730</v>
      </c>
      <c r="AD126" t="s">
        <v>2730</v>
      </c>
      <c r="AE126" s="120" t="s">
        <v>2730</v>
      </c>
      <c r="AF126" t="s">
        <v>2730</v>
      </c>
      <c r="AG126" s="120" t="s">
        <v>2730</v>
      </c>
      <c r="AH126" t="s">
        <v>2730</v>
      </c>
    </row>
    <row r="127" spans="1:34">
      <c r="A127" s="149" t="str">
        <f>HYPERLINK("http://www.ofsted.gov.uk/inspection-reports/find-inspection-report/provider/ELS/101383 ","Ofsted School Webpage")</f>
        <v>Ofsted School Webpage</v>
      </c>
      <c r="B127">
        <v>101383</v>
      </c>
      <c r="C127">
        <v>3026077</v>
      </c>
      <c r="D127" t="s">
        <v>289</v>
      </c>
      <c r="E127" t="s">
        <v>37</v>
      </c>
      <c r="F127" t="s">
        <v>184</v>
      </c>
      <c r="G127" t="s">
        <v>441</v>
      </c>
      <c r="H127" t="s">
        <v>2729</v>
      </c>
      <c r="I127" t="s">
        <v>2730</v>
      </c>
      <c r="J127" t="s">
        <v>186</v>
      </c>
      <c r="K127" t="s">
        <v>232</v>
      </c>
      <c r="L127" t="s">
        <v>232</v>
      </c>
      <c r="M127" t="s">
        <v>311</v>
      </c>
      <c r="N127" t="s">
        <v>440</v>
      </c>
      <c r="O127">
        <v>10035780</v>
      </c>
      <c r="P127" s="120">
        <v>43011</v>
      </c>
      <c r="Q127" s="120">
        <v>43013</v>
      </c>
      <c r="R127" s="120">
        <v>43048</v>
      </c>
      <c r="S127" t="s">
        <v>196</v>
      </c>
      <c r="T127">
        <v>2</v>
      </c>
      <c r="U127" t="s">
        <v>128</v>
      </c>
      <c r="V127">
        <v>2</v>
      </c>
      <c r="W127">
        <v>1</v>
      </c>
      <c r="X127">
        <v>2</v>
      </c>
      <c r="Y127">
        <v>2</v>
      </c>
      <c r="Z127">
        <v>2</v>
      </c>
      <c r="AA127" t="s">
        <v>2730</v>
      </c>
      <c r="AB127" t="s">
        <v>2732</v>
      </c>
      <c r="AC127" t="s">
        <v>2730</v>
      </c>
      <c r="AD127" t="s">
        <v>2730</v>
      </c>
      <c r="AE127" t="s">
        <v>2730</v>
      </c>
      <c r="AF127" t="s">
        <v>2730</v>
      </c>
      <c r="AG127" t="s">
        <v>2730</v>
      </c>
      <c r="AH127" t="s">
        <v>2730</v>
      </c>
    </row>
    <row r="128" spans="1:34">
      <c r="A128" s="149" t="str">
        <f>HYPERLINK("http://www.ofsted.gov.uk/inspection-reports/find-inspection-report/provider/ELS/113940 ","Ofsted School Webpage")</f>
        <v>Ofsted School Webpage</v>
      </c>
      <c r="B128">
        <v>113940</v>
      </c>
      <c r="C128">
        <v>8376003</v>
      </c>
      <c r="D128" t="s">
        <v>289</v>
      </c>
      <c r="E128" t="s">
        <v>37</v>
      </c>
      <c r="F128" t="s">
        <v>292</v>
      </c>
      <c r="G128" t="s">
        <v>292</v>
      </c>
      <c r="H128" t="s">
        <v>2729</v>
      </c>
      <c r="I128" t="s">
        <v>2730</v>
      </c>
      <c r="J128" t="s">
        <v>186</v>
      </c>
      <c r="K128" t="s">
        <v>225</v>
      </c>
      <c r="L128" t="s">
        <v>225</v>
      </c>
      <c r="M128" t="s">
        <v>290</v>
      </c>
      <c r="N128" t="s">
        <v>291</v>
      </c>
      <c r="O128">
        <v>10033883</v>
      </c>
      <c r="P128" s="120">
        <v>43004</v>
      </c>
      <c r="Q128" s="120">
        <v>43006</v>
      </c>
      <c r="R128" s="120">
        <v>43038</v>
      </c>
      <c r="S128" t="s">
        <v>196</v>
      </c>
      <c r="T128">
        <v>2</v>
      </c>
      <c r="U128" t="s">
        <v>128</v>
      </c>
      <c r="V128">
        <v>2</v>
      </c>
      <c r="W128">
        <v>2</v>
      </c>
      <c r="X128">
        <v>2</v>
      </c>
      <c r="Y128">
        <v>2</v>
      </c>
      <c r="Z128">
        <v>3</v>
      </c>
      <c r="AA128" t="s">
        <v>2730</v>
      </c>
      <c r="AB128" t="s">
        <v>2732</v>
      </c>
      <c r="AC128" t="s">
        <v>2730</v>
      </c>
      <c r="AD128" t="s">
        <v>2730</v>
      </c>
      <c r="AE128" t="s">
        <v>2730</v>
      </c>
      <c r="AF128" t="s">
        <v>2730</v>
      </c>
      <c r="AG128" t="s">
        <v>2730</v>
      </c>
      <c r="AH128" t="s">
        <v>2730</v>
      </c>
    </row>
    <row r="129" spans="1:34">
      <c r="A129" s="149" t="str">
        <f>HYPERLINK("http://www.ofsted.gov.uk/inspection-reports/find-inspection-report/provider/ELS/116567 ","Ofsted School Webpage")</f>
        <v>Ofsted School Webpage</v>
      </c>
      <c r="B129">
        <v>116567</v>
      </c>
      <c r="C129">
        <v>8526003</v>
      </c>
      <c r="D129" t="s">
        <v>2422</v>
      </c>
      <c r="E129" t="s">
        <v>37</v>
      </c>
      <c r="F129" t="s">
        <v>184</v>
      </c>
      <c r="G129" t="s">
        <v>413</v>
      </c>
      <c r="H129" t="s">
        <v>2729</v>
      </c>
      <c r="I129" t="s">
        <v>2730</v>
      </c>
      <c r="J129" t="s">
        <v>186</v>
      </c>
      <c r="K129" t="s">
        <v>181</v>
      </c>
      <c r="L129" t="s">
        <v>181</v>
      </c>
      <c r="M129" t="s">
        <v>476</v>
      </c>
      <c r="N129" t="s">
        <v>2423</v>
      </c>
      <c r="O129" t="s">
        <v>2424</v>
      </c>
      <c r="P129" s="120">
        <v>41331</v>
      </c>
      <c r="Q129" s="120">
        <v>41333</v>
      </c>
      <c r="R129" s="120">
        <v>41354</v>
      </c>
      <c r="S129" t="s">
        <v>196</v>
      </c>
      <c r="T129">
        <v>2</v>
      </c>
      <c r="U129" t="s">
        <v>2730</v>
      </c>
      <c r="V129">
        <v>2</v>
      </c>
      <c r="W129" t="s">
        <v>2730</v>
      </c>
      <c r="X129">
        <v>2</v>
      </c>
      <c r="Y129">
        <v>2</v>
      </c>
      <c r="Z129" t="s">
        <v>2730</v>
      </c>
      <c r="AA129" t="s">
        <v>2730</v>
      </c>
      <c r="AB129" t="s">
        <v>2730</v>
      </c>
      <c r="AC129" t="s">
        <v>2730</v>
      </c>
      <c r="AD129" t="s">
        <v>2730</v>
      </c>
      <c r="AE129" t="s">
        <v>2730</v>
      </c>
      <c r="AF129" t="s">
        <v>2730</v>
      </c>
      <c r="AG129" t="s">
        <v>2730</v>
      </c>
      <c r="AH129" t="s">
        <v>2730</v>
      </c>
    </row>
    <row r="130" spans="1:34">
      <c r="A130" s="149" t="str">
        <f>HYPERLINK("http://www.ofsted.gov.uk/inspection-reports/find-inspection-report/provider/ELS/102357 ","Ofsted School Webpage")</f>
        <v>Ofsted School Webpage</v>
      </c>
      <c r="B130">
        <v>102357</v>
      </c>
      <c r="C130">
        <v>3116054</v>
      </c>
      <c r="D130" t="s">
        <v>2425</v>
      </c>
      <c r="E130" t="s">
        <v>37</v>
      </c>
      <c r="F130" t="s">
        <v>184</v>
      </c>
      <c r="G130" t="s">
        <v>413</v>
      </c>
      <c r="H130" t="s">
        <v>2729</v>
      </c>
      <c r="I130" t="s">
        <v>2730</v>
      </c>
      <c r="J130" t="s">
        <v>186</v>
      </c>
      <c r="K130" t="s">
        <v>232</v>
      </c>
      <c r="L130" t="s">
        <v>232</v>
      </c>
      <c r="M130" t="s">
        <v>794</v>
      </c>
      <c r="N130" t="s">
        <v>2426</v>
      </c>
      <c r="O130" t="s">
        <v>2427</v>
      </c>
      <c r="P130" s="120">
        <v>42163</v>
      </c>
      <c r="Q130" s="120">
        <v>42165</v>
      </c>
      <c r="R130" s="120">
        <v>42200</v>
      </c>
      <c r="S130" t="s">
        <v>196</v>
      </c>
      <c r="T130">
        <v>1</v>
      </c>
      <c r="U130" t="s">
        <v>2730</v>
      </c>
      <c r="V130">
        <v>1</v>
      </c>
      <c r="W130" t="s">
        <v>2730</v>
      </c>
      <c r="X130">
        <v>1</v>
      </c>
      <c r="Y130">
        <v>1</v>
      </c>
      <c r="Z130">
        <v>1</v>
      </c>
      <c r="AA130">
        <v>9</v>
      </c>
      <c r="AB130" t="s">
        <v>2730</v>
      </c>
      <c r="AC130" t="s">
        <v>2730</v>
      </c>
      <c r="AD130" t="s">
        <v>2730</v>
      </c>
      <c r="AE130" s="120" t="s">
        <v>2730</v>
      </c>
      <c r="AF130" t="s">
        <v>2730</v>
      </c>
      <c r="AG130" s="120" t="s">
        <v>2730</v>
      </c>
      <c r="AH130" t="s">
        <v>2730</v>
      </c>
    </row>
    <row r="131" spans="1:34">
      <c r="A131" s="149" t="str">
        <f>HYPERLINK("http://www.ofsted.gov.uk/inspection-reports/find-inspection-report/provider/ELS/104966 ","Ofsted School Webpage")</f>
        <v>Ofsted School Webpage</v>
      </c>
      <c r="B131">
        <v>104966</v>
      </c>
      <c r="C131">
        <v>3436001</v>
      </c>
      <c r="D131" t="s">
        <v>757</v>
      </c>
      <c r="E131" t="s">
        <v>37</v>
      </c>
      <c r="F131" t="s">
        <v>184</v>
      </c>
      <c r="G131" t="s">
        <v>184</v>
      </c>
      <c r="H131" t="s">
        <v>2729</v>
      </c>
      <c r="I131" t="s">
        <v>2730</v>
      </c>
      <c r="J131" t="s">
        <v>186</v>
      </c>
      <c r="K131" t="s">
        <v>205</v>
      </c>
      <c r="L131" t="s">
        <v>205</v>
      </c>
      <c r="M131" t="s">
        <v>758</v>
      </c>
      <c r="N131" t="s">
        <v>759</v>
      </c>
      <c r="O131">
        <v>10020917</v>
      </c>
      <c r="P131" s="120">
        <v>42759</v>
      </c>
      <c r="Q131" s="120">
        <v>42761</v>
      </c>
      <c r="R131" s="120">
        <v>42780</v>
      </c>
      <c r="S131" t="s">
        <v>196</v>
      </c>
      <c r="T131">
        <v>3</v>
      </c>
      <c r="U131" t="s">
        <v>128</v>
      </c>
      <c r="V131">
        <v>3</v>
      </c>
      <c r="W131">
        <v>2</v>
      </c>
      <c r="X131">
        <v>3</v>
      </c>
      <c r="Y131">
        <v>3</v>
      </c>
      <c r="Z131">
        <v>2</v>
      </c>
      <c r="AA131" t="s">
        <v>2730</v>
      </c>
      <c r="AB131" t="s">
        <v>2732</v>
      </c>
      <c r="AC131" t="s">
        <v>2730</v>
      </c>
      <c r="AD131" t="s">
        <v>2730</v>
      </c>
      <c r="AE131" t="s">
        <v>2730</v>
      </c>
      <c r="AF131" t="s">
        <v>2730</v>
      </c>
      <c r="AG131" t="s">
        <v>2730</v>
      </c>
      <c r="AH131" t="s">
        <v>2730</v>
      </c>
    </row>
    <row r="132" spans="1:34">
      <c r="A132" s="149" t="str">
        <f>HYPERLINK("http://www.ofsted.gov.uk/inspection-reports/find-inspection-report/provider/ELS/136100 ","Ofsted School Webpage")</f>
        <v>Ofsted School Webpage</v>
      </c>
      <c r="B132">
        <v>136100</v>
      </c>
      <c r="C132">
        <v>2036041</v>
      </c>
      <c r="D132" t="s">
        <v>760</v>
      </c>
      <c r="E132" t="s">
        <v>37</v>
      </c>
      <c r="F132" t="s">
        <v>184</v>
      </c>
      <c r="G132" t="s">
        <v>184</v>
      </c>
      <c r="H132" t="s">
        <v>2729</v>
      </c>
      <c r="I132" t="s">
        <v>2730</v>
      </c>
      <c r="J132" t="s">
        <v>186</v>
      </c>
      <c r="K132" t="s">
        <v>232</v>
      </c>
      <c r="L132" t="s">
        <v>232</v>
      </c>
      <c r="M132" t="s">
        <v>482</v>
      </c>
      <c r="N132" t="s">
        <v>761</v>
      </c>
      <c r="O132">
        <v>10026806</v>
      </c>
      <c r="P132" s="120">
        <v>42752</v>
      </c>
      <c r="Q132" s="120">
        <v>42754</v>
      </c>
      <c r="R132" s="120">
        <v>42772</v>
      </c>
      <c r="S132" t="s">
        <v>196</v>
      </c>
      <c r="T132">
        <v>2</v>
      </c>
      <c r="U132" t="s">
        <v>128</v>
      </c>
      <c r="V132">
        <v>2</v>
      </c>
      <c r="W132">
        <v>2</v>
      </c>
      <c r="X132">
        <v>2</v>
      </c>
      <c r="Y132">
        <v>2</v>
      </c>
      <c r="Z132" t="s">
        <v>2730</v>
      </c>
      <c r="AA132">
        <v>2</v>
      </c>
      <c r="AB132" t="s">
        <v>2732</v>
      </c>
      <c r="AC132" t="s">
        <v>2730</v>
      </c>
      <c r="AD132" t="s">
        <v>2730</v>
      </c>
      <c r="AE132" t="s">
        <v>2730</v>
      </c>
      <c r="AF132" t="s">
        <v>2730</v>
      </c>
      <c r="AG132" t="s">
        <v>2730</v>
      </c>
      <c r="AH132" t="s">
        <v>2730</v>
      </c>
    </row>
    <row r="133" spans="1:34">
      <c r="A133" s="149" t="str">
        <f>HYPERLINK("http://www.ofsted.gov.uk/inspection-reports/find-inspection-report/provider/ELS/134243 ","Ofsted School Webpage")</f>
        <v>Ofsted School Webpage</v>
      </c>
      <c r="B133">
        <v>134243</v>
      </c>
      <c r="C133">
        <v>3136072</v>
      </c>
      <c r="D133" t="s">
        <v>762</v>
      </c>
      <c r="E133" t="s">
        <v>37</v>
      </c>
      <c r="F133" t="s">
        <v>184</v>
      </c>
      <c r="G133" t="s">
        <v>223</v>
      </c>
      <c r="H133" t="s">
        <v>2729</v>
      </c>
      <c r="I133" t="s">
        <v>2730</v>
      </c>
      <c r="J133" t="s">
        <v>186</v>
      </c>
      <c r="K133" t="s">
        <v>232</v>
      </c>
      <c r="L133" t="s">
        <v>232</v>
      </c>
      <c r="M133" t="s">
        <v>269</v>
      </c>
      <c r="N133" t="s">
        <v>763</v>
      </c>
      <c r="O133" t="s">
        <v>764</v>
      </c>
      <c r="P133" s="120">
        <v>39414</v>
      </c>
      <c r="Q133" s="120">
        <v>39415</v>
      </c>
      <c r="R133" s="120">
        <v>39441</v>
      </c>
      <c r="S133" t="s">
        <v>196</v>
      </c>
      <c r="T133">
        <v>3</v>
      </c>
      <c r="U133" t="s">
        <v>2730</v>
      </c>
      <c r="V133" t="s">
        <v>2730</v>
      </c>
      <c r="W133" t="s">
        <v>2730</v>
      </c>
      <c r="X133">
        <v>3</v>
      </c>
      <c r="Y133">
        <v>3</v>
      </c>
      <c r="Z133" t="s">
        <v>2730</v>
      </c>
      <c r="AA133" t="s">
        <v>2730</v>
      </c>
      <c r="AB133" t="s">
        <v>2730</v>
      </c>
      <c r="AC133" t="s">
        <v>2730</v>
      </c>
      <c r="AD133" t="s">
        <v>2730</v>
      </c>
      <c r="AE133" t="s">
        <v>2730</v>
      </c>
      <c r="AF133" t="s">
        <v>2730</v>
      </c>
      <c r="AG133" t="s">
        <v>2730</v>
      </c>
      <c r="AH133" t="s">
        <v>2730</v>
      </c>
    </row>
    <row r="134" spans="1:34">
      <c r="A134" s="149" t="str">
        <f>HYPERLINK("http://www.ofsted.gov.uk/inspection-reports/find-inspection-report/provider/ELS/102168 ","Ofsted School Webpage")</f>
        <v>Ofsted School Webpage</v>
      </c>
      <c r="B134">
        <v>102168</v>
      </c>
      <c r="C134">
        <v>3096066</v>
      </c>
      <c r="D134" t="s">
        <v>2561</v>
      </c>
      <c r="E134" t="s">
        <v>37</v>
      </c>
      <c r="F134" t="s">
        <v>184</v>
      </c>
      <c r="G134" t="s">
        <v>184</v>
      </c>
      <c r="H134" t="s">
        <v>2729</v>
      </c>
      <c r="I134" t="s">
        <v>2730</v>
      </c>
      <c r="J134" t="s">
        <v>186</v>
      </c>
      <c r="K134" t="s">
        <v>232</v>
      </c>
      <c r="L134" t="s">
        <v>232</v>
      </c>
      <c r="M134" t="s">
        <v>697</v>
      </c>
      <c r="N134" t="s">
        <v>2562</v>
      </c>
      <c r="O134">
        <v>10008573</v>
      </c>
      <c r="P134" s="120">
        <v>42927</v>
      </c>
      <c r="Q134" s="120">
        <v>42929</v>
      </c>
      <c r="R134" s="120">
        <v>43019</v>
      </c>
      <c r="S134" t="s">
        <v>196</v>
      </c>
      <c r="T134">
        <v>4</v>
      </c>
      <c r="U134" t="s">
        <v>129</v>
      </c>
      <c r="V134">
        <v>4</v>
      </c>
      <c r="W134">
        <v>4</v>
      </c>
      <c r="X134">
        <v>4</v>
      </c>
      <c r="Y134">
        <v>4</v>
      </c>
      <c r="Z134">
        <v>4</v>
      </c>
      <c r="AA134" t="s">
        <v>2730</v>
      </c>
      <c r="AB134" t="s">
        <v>2733</v>
      </c>
      <c r="AC134" t="s">
        <v>2730</v>
      </c>
      <c r="AD134" t="s">
        <v>2730</v>
      </c>
      <c r="AE134" t="s">
        <v>2730</v>
      </c>
      <c r="AF134" t="s">
        <v>2730</v>
      </c>
      <c r="AG134" t="s">
        <v>2730</v>
      </c>
      <c r="AH134" t="s">
        <v>2730</v>
      </c>
    </row>
    <row r="135" spans="1:34">
      <c r="A135" s="149" t="str">
        <f>HYPERLINK("http://www.ofsted.gov.uk/inspection-reports/find-inspection-report/provider/ELS/136000 ","Ofsted School Webpage")</f>
        <v>Ofsted School Webpage</v>
      </c>
      <c r="B135">
        <v>136000</v>
      </c>
      <c r="C135">
        <v>3906008</v>
      </c>
      <c r="D135" t="s">
        <v>2567</v>
      </c>
      <c r="E135" t="s">
        <v>37</v>
      </c>
      <c r="F135" t="s">
        <v>184</v>
      </c>
      <c r="G135" t="s">
        <v>318</v>
      </c>
      <c r="H135" t="s">
        <v>2729</v>
      </c>
      <c r="I135" t="s">
        <v>2730</v>
      </c>
      <c r="J135" t="s">
        <v>186</v>
      </c>
      <c r="K135" t="s">
        <v>245</v>
      </c>
      <c r="L135" t="s">
        <v>277</v>
      </c>
      <c r="M135" t="s">
        <v>651</v>
      </c>
      <c r="N135" t="s">
        <v>2568</v>
      </c>
      <c r="O135">
        <v>10025960</v>
      </c>
      <c r="P135" s="120">
        <v>42808</v>
      </c>
      <c r="Q135" s="120">
        <v>42810</v>
      </c>
      <c r="R135" s="120">
        <v>42829</v>
      </c>
      <c r="S135" t="s">
        <v>196</v>
      </c>
      <c r="T135">
        <v>2</v>
      </c>
      <c r="U135" t="s">
        <v>128</v>
      </c>
      <c r="V135">
        <v>2</v>
      </c>
      <c r="W135">
        <v>2</v>
      </c>
      <c r="X135">
        <v>2</v>
      </c>
      <c r="Y135">
        <v>2</v>
      </c>
      <c r="Z135">
        <v>2</v>
      </c>
      <c r="AA135" t="s">
        <v>2730</v>
      </c>
      <c r="AB135" t="s">
        <v>2732</v>
      </c>
      <c r="AC135" t="s">
        <v>2730</v>
      </c>
      <c r="AD135" t="s">
        <v>2730</v>
      </c>
      <c r="AE135" t="s">
        <v>2730</v>
      </c>
      <c r="AF135" t="s">
        <v>2730</v>
      </c>
      <c r="AG135" t="s">
        <v>2730</v>
      </c>
      <c r="AH135" t="s">
        <v>2730</v>
      </c>
    </row>
    <row r="136" spans="1:34">
      <c r="A136" s="149" t="str">
        <f>HYPERLINK("http://www.ofsted.gov.uk/inspection-reports/find-inspection-report/provider/ELS/102945 ","Ofsted School Webpage")</f>
        <v>Ofsted School Webpage</v>
      </c>
      <c r="B136">
        <v>102945</v>
      </c>
      <c r="C136">
        <v>3186070</v>
      </c>
      <c r="D136" t="s">
        <v>2569</v>
      </c>
      <c r="E136" t="s">
        <v>37</v>
      </c>
      <c r="F136" t="s">
        <v>184</v>
      </c>
      <c r="G136" t="s">
        <v>184</v>
      </c>
      <c r="H136" t="s">
        <v>2729</v>
      </c>
      <c r="I136" t="s">
        <v>2730</v>
      </c>
      <c r="J136" t="s">
        <v>186</v>
      </c>
      <c r="K136" t="s">
        <v>232</v>
      </c>
      <c r="L136" t="s">
        <v>232</v>
      </c>
      <c r="M136" t="s">
        <v>233</v>
      </c>
      <c r="N136" t="s">
        <v>2570</v>
      </c>
      <c r="O136" t="s">
        <v>2571</v>
      </c>
      <c r="P136" s="120">
        <v>41807</v>
      </c>
      <c r="Q136" s="120">
        <v>41809</v>
      </c>
      <c r="R136" s="120">
        <v>41828</v>
      </c>
      <c r="S136" t="s">
        <v>196</v>
      </c>
      <c r="T136">
        <v>1</v>
      </c>
      <c r="U136" t="s">
        <v>2730</v>
      </c>
      <c r="V136">
        <v>1</v>
      </c>
      <c r="W136" t="s">
        <v>2730</v>
      </c>
      <c r="X136">
        <v>1</v>
      </c>
      <c r="Y136">
        <v>1</v>
      </c>
      <c r="Z136" t="s">
        <v>2730</v>
      </c>
      <c r="AA136" t="s">
        <v>2730</v>
      </c>
      <c r="AB136" t="s">
        <v>2730</v>
      </c>
      <c r="AC136" t="s">
        <v>2730</v>
      </c>
      <c r="AD136" t="s">
        <v>2730</v>
      </c>
      <c r="AE136" t="s">
        <v>2730</v>
      </c>
      <c r="AF136" t="s">
        <v>2730</v>
      </c>
      <c r="AG136" t="s">
        <v>2730</v>
      </c>
      <c r="AH136" t="s">
        <v>2730</v>
      </c>
    </row>
    <row r="137" spans="1:34">
      <c r="A137" s="149" t="str">
        <f>HYPERLINK("http://www.ofsted.gov.uk/inspection-reports/find-inspection-report/provider/ELS/141225 ","Ofsted School Webpage")</f>
        <v>Ofsted School Webpage</v>
      </c>
      <c r="B137">
        <v>141225</v>
      </c>
      <c r="C137">
        <v>8686022</v>
      </c>
      <c r="D137" t="s">
        <v>2572</v>
      </c>
      <c r="E137" t="s">
        <v>37</v>
      </c>
      <c r="F137" t="s">
        <v>184</v>
      </c>
      <c r="G137" t="s">
        <v>184</v>
      </c>
      <c r="H137" t="s">
        <v>2729</v>
      </c>
      <c r="I137" t="s">
        <v>2730</v>
      </c>
      <c r="J137" t="s">
        <v>186</v>
      </c>
      <c r="K137" t="s">
        <v>181</v>
      </c>
      <c r="L137" t="s">
        <v>181</v>
      </c>
      <c r="M137" t="s">
        <v>1515</v>
      </c>
      <c r="N137" t="s">
        <v>2573</v>
      </c>
      <c r="O137">
        <v>10006029</v>
      </c>
      <c r="P137" s="120">
        <v>42284</v>
      </c>
      <c r="Q137" s="120">
        <v>42286</v>
      </c>
      <c r="R137" s="120">
        <v>42317</v>
      </c>
      <c r="S137" t="s">
        <v>249</v>
      </c>
      <c r="T137">
        <v>2</v>
      </c>
      <c r="U137" t="s">
        <v>128</v>
      </c>
      <c r="V137">
        <v>2</v>
      </c>
      <c r="W137">
        <v>1</v>
      </c>
      <c r="X137">
        <v>2</v>
      </c>
      <c r="Y137">
        <v>2</v>
      </c>
      <c r="Z137" t="s">
        <v>2730</v>
      </c>
      <c r="AA137" t="s">
        <v>2730</v>
      </c>
      <c r="AB137" t="s">
        <v>2732</v>
      </c>
      <c r="AC137" t="s">
        <v>2730</v>
      </c>
      <c r="AD137" t="s">
        <v>2730</v>
      </c>
      <c r="AE137" s="120" t="s">
        <v>2730</v>
      </c>
      <c r="AF137" t="s">
        <v>2730</v>
      </c>
      <c r="AG137" s="120" t="s">
        <v>2730</v>
      </c>
      <c r="AH137" t="s">
        <v>2730</v>
      </c>
    </row>
    <row r="138" spans="1:34">
      <c r="A138" s="149" t="str">
        <f>HYPERLINK("http://www.ofsted.gov.uk/inspection-reports/find-inspection-report/provider/ELS/102455 ","Ofsted School Webpage")</f>
        <v>Ofsted School Webpage</v>
      </c>
      <c r="B138">
        <v>102455</v>
      </c>
      <c r="C138">
        <v>3126054</v>
      </c>
      <c r="D138" t="s">
        <v>2574</v>
      </c>
      <c r="E138" t="s">
        <v>37</v>
      </c>
      <c r="F138" t="s">
        <v>184</v>
      </c>
      <c r="G138" t="s">
        <v>212</v>
      </c>
      <c r="H138" t="s">
        <v>2729</v>
      </c>
      <c r="I138" t="s">
        <v>2730</v>
      </c>
      <c r="J138" t="s">
        <v>186</v>
      </c>
      <c r="K138" t="s">
        <v>232</v>
      </c>
      <c r="L138" t="s">
        <v>232</v>
      </c>
      <c r="M138" t="s">
        <v>448</v>
      </c>
      <c r="N138" t="s">
        <v>2575</v>
      </c>
      <c r="O138" t="s">
        <v>2576</v>
      </c>
      <c r="P138" s="120">
        <v>40102</v>
      </c>
      <c r="Q138" s="120">
        <v>40102</v>
      </c>
      <c r="R138" s="120">
        <v>40240</v>
      </c>
      <c r="S138" t="s">
        <v>655</v>
      </c>
      <c r="T138">
        <v>1</v>
      </c>
      <c r="U138" t="s">
        <v>2730</v>
      </c>
      <c r="V138" t="s">
        <v>2730</v>
      </c>
      <c r="W138" t="s">
        <v>2730</v>
      </c>
      <c r="X138">
        <v>1</v>
      </c>
      <c r="Y138">
        <v>1</v>
      </c>
      <c r="Z138">
        <v>1</v>
      </c>
      <c r="AA138" t="s">
        <v>2730</v>
      </c>
      <c r="AB138" t="s">
        <v>2730</v>
      </c>
      <c r="AC138" t="s">
        <v>2730</v>
      </c>
      <c r="AD138" t="s">
        <v>2730</v>
      </c>
      <c r="AE138" t="s">
        <v>2730</v>
      </c>
      <c r="AF138" t="s">
        <v>2730</v>
      </c>
      <c r="AG138" t="s">
        <v>2730</v>
      </c>
      <c r="AH138" t="s">
        <v>2730</v>
      </c>
    </row>
    <row r="139" spans="1:34">
      <c r="A139" s="149" t="str">
        <f>HYPERLINK("http://www.ofsted.gov.uk/inspection-reports/find-inspection-report/provider/ELS/107787 ","Ofsted School Webpage")</f>
        <v>Ofsted School Webpage</v>
      </c>
      <c r="B139">
        <v>107787</v>
      </c>
      <c r="C139">
        <v>3826006</v>
      </c>
      <c r="D139" t="s">
        <v>767</v>
      </c>
      <c r="E139" t="s">
        <v>37</v>
      </c>
      <c r="F139" t="s">
        <v>184</v>
      </c>
      <c r="G139" t="s">
        <v>184</v>
      </c>
      <c r="H139" t="s">
        <v>2729</v>
      </c>
      <c r="I139" t="s">
        <v>2730</v>
      </c>
      <c r="J139" t="s">
        <v>186</v>
      </c>
      <c r="K139" t="s">
        <v>245</v>
      </c>
      <c r="L139" t="s">
        <v>246</v>
      </c>
      <c r="M139" t="s">
        <v>768</v>
      </c>
      <c r="N139" t="s">
        <v>769</v>
      </c>
      <c r="O139">
        <v>10008554</v>
      </c>
      <c r="P139" s="120">
        <v>42409</v>
      </c>
      <c r="Q139" s="120">
        <v>42411</v>
      </c>
      <c r="R139" s="120">
        <v>42437</v>
      </c>
      <c r="S139" t="s">
        <v>196</v>
      </c>
      <c r="T139">
        <v>2</v>
      </c>
      <c r="U139" t="s">
        <v>128</v>
      </c>
      <c r="V139">
        <v>2</v>
      </c>
      <c r="W139">
        <v>2</v>
      </c>
      <c r="X139">
        <v>2</v>
      </c>
      <c r="Y139">
        <v>2</v>
      </c>
      <c r="Z139">
        <v>2</v>
      </c>
      <c r="AA139" t="s">
        <v>2730</v>
      </c>
      <c r="AB139" t="s">
        <v>2732</v>
      </c>
      <c r="AC139" t="s">
        <v>2730</v>
      </c>
      <c r="AD139" t="s">
        <v>2730</v>
      </c>
      <c r="AE139" t="s">
        <v>2730</v>
      </c>
      <c r="AF139" t="s">
        <v>2730</v>
      </c>
      <c r="AG139" t="s">
        <v>2730</v>
      </c>
      <c r="AH139" t="s">
        <v>2730</v>
      </c>
    </row>
    <row r="140" spans="1:34">
      <c r="A140" s="149" t="str">
        <f>HYPERLINK("http://www.ofsted.gov.uk/inspection-reports/find-inspection-report/provider/ELS/131952 ","Ofsted School Webpage")</f>
        <v>Ofsted School Webpage</v>
      </c>
      <c r="B140">
        <v>131952</v>
      </c>
      <c r="C140">
        <v>3046112</v>
      </c>
      <c r="D140" t="s">
        <v>770</v>
      </c>
      <c r="E140" t="s">
        <v>37</v>
      </c>
      <c r="F140" t="s">
        <v>184</v>
      </c>
      <c r="G140" t="s">
        <v>318</v>
      </c>
      <c r="H140" t="s">
        <v>2729</v>
      </c>
      <c r="I140" t="s">
        <v>2730</v>
      </c>
      <c r="J140" t="s">
        <v>186</v>
      </c>
      <c r="K140" t="s">
        <v>232</v>
      </c>
      <c r="L140" t="s">
        <v>232</v>
      </c>
      <c r="M140" t="s">
        <v>749</v>
      </c>
      <c r="N140" t="s">
        <v>771</v>
      </c>
      <c r="O140" t="s">
        <v>772</v>
      </c>
      <c r="P140" s="120">
        <v>41429</v>
      </c>
      <c r="Q140" s="120">
        <v>41431</v>
      </c>
      <c r="R140" s="120">
        <v>41451</v>
      </c>
      <c r="S140" t="s">
        <v>196</v>
      </c>
      <c r="T140">
        <v>2</v>
      </c>
      <c r="U140" t="s">
        <v>2730</v>
      </c>
      <c r="V140">
        <v>2</v>
      </c>
      <c r="W140" t="s">
        <v>2730</v>
      </c>
      <c r="X140">
        <v>2</v>
      </c>
      <c r="Y140">
        <v>2</v>
      </c>
      <c r="Z140" t="s">
        <v>2730</v>
      </c>
      <c r="AA140" t="s">
        <v>2730</v>
      </c>
      <c r="AB140" t="s">
        <v>2730</v>
      </c>
      <c r="AC140" t="s">
        <v>2730</v>
      </c>
      <c r="AD140" t="s">
        <v>2730</v>
      </c>
      <c r="AE140" t="s">
        <v>2730</v>
      </c>
      <c r="AF140" t="s">
        <v>2730</v>
      </c>
      <c r="AG140" t="s">
        <v>2730</v>
      </c>
      <c r="AH140" t="s">
        <v>2730</v>
      </c>
    </row>
    <row r="141" spans="1:34">
      <c r="A141" s="149" t="str">
        <f>HYPERLINK("http://www.ofsted.gov.uk/inspection-reports/find-inspection-report/provider/ELS/141023 ","Ofsted School Webpage")</f>
        <v>Ofsted School Webpage</v>
      </c>
      <c r="B141">
        <v>141023</v>
      </c>
      <c r="C141">
        <v>3156007</v>
      </c>
      <c r="D141" t="s">
        <v>773</v>
      </c>
      <c r="E141" t="s">
        <v>37</v>
      </c>
      <c r="F141" t="s">
        <v>184</v>
      </c>
      <c r="G141" t="s">
        <v>184</v>
      </c>
      <c r="H141" t="s">
        <v>2729</v>
      </c>
      <c r="I141" t="s">
        <v>2730</v>
      </c>
      <c r="J141" t="s">
        <v>186</v>
      </c>
      <c r="K141" t="s">
        <v>232</v>
      </c>
      <c r="L141" t="s">
        <v>232</v>
      </c>
      <c r="M141" t="s">
        <v>236</v>
      </c>
      <c r="N141" t="s">
        <v>774</v>
      </c>
      <c r="O141" t="s">
        <v>775</v>
      </c>
      <c r="P141" s="120">
        <v>42108</v>
      </c>
      <c r="Q141" s="120">
        <v>42110</v>
      </c>
      <c r="R141" s="120">
        <v>42146</v>
      </c>
      <c r="S141" t="s">
        <v>249</v>
      </c>
      <c r="T141">
        <v>1</v>
      </c>
      <c r="U141" t="s">
        <v>2730</v>
      </c>
      <c r="V141">
        <v>1</v>
      </c>
      <c r="W141" t="s">
        <v>2730</v>
      </c>
      <c r="X141">
        <v>1</v>
      </c>
      <c r="Y141">
        <v>1</v>
      </c>
      <c r="Z141">
        <v>1</v>
      </c>
      <c r="AA141">
        <v>9</v>
      </c>
      <c r="AB141" t="s">
        <v>2730</v>
      </c>
      <c r="AC141" t="s">
        <v>2730</v>
      </c>
      <c r="AD141" t="s">
        <v>2730</v>
      </c>
      <c r="AE141" t="s">
        <v>2730</v>
      </c>
      <c r="AF141" t="s">
        <v>2730</v>
      </c>
      <c r="AG141" t="s">
        <v>2730</v>
      </c>
      <c r="AH141" t="s">
        <v>2730</v>
      </c>
    </row>
    <row r="142" spans="1:34">
      <c r="A142" s="149" t="str">
        <f>HYPERLINK("http://www.ofsted.gov.uk/inspection-reports/find-inspection-report/provider/ELS/102693 ","Ofsted School Webpage")</f>
        <v>Ofsted School Webpage</v>
      </c>
      <c r="B142">
        <v>102693</v>
      </c>
      <c r="C142">
        <v>3156072</v>
      </c>
      <c r="D142" t="s">
        <v>2440</v>
      </c>
      <c r="E142" t="s">
        <v>37</v>
      </c>
      <c r="F142" t="s">
        <v>184</v>
      </c>
      <c r="G142" t="s">
        <v>184</v>
      </c>
      <c r="H142" t="s">
        <v>2729</v>
      </c>
      <c r="I142" t="s">
        <v>2730</v>
      </c>
      <c r="J142" t="s">
        <v>186</v>
      </c>
      <c r="K142" t="s">
        <v>232</v>
      </c>
      <c r="L142" t="s">
        <v>232</v>
      </c>
      <c r="M142" t="s">
        <v>236</v>
      </c>
      <c r="N142" t="s">
        <v>774</v>
      </c>
      <c r="O142">
        <v>10006058</v>
      </c>
      <c r="P142" s="120">
        <v>42332</v>
      </c>
      <c r="Q142" s="120">
        <v>42334</v>
      </c>
      <c r="R142" s="120">
        <v>42354</v>
      </c>
      <c r="S142" t="s">
        <v>196</v>
      </c>
      <c r="T142">
        <v>3</v>
      </c>
      <c r="U142" t="s">
        <v>128</v>
      </c>
      <c r="V142">
        <v>3</v>
      </c>
      <c r="W142">
        <v>2</v>
      </c>
      <c r="X142">
        <v>3</v>
      </c>
      <c r="Y142">
        <v>3</v>
      </c>
      <c r="Z142" t="s">
        <v>2730</v>
      </c>
      <c r="AA142" t="s">
        <v>2730</v>
      </c>
      <c r="AB142" t="s">
        <v>2732</v>
      </c>
      <c r="AC142" t="s">
        <v>2730</v>
      </c>
      <c r="AD142" t="s">
        <v>2730</v>
      </c>
      <c r="AE142" t="s">
        <v>2730</v>
      </c>
      <c r="AF142" t="s">
        <v>2730</v>
      </c>
      <c r="AG142" t="s">
        <v>2730</v>
      </c>
      <c r="AH142" t="s">
        <v>2730</v>
      </c>
    </row>
    <row r="143" spans="1:34">
      <c r="A143" s="149" t="str">
        <f>HYPERLINK("http://www.ofsted.gov.uk/inspection-reports/find-inspection-report/provider/ELS/136250 ","Ofsted School Webpage")</f>
        <v>Ofsted School Webpage</v>
      </c>
      <c r="B143">
        <v>136250</v>
      </c>
      <c r="C143">
        <v>2116399</v>
      </c>
      <c r="D143" t="s">
        <v>2441</v>
      </c>
      <c r="E143" t="s">
        <v>37</v>
      </c>
      <c r="F143" t="s">
        <v>184</v>
      </c>
      <c r="G143" t="s">
        <v>184</v>
      </c>
      <c r="H143" t="s">
        <v>2729</v>
      </c>
      <c r="I143" t="s">
        <v>2730</v>
      </c>
      <c r="J143" t="s">
        <v>186</v>
      </c>
      <c r="K143" t="s">
        <v>232</v>
      </c>
      <c r="L143" t="s">
        <v>232</v>
      </c>
      <c r="M143" t="s">
        <v>539</v>
      </c>
      <c r="N143" t="s">
        <v>2442</v>
      </c>
      <c r="O143" t="s">
        <v>3024</v>
      </c>
      <c r="P143" s="120">
        <v>42059</v>
      </c>
      <c r="Q143" s="120">
        <v>42061</v>
      </c>
      <c r="R143" s="120">
        <v>42090</v>
      </c>
      <c r="S143" t="s">
        <v>196</v>
      </c>
      <c r="T143">
        <v>2</v>
      </c>
      <c r="U143" t="s">
        <v>2730</v>
      </c>
      <c r="V143">
        <v>2</v>
      </c>
      <c r="W143" t="s">
        <v>2730</v>
      </c>
      <c r="X143">
        <v>2</v>
      </c>
      <c r="Y143">
        <v>2</v>
      </c>
      <c r="Z143">
        <v>2</v>
      </c>
      <c r="AA143">
        <v>9</v>
      </c>
      <c r="AB143" t="s">
        <v>2730</v>
      </c>
      <c r="AC143" t="s">
        <v>2730</v>
      </c>
      <c r="AD143" t="s">
        <v>2730</v>
      </c>
      <c r="AE143" t="s">
        <v>2730</v>
      </c>
      <c r="AF143" t="s">
        <v>2730</v>
      </c>
      <c r="AG143" t="s">
        <v>2730</v>
      </c>
      <c r="AH143" t="s">
        <v>2730</v>
      </c>
    </row>
    <row r="144" spans="1:34">
      <c r="A144" s="149" t="str">
        <f>HYPERLINK("http://www.ofsted.gov.uk/inspection-reports/find-inspection-report/provider/ELS/134579 ","Ofsted School Webpage")</f>
        <v>Ofsted School Webpage</v>
      </c>
      <c r="B144">
        <v>134579</v>
      </c>
      <c r="C144">
        <v>3206064</v>
      </c>
      <c r="D144" t="s">
        <v>2235</v>
      </c>
      <c r="E144" t="s">
        <v>37</v>
      </c>
      <c r="F144" t="s">
        <v>184</v>
      </c>
      <c r="G144" t="s">
        <v>184</v>
      </c>
      <c r="H144" t="s">
        <v>2729</v>
      </c>
      <c r="I144" t="s">
        <v>2730</v>
      </c>
      <c r="J144" t="s">
        <v>186</v>
      </c>
      <c r="K144" t="s">
        <v>232</v>
      </c>
      <c r="L144" t="s">
        <v>232</v>
      </c>
      <c r="M144" t="s">
        <v>709</v>
      </c>
      <c r="N144" t="s">
        <v>2236</v>
      </c>
      <c r="O144">
        <v>10008548</v>
      </c>
      <c r="P144" s="120">
        <v>42893</v>
      </c>
      <c r="Q144" s="120">
        <v>42895</v>
      </c>
      <c r="R144" s="120">
        <v>42990</v>
      </c>
      <c r="S144" t="s">
        <v>196</v>
      </c>
      <c r="T144">
        <v>4</v>
      </c>
      <c r="U144" t="s">
        <v>129</v>
      </c>
      <c r="V144">
        <v>4</v>
      </c>
      <c r="W144">
        <v>4</v>
      </c>
      <c r="X144">
        <v>4</v>
      </c>
      <c r="Y144">
        <v>4</v>
      </c>
      <c r="Z144">
        <v>4</v>
      </c>
      <c r="AA144" t="s">
        <v>2730</v>
      </c>
      <c r="AB144" t="s">
        <v>2733</v>
      </c>
      <c r="AC144" t="s">
        <v>2730</v>
      </c>
      <c r="AD144" t="s">
        <v>2730</v>
      </c>
      <c r="AE144" t="s">
        <v>2730</v>
      </c>
      <c r="AF144" t="s">
        <v>2730</v>
      </c>
      <c r="AG144" t="s">
        <v>2730</v>
      </c>
      <c r="AH144" t="s">
        <v>2730</v>
      </c>
    </row>
    <row r="145" spans="1:34">
      <c r="A145" s="149" t="str">
        <f>HYPERLINK("http://www.ofsted.gov.uk/inspection-reports/find-inspection-report/provider/ELS/135238 ","Ofsted School Webpage")</f>
        <v>Ofsted School Webpage</v>
      </c>
      <c r="B145">
        <v>135238</v>
      </c>
      <c r="C145">
        <v>3306116</v>
      </c>
      <c r="D145" t="s">
        <v>2237</v>
      </c>
      <c r="E145" t="s">
        <v>37</v>
      </c>
      <c r="F145" t="s">
        <v>184</v>
      </c>
      <c r="G145" t="s">
        <v>184</v>
      </c>
      <c r="H145" t="s">
        <v>2729</v>
      </c>
      <c r="I145" t="s">
        <v>2730</v>
      </c>
      <c r="J145" t="s">
        <v>186</v>
      </c>
      <c r="K145" t="s">
        <v>193</v>
      </c>
      <c r="L145" t="s">
        <v>193</v>
      </c>
      <c r="M145" t="s">
        <v>210</v>
      </c>
      <c r="N145" t="s">
        <v>2238</v>
      </c>
      <c r="O145" t="s">
        <v>2239</v>
      </c>
      <c r="P145" s="120">
        <v>42067</v>
      </c>
      <c r="Q145" s="120">
        <v>42068</v>
      </c>
      <c r="R145" s="120">
        <v>42088</v>
      </c>
      <c r="S145" t="s">
        <v>196</v>
      </c>
      <c r="T145">
        <v>3</v>
      </c>
      <c r="U145" t="s">
        <v>2730</v>
      </c>
      <c r="V145">
        <v>3</v>
      </c>
      <c r="W145" t="s">
        <v>2730</v>
      </c>
      <c r="X145">
        <v>3</v>
      </c>
      <c r="Y145">
        <v>3</v>
      </c>
      <c r="Z145">
        <v>9</v>
      </c>
      <c r="AA145">
        <v>3</v>
      </c>
      <c r="AB145" t="s">
        <v>2730</v>
      </c>
      <c r="AC145">
        <v>10021966</v>
      </c>
      <c r="AD145" t="s">
        <v>187</v>
      </c>
      <c r="AE145" s="120">
        <v>42632</v>
      </c>
      <c r="AF145" t="s">
        <v>2769</v>
      </c>
      <c r="AG145" s="120">
        <v>42676</v>
      </c>
      <c r="AH145" t="s">
        <v>217</v>
      </c>
    </row>
    <row r="146" spans="1:34">
      <c r="A146" s="149" t="str">
        <f>HYPERLINK("http://www.ofsted.gov.uk/inspection-reports/find-inspection-report/provider/ELS/131288 ","Ofsted School Webpage")</f>
        <v>Ofsted School Webpage</v>
      </c>
      <c r="B146">
        <v>131288</v>
      </c>
      <c r="C146">
        <v>3026109</v>
      </c>
      <c r="D146" t="s">
        <v>2240</v>
      </c>
      <c r="E146" t="s">
        <v>37</v>
      </c>
      <c r="F146" t="s">
        <v>184</v>
      </c>
      <c r="G146" t="s">
        <v>184</v>
      </c>
      <c r="H146" t="s">
        <v>2729</v>
      </c>
      <c r="I146" t="s">
        <v>2730</v>
      </c>
      <c r="J146" t="s">
        <v>186</v>
      </c>
      <c r="K146" t="s">
        <v>232</v>
      </c>
      <c r="L146" t="s">
        <v>232</v>
      </c>
      <c r="M146" t="s">
        <v>311</v>
      </c>
      <c r="N146" t="s">
        <v>2241</v>
      </c>
      <c r="O146" t="s">
        <v>2242</v>
      </c>
      <c r="P146" s="120">
        <v>40962</v>
      </c>
      <c r="Q146" s="120">
        <v>40963</v>
      </c>
      <c r="R146" s="120">
        <v>41236</v>
      </c>
      <c r="S146" t="s">
        <v>196</v>
      </c>
      <c r="T146">
        <v>2</v>
      </c>
      <c r="U146" t="s">
        <v>2730</v>
      </c>
      <c r="V146" t="s">
        <v>2730</v>
      </c>
      <c r="W146" t="s">
        <v>2730</v>
      </c>
      <c r="X146">
        <v>2</v>
      </c>
      <c r="Y146">
        <v>2</v>
      </c>
      <c r="Z146">
        <v>8</v>
      </c>
      <c r="AA146" t="s">
        <v>2730</v>
      </c>
      <c r="AB146" t="s">
        <v>2730</v>
      </c>
      <c r="AC146" t="s">
        <v>2730</v>
      </c>
      <c r="AD146" t="s">
        <v>2730</v>
      </c>
      <c r="AE146" t="s">
        <v>2730</v>
      </c>
      <c r="AF146" t="s">
        <v>2730</v>
      </c>
      <c r="AG146" t="s">
        <v>2730</v>
      </c>
      <c r="AH146" t="s">
        <v>2730</v>
      </c>
    </row>
    <row r="147" spans="1:34">
      <c r="A147" s="149" t="str">
        <f>HYPERLINK("http://www.ofsted.gov.uk/inspection-reports/find-inspection-report/provider/ELS/140603 ","Ofsted School Webpage")</f>
        <v>Ofsted School Webpage</v>
      </c>
      <c r="B147">
        <v>140603</v>
      </c>
      <c r="C147">
        <v>2076009</v>
      </c>
      <c r="D147" t="s">
        <v>2243</v>
      </c>
      <c r="E147" t="s">
        <v>37</v>
      </c>
      <c r="F147" t="s">
        <v>184</v>
      </c>
      <c r="G147" t="s">
        <v>184</v>
      </c>
      <c r="H147" t="s">
        <v>2729</v>
      </c>
      <c r="I147" t="s">
        <v>2730</v>
      </c>
      <c r="J147" t="s">
        <v>186</v>
      </c>
      <c r="K147" t="s">
        <v>232</v>
      </c>
      <c r="L147" t="s">
        <v>232</v>
      </c>
      <c r="M147" t="s">
        <v>294</v>
      </c>
      <c r="N147" t="s">
        <v>2244</v>
      </c>
      <c r="O147" t="s">
        <v>2245</v>
      </c>
      <c r="P147" s="120">
        <v>42046</v>
      </c>
      <c r="Q147" s="120">
        <v>42048</v>
      </c>
      <c r="R147" s="120">
        <v>42082</v>
      </c>
      <c r="S147" t="s">
        <v>249</v>
      </c>
      <c r="T147">
        <v>1</v>
      </c>
      <c r="U147" t="s">
        <v>2730</v>
      </c>
      <c r="V147">
        <v>1</v>
      </c>
      <c r="W147" t="s">
        <v>2730</v>
      </c>
      <c r="X147">
        <v>1</v>
      </c>
      <c r="Y147">
        <v>1</v>
      </c>
      <c r="Z147">
        <v>9</v>
      </c>
      <c r="AA147">
        <v>1</v>
      </c>
      <c r="AB147" t="s">
        <v>2730</v>
      </c>
      <c r="AC147" t="s">
        <v>2730</v>
      </c>
      <c r="AD147" t="s">
        <v>2730</v>
      </c>
      <c r="AE147" t="s">
        <v>2730</v>
      </c>
      <c r="AF147" t="s">
        <v>2730</v>
      </c>
      <c r="AG147" t="s">
        <v>2730</v>
      </c>
      <c r="AH147" t="s">
        <v>2730</v>
      </c>
    </row>
    <row r="148" spans="1:34">
      <c r="A148" s="149" t="str">
        <f>HYPERLINK("http://www.ofsted.gov.uk/inspection-reports/find-inspection-report/provider/ELS/142325 ","Ofsted School Webpage")</f>
        <v>Ofsted School Webpage</v>
      </c>
      <c r="B148">
        <v>142325</v>
      </c>
      <c r="C148">
        <v>8686023</v>
      </c>
      <c r="D148" t="s">
        <v>2456</v>
      </c>
      <c r="E148" t="s">
        <v>38</v>
      </c>
      <c r="F148" t="s">
        <v>184</v>
      </c>
      <c r="G148" t="s">
        <v>184</v>
      </c>
      <c r="H148" t="s">
        <v>2729</v>
      </c>
      <c r="I148" t="s">
        <v>2730</v>
      </c>
      <c r="J148" t="s">
        <v>186</v>
      </c>
      <c r="K148" t="s">
        <v>181</v>
      </c>
      <c r="L148" t="s">
        <v>181</v>
      </c>
      <c r="M148" t="s">
        <v>1515</v>
      </c>
      <c r="N148" t="s">
        <v>2457</v>
      </c>
      <c r="O148">
        <v>10012889</v>
      </c>
      <c r="P148" s="120">
        <v>42556</v>
      </c>
      <c r="Q148" s="120">
        <v>42558</v>
      </c>
      <c r="R148" s="120">
        <v>42618</v>
      </c>
      <c r="S148" t="s">
        <v>249</v>
      </c>
      <c r="T148">
        <v>2</v>
      </c>
      <c r="U148" t="s">
        <v>128</v>
      </c>
      <c r="V148">
        <v>2</v>
      </c>
      <c r="W148">
        <v>2</v>
      </c>
      <c r="X148">
        <v>2</v>
      </c>
      <c r="Y148">
        <v>2</v>
      </c>
      <c r="Z148" t="s">
        <v>2730</v>
      </c>
      <c r="AA148">
        <v>3</v>
      </c>
      <c r="AB148" t="s">
        <v>2732</v>
      </c>
      <c r="AC148" t="s">
        <v>2730</v>
      </c>
      <c r="AD148" t="s">
        <v>2730</v>
      </c>
      <c r="AE148" t="s">
        <v>2730</v>
      </c>
      <c r="AF148" t="s">
        <v>2730</v>
      </c>
      <c r="AG148" t="s">
        <v>2730</v>
      </c>
      <c r="AH148" t="s">
        <v>2730</v>
      </c>
    </row>
    <row r="149" spans="1:34">
      <c r="A149" s="149" t="str">
        <f>HYPERLINK("http://www.ofsted.gov.uk/inspection-reports/find-inspection-report/provider/ELS/142328 ","Ofsted School Webpage")</f>
        <v>Ofsted School Webpage</v>
      </c>
      <c r="B149">
        <v>142328</v>
      </c>
      <c r="C149">
        <v>9366005</v>
      </c>
      <c r="D149" t="s">
        <v>2458</v>
      </c>
      <c r="E149" t="s">
        <v>38</v>
      </c>
      <c r="F149" t="s">
        <v>184</v>
      </c>
      <c r="G149" t="s">
        <v>184</v>
      </c>
      <c r="H149" t="s">
        <v>2729</v>
      </c>
      <c r="I149" t="s">
        <v>2730</v>
      </c>
      <c r="J149" t="s">
        <v>186</v>
      </c>
      <c r="K149" t="s">
        <v>181</v>
      </c>
      <c r="L149" t="s">
        <v>181</v>
      </c>
      <c r="M149" t="s">
        <v>582</v>
      </c>
      <c r="N149" t="s">
        <v>396</v>
      </c>
      <c r="O149">
        <v>10034346</v>
      </c>
      <c r="P149" s="120">
        <v>42899</v>
      </c>
      <c r="Q149" s="120">
        <v>42900</v>
      </c>
      <c r="R149" s="120">
        <v>42930</v>
      </c>
      <c r="S149" t="s">
        <v>249</v>
      </c>
      <c r="T149">
        <v>3</v>
      </c>
      <c r="U149" t="s">
        <v>128</v>
      </c>
      <c r="V149">
        <v>3</v>
      </c>
      <c r="W149">
        <v>2</v>
      </c>
      <c r="X149">
        <v>0</v>
      </c>
      <c r="Y149">
        <v>0</v>
      </c>
      <c r="Z149" t="s">
        <v>2730</v>
      </c>
      <c r="AA149" t="s">
        <v>2730</v>
      </c>
      <c r="AB149" t="s">
        <v>2732</v>
      </c>
      <c r="AC149" t="s">
        <v>2730</v>
      </c>
      <c r="AD149" t="s">
        <v>2730</v>
      </c>
      <c r="AE149" t="s">
        <v>2730</v>
      </c>
      <c r="AF149" t="s">
        <v>2730</v>
      </c>
      <c r="AG149" t="s">
        <v>2730</v>
      </c>
      <c r="AH149" t="s">
        <v>2730</v>
      </c>
    </row>
    <row r="150" spans="1:34">
      <c r="A150" s="149" t="str">
        <f>HYPERLINK("http://www.ofsted.gov.uk/inspection-reports/find-inspection-report/provider/ELS/142329 ","Ofsted School Webpage")</f>
        <v>Ofsted School Webpage</v>
      </c>
      <c r="B150">
        <v>142329</v>
      </c>
      <c r="C150">
        <v>3046001</v>
      </c>
      <c r="D150" t="s">
        <v>2459</v>
      </c>
      <c r="E150" t="s">
        <v>37</v>
      </c>
      <c r="F150" t="s">
        <v>184</v>
      </c>
      <c r="G150" t="s">
        <v>184</v>
      </c>
      <c r="H150" t="s">
        <v>2729</v>
      </c>
      <c r="I150" t="s">
        <v>2730</v>
      </c>
      <c r="J150" t="s">
        <v>186</v>
      </c>
      <c r="K150" t="s">
        <v>232</v>
      </c>
      <c r="L150" t="s">
        <v>232</v>
      </c>
      <c r="M150" t="s">
        <v>749</v>
      </c>
      <c r="N150" t="s">
        <v>2460</v>
      </c>
      <c r="O150">
        <v>10012797</v>
      </c>
      <c r="P150" s="120">
        <v>42759</v>
      </c>
      <c r="Q150" s="120">
        <v>42761</v>
      </c>
      <c r="R150" s="120">
        <v>42801</v>
      </c>
      <c r="S150" t="s">
        <v>249</v>
      </c>
      <c r="T150">
        <v>3</v>
      </c>
      <c r="U150" t="s">
        <v>128</v>
      </c>
      <c r="V150">
        <v>3</v>
      </c>
      <c r="W150">
        <v>2</v>
      </c>
      <c r="X150">
        <v>3</v>
      </c>
      <c r="Y150">
        <v>3</v>
      </c>
      <c r="Z150" t="s">
        <v>2730</v>
      </c>
      <c r="AA150">
        <v>2</v>
      </c>
      <c r="AB150" t="s">
        <v>2732</v>
      </c>
      <c r="AC150" t="s">
        <v>2730</v>
      </c>
      <c r="AD150" t="s">
        <v>2730</v>
      </c>
      <c r="AE150" t="s">
        <v>2730</v>
      </c>
      <c r="AF150" t="s">
        <v>2730</v>
      </c>
      <c r="AG150" t="s">
        <v>2730</v>
      </c>
      <c r="AH150" t="s">
        <v>2730</v>
      </c>
    </row>
    <row r="151" spans="1:34">
      <c r="A151" s="149" t="str">
        <f>HYPERLINK("http://www.ofsted.gov.uk/inspection-reports/find-inspection-report/provider/ELS/142330 ","Ofsted School Webpage")</f>
        <v>Ofsted School Webpage</v>
      </c>
      <c r="B151">
        <v>142330</v>
      </c>
      <c r="C151">
        <v>3826004</v>
      </c>
      <c r="D151" t="s">
        <v>787</v>
      </c>
      <c r="E151" t="s">
        <v>37</v>
      </c>
      <c r="F151" t="s">
        <v>184</v>
      </c>
      <c r="G151" t="s">
        <v>223</v>
      </c>
      <c r="H151" t="s">
        <v>2729</v>
      </c>
      <c r="I151" t="s">
        <v>2730</v>
      </c>
      <c r="J151" t="s">
        <v>186</v>
      </c>
      <c r="K151" t="s">
        <v>245</v>
      </c>
      <c r="L151" t="s">
        <v>246</v>
      </c>
      <c r="M151" t="s">
        <v>768</v>
      </c>
      <c r="N151" t="s">
        <v>788</v>
      </c>
      <c r="O151">
        <v>10012860</v>
      </c>
      <c r="P151" s="120">
        <v>42633</v>
      </c>
      <c r="Q151" s="120">
        <v>42635</v>
      </c>
      <c r="R151" s="120">
        <v>42683</v>
      </c>
      <c r="S151" t="s">
        <v>249</v>
      </c>
      <c r="T151">
        <v>4</v>
      </c>
      <c r="U151" t="s">
        <v>128</v>
      </c>
      <c r="V151">
        <v>4</v>
      </c>
      <c r="W151">
        <v>3</v>
      </c>
      <c r="X151">
        <v>4</v>
      </c>
      <c r="Y151">
        <v>4</v>
      </c>
      <c r="Z151" t="s">
        <v>2730</v>
      </c>
      <c r="AA151" t="s">
        <v>2730</v>
      </c>
      <c r="AB151" t="s">
        <v>2733</v>
      </c>
      <c r="AC151">
        <v>10034649</v>
      </c>
      <c r="AD151" t="s">
        <v>187</v>
      </c>
      <c r="AE151" s="120">
        <v>42919</v>
      </c>
      <c r="AF151" t="s">
        <v>2769</v>
      </c>
      <c r="AG151" s="120">
        <v>42989</v>
      </c>
      <c r="AH151" t="s">
        <v>217</v>
      </c>
    </row>
    <row r="152" spans="1:34">
      <c r="A152" s="149" t="str">
        <f>HYPERLINK("http://www.ofsted.gov.uk/inspection-reports/find-inspection-report/provider/ELS/142568 ","Ofsted School Webpage")</f>
        <v>Ofsted School Webpage</v>
      </c>
      <c r="B152">
        <v>142568</v>
      </c>
      <c r="C152">
        <v>8876010</v>
      </c>
      <c r="D152" t="s">
        <v>2113</v>
      </c>
      <c r="E152" t="s">
        <v>37</v>
      </c>
      <c r="F152" t="s">
        <v>184</v>
      </c>
      <c r="G152" t="s">
        <v>184</v>
      </c>
      <c r="H152" t="s">
        <v>2729</v>
      </c>
      <c r="I152" t="s">
        <v>2730</v>
      </c>
      <c r="J152" t="s">
        <v>186</v>
      </c>
      <c r="K152" t="s">
        <v>181</v>
      </c>
      <c r="L152" t="s">
        <v>181</v>
      </c>
      <c r="M152" t="s">
        <v>272</v>
      </c>
      <c r="N152" t="s">
        <v>2114</v>
      </c>
      <c r="O152">
        <v>10020881</v>
      </c>
      <c r="P152" s="120">
        <v>42683</v>
      </c>
      <c r="Q152" s="120">
        <v>42685</v>
      </c>
      <c r="R152" s="120">
        <v>42740</v>
      </c>
      <c r="S152" t="s">
        <v>249</v>
      </c>
      <c r="T152">
        <v>3</v>
      </c>
      <c r="U152" t="s">
        <v>128</v>
      </c>
      <c r="V152">
        <v>3</v>
      </c>
      <c r="W152">
        <v>2</v>
      </c>
      <c r="X152">
        <v>3</v>
      </c>
      <c r="Y152">
        <v>3</v>
      </c>
      <c r="Z152" t="s">
        <v>2730</v>
      </c>
      <c r="AA152" t="s">
        <v>2730</v>
      </c>
      <c r="AB152" t="s">
        <v>2732</v>
      </c>
      <c r="AC152" t="s">
        <v>2730</v>
      </c>
      <c r="AD152" t="s">
        <v>2730</v>
      </c>
      <c r="AE152" t="s">
        <v>2730</v>
      </c>
      <c r="AF152" t="s">
        <v>2730</v>
      </c>
      <c r="AG152" t="s">
        <v>2730</v>
      </c>
      <c r="AH152" t="s">
        <v>2730</v>
      </c>
    </row>
    <row r="153" spans="1:34">
      <c r="A153" s="149" t="str">
        <f>HYPERLINK("http://www.ofsted.gov.uk/inspection-reports/find-inspection-report/provider/ELS/142572 ","Ofsted School Webpage")</f>
        <v>Ofsted School Webpage</v>
      </c>
      <c r="B153">
        <v>142572</v>
      </c>
      <c r="C153">
        <v>2046012</v>
      </c>
      <c r="D153" t="s">
        <v>2115</v>
      </c>
      <c r="E153" t="s">
        <v>37</v>
      </c>
      <c r="F153" t="s">
        <v>184</v>
      </c>
      <c r="G153" t="s">
        <v>318</v>
      </c>
      <c r="H153" t="s">
        <v>2729</v>
      </c>
      <c r="I153" t="s">
        <v>2730</v>
      </c>
      <c r="J153" t="s">
        <v>186</v>
      </c>
      <c r="K153" t="s">
        <v>232</v>
      </c>
      <c r="L153" t="s">
        <v>232</v>
      </c>
      <c r="M153" t="s">
        <v>479</v>
      </c>
      <c r="N153" t="s">
        <v>1281</v>
      </c>
      <c r="O153">
        <v>10026300</v>
      </c>
      <c r="P153" s="120">
        <v>42913</v>
      </c>
      <c r="Q153" s="120">
        <v>42915</v>
      </c>
      <c r="R153" s="120">
        <v>43033</v>
      </c>
      <c r="S153" t="s">
        <v>249</v>
      </c>
      <c r="T153">
        <v>4</v>
      </c>
      <c r="U153" t="s">
        <v>128</v>
      </c>
      <c r="V153">
        <v>4</v>
      </c>
      <c r="W153">
        <v>3</v>
      </c>
      <c r="X153">
        <v>3</v>
      </c>
      <c r="Y153">
        <v>3</v>
      </c>
      <c r="Z153" t="s">
        <v>2730</v>
      </c>
      <c r="AA153" t="s">
        <v>2730</v>
      </c>
      <c r="AB153" t="s">
        <v>2733</v>
      </c>
      <c r="AC153" t="s">
        <v>2730</v>
      </c>
      <c r="AD153" t="s">
        <v>2730</v>
      </c>
      <c r="AE153" t="s">
        <v>2730</v>
      </c>
      <c r="AF153" t="s">
        <v>2730</v>
      </c>
      <c r="AG153" t="s">
        <v>2730</v>
      </c>
      <c r="AH153" t="s">
        <v>2730</v>
      </c>
    </row>
    <row r="154" spans="1:34">
      <c r="A154" s="149" t="str">
        <f>HYPERLINK("http://www.ofsted.gov.uk/inspection-reports/find-inspection-report/provider/ELS/142603 ","Ofsted School Webpage")</f>
        <v>Ofsted School Webpage</v>
      </c>
      <c r="B154">
        <v>142603</v>
      </c>
      <c r="C154">
        <v>3366001</v>
      </c>
      <c r="D154" t="s">
        <v>2650</v>
      </c>
      <c r="E154" t="s">
        <v>38</v>
      </c>
      <c r="F154" t="s">
        <v>184</v>
      </c>
      <c r="G154" t="s">
        <v>184</v>
      </c>
      <c r="H154" t="s">
        <v>2729</v>
      </c>
      <c r="I154" t="s">
        <v>2730</v>
      </c>
      <c r="J154" t="s">
        <v>186</v>
      </c>
      <c r="K154" t="s">
        <v>193</v>
      </c>
      <c r="L154" t="s">
        <v>193</v>
      </c>
      <c r="M154" t="s">
        <v>2311</v>
      </c>
      <c r="N154" t="s">
        <v>2651</v>
      </c>
      <c r="O154" t="s">
        <v>2730</v>
      </c>
      <c r="P154" s="120" t="s">
        <v>2730</v>
      </c>
      <c r="Q154" s="120" t="s">
        <v>2730</v>
      </c>
      <c r="R154" s="120" t="s">
        <v>2730</v>
      </c>
      <c r="S154" t="s">
        <v>2730</v>
      </c>
      <c r="T154" t="s">
        <v>2730</v>
      </c>
      <c r="U154" t="s">
        <v>2730</v>
      </c>
      <c r="V154" t="s">
        <v>2730</v>
      </c>
      <c r="W154" t="s">
        <v>2730</v>
      </c>
      <c r="X154" t="s">
        <v>2730</v>
      </c>
      <c r="Y154" t="s">
        <v>2730</v>
      </c>
      <c r="Z154" t="s">
        <v>2730</v>
      </c>
      <c r="AA154" t="s">
        <v>2730</v>
      </c>
      <c r="AB154" t="s">
        <v>2730</v>
      </c>
      <c r="AC154" t="s">
        <v>2730</v>
      </c>
      <c r="AD154" t="s">
        <v>2730</v>
      </c>
      <c r="AE154" t="s">
        <v>2730</v>
      </c>
      <c r="AF154" t="s">
        <v>2730</v>
      </c>
      <c r="AG154" t="s">
        <v>2730</v>
      </c>
      <c r="AH154" t="s">
        <v>2730</v>
      </c>
    </row>
    <row r="155" spans="1:34">
      <c r="A155" s="149" t="str">
        <f>HYPERLINK("http://www.ofsted.gov.uk/inspection-reports/find-inspection-report/provider/ELS/142621 ","Ofsted School Webpage")</f>
        <v>Ofsted School Webpage</v>
      </c>
      <c r="B155">
        <v>142621</v>
      </c>
      <c r="C155">
        <v>3066016</v>
      </c>
      <c r="D155" t="s">
        <v>2599</v>
      </c>
      <c r="E155" t="s">
        <v>38</v>
      </c>
      <c r="F155" t="s">
        <v>184</v>
      </c>
      <c r="G155" t="s">
        <v>184</v>
      </c>
      <c r="H155" t="s">
        <v>2729</v>
      </c>
      <c r="I155" t="s">
        <v>2730</v>
      </c>
      <c r="J155" t="s">
        <v>186</v>
      </c>
      <c r="K155" t="s">
        <v>232</v>
      </c>
      <c r="L155" t="s">
        <v>232</v>
      </c>
      <c r="M155" t="s">
        <v>723</v>
      </c>
      <c r="N155" t="s">
        <v>2600</v>
      </c>
      <c r="O155">
        <v>10035816</v>
      </c>
      <c r="P155" s="120">
        <v>43046</v>
      </c>
      <c r="Q155" s="120">
        <v>43048</v>
      </c>
      <c r="R155" s="120">
        <v>43077</v>
      </c>
      <c r="S155" t="s">
        <v>249</v>
      </c>
      <c r="T155">
        <v>3</v>
      </c>
      <c r="U155" t="s">
        <v>128</v>
      </c>
      <c r="V155">
        <v>2</v>
      </c>
      <c r="W155">
        <v>2</v>
      </c>
      <c r="X155">
        <v>3</v>
      </c>
      <c r="Y155">
        <v>3</v>
      </c>
      <c r="Z155" t="s">
        <v>2730</v>
      </c>
      <c r="AA155" t="s">
        <v>2730</v>
      </c>
      <c r="AB155" t="s">
        <v>2732</v>
      </c>
      <c r="AC155" t="s">
        <v>2730</v>
      </c>
      <c r="AD155" t="s">
        <v>2730</v>
      </c>
      <c r="AE155" t="s">
        <v>2730</v>
      </c>
      <c r="AF155" t="s">
        <v>2730</v>
      </c>
      <c r="AG155" t="s">
        <v>2730</v>
      </c>
      <c r="AH155" t="s">
        <v>2730</v>
      </c>
    </row>
    <row r="156" spans="1:34">
      <c r="A156" s="149" t="str">
        <f>HYPERLINK("http://www.ofsted.gov.uk/inspection-reports/find-inspection-report/provider/ELS/142623 ","Ofsted School Webpage")</f>
        <v>Ofsted School Webpage</v>
      </c>
      <c r="B156">
        <v>142623</v>
      </c>
      <c r="C156">
        <v>3306025</v>
      </c>
      <c r="D156" t="s">
        <v>512</v>
      </c>
      <c r="E156" t="s">
        <v>37</v>
      </c>
      <c r="F156" t="s">
        <v>184</v>
      </c>
      <c r="G156" t="s">
        <v>184</v>
      </c>
      <c r="H156" t="s">
        <v>2729</v>
      </c>
      <c r="I156" t="s">
        <v>2730</v>
      </c>
      <c r="J156" t="s">
        <v>186</v>
      </c>
      <c r="K156" t="s">
        <v>193</v>
      </c>
      <c r="L156" t="s">
        <v>193</v>
      </c>
      <c r="M156" t="s">
        <v>210</v>
      </c>
      <c r="N156" t="s">
        <v>513</v>
      </c>
      <c r="O156">
        <v>10020883</v>
      </c>
      <c r="P156" s="120">
        <v>42997</v>
      </c>
      <c r="Q156" s="120">
        <v>42999</v>
      </c>
      <c r="R156" s="120">
        <v>43028</v>
      </c>
      <c r="S156" t="s">
        <v>249</v>
      </c>
      <c r="T156">
        <v>2</v>
      </c>
      <c r="U156" t="s">
        <v>128</v>
      </c>
      <c r="V156">
        <v>2</v>
      </c>
      <c r="W156">
        <v>2</v>
      </c>
      <c r="X156">
        <v>2</v>
      </c>
      <c r="Y156">
        <v>2</v>
      </c>
      <c r="Z156" t="s">
        <v>2730</v>
      </c>
      <c r="AA156">
        <v>2</v>
      </c>
      <c r="AB156" t="s">
        <v>2732</v>
      </c>
      <c r="AC156" t="s">
        <v>2730</v>
      </c>
      <c r="AD156" t="s">
        <v>2730</v>
      </c>
      <c r="AE156" t="s">
        <v>2730</v>
      </c>
      <c r="AF156" t="s">
        <v>2730</v>
      </c>
      <c r="AG156" t="s">
        <v>2730</v>
      </c>
      <c r="AH156" t="s">
        <v>2730</v>
      </c>
    </row>
    <row r="157" spans="1:34">
      <c r="A157" s="149" t="str">
        <f>HYPERLINK("http://www.ofsted.gov.uk/inspection-reports/find-inspection-report/provider/ELS/142939 ","Ofsted School Webpage")</f>
        <v>Ofsted School Webpage</v>
      </c>
      <c r="B157">
        <v>142939</v>
      </c>
      <c r="C157">
        <v>8556038</v>
      </c>
      <c r="D157" t="s">
        <v>2262</v>
      </c>
      <c r="E157" t="s">
        <v>37</v>
      </c>
      <c r="F157" t="s">
        <v>184</v>
      </c>
      <c r="G157" t="s">
        <v>184</v>
      </c>
      <c r="H157" t="s">
        <v>2729</v>
      </c>
      <c r="I157" t="s">
        <v>2730</v>
      </c>
      <c r="J157" t="s">
        <v>186</v>
      </c>
      <c r="K157" t="s">
        <v>214</v>
      </c>
      <c r="L157" t="s">
        <v>214</v>
      </c>
      <c r="M157" t="s">
        <v>281</v>
      </c>
      <c r="N157" t="s">
        <v>2263</v>
      </c>
      <c r="O157" t="s">
        <v>2730</v>
      </c>
      <c r="P157" s="120" t="s">
        <v>2730</v>
      </c>
      <c r="Q157" s="120" t="s">
        <v>2730</v>
      </c>
      <c r="R157" s="120" t="s">
        <v>2730</v>
      </c>
      <c r="S157" t="s">
        <v>2730</v>
      </c>
      <c r="T157" t="s">
        <v>2730</v>
      </c>
      <c r="U157" t="s">
        <v>2730</v>
      </c>
      <c r="V157" t="s">
        <v>2730</v>
      </c>
      <c r="W157" t="s">
        <v>2730</v>
      </c>
      <c r="X157" t="s">
        <v>2730</v>
      </c>
      <c r="Y157" t="s">
        <v>2730</v>
      </c>
      <c r="Z157" t="s">
        <v>2730</v>
      </c>
      <c r="AA157" t="s">
        <v>2730</v>
      </c>
      <c r="AB157" t="s">
        <v>2730</v>
      </c>
      <c r="AC157" t="s">
        <v>2730</v>
      </c>
      <c r="AD157" t="s">
        <v>2730</v>
      </c>
      <c r="AE157" t="s">
        <v>2730</v>
      </c>
      <c r="AF157" t="s">
        <v>2730</v>
      </c>
      <c r="AG157" t="s">
        <v>2730</v>
      </c>
      <c r="AH157" t="s">
        <v>2730</v>
      </c>
    </row>
    <row r="158" spans="1:34">
      <c r="A158" s="149" t="str">
        <f>HYPERLINK("http://www.ofsted.gov.uk/inspection-reports/find-inspection-report/provider/ELS/143017 ","Ofsted School Webpage")</f>
        <v>Ofsted School Webpage</v>
      </c>
      <c r="B158">
        <v>143017</v>
      </c>
      <c r="C158">
        <v>9336005</v>
      </c>
      <c r="D158" t="s">
        <v>2264</v>
      </c>
      <c r="E158" t="s">
        <v>37</v>
      </c>
      <c r="F158" t="s">
        <v>184</v>
      </c>
      <c r="G158" t="s">
        <v>184</v>
      </c>
      <c r="H158" t="s">
        <v>2729</v>
      </c>
      <c r="I158" t="s">
        <v>2730</v>
      </c>
      <c r="J158" t="s">
        <v>186</v>
      </c>
      <c r="K158" t="s">
        <v>225</v>
      </c>
      <c r="L158" t="s">
        <v>225</v>
      </c>
      <c r="M158" t="s">
        <v>262</v>
      </c>
      <c r="N158" t="s">
        <v>2265</v>
      </c>
      <c r="O158" t="s">
        <v>2730</v>
      </c>
      <c r="P158" s="120" t="s">
        <v>2730</v>
      </c>
      <c r="Q158" s="120" t="s">
        <v>2730</v>
      </c>
      <c r="R158" s="120" t="s">
        <v>2730</v>
      </c>
      <c r="S158" t="s">
        <v>2730</v>
      </c>
      <c r="T158" t="s">
        <v>2730</v>
      </c>
      <c r="U158" t="s">
        <v>2730</v>
      </c>
      <c r="V158" t="s">
        <v>2730</v>
      </c>
      <c r="W158" t="s">
        <v>2730</v>
      </c>
      <c r="X158" t="s">
        <v>2730</v>
      </c>
      <c r="Y158" t="s">
        <v>2730</v>
      </c>
      <c r="Z158" t="s">
        <v>2730</v>
      </c>
      <c r="AA158" t="s">
        <v>2730</v>
      </c>
      <c r="AB158" t="s">
        <v>2730</v>
      </c>
      <c r="AC158" t="s">
        <v>2730</v>
      </c>
      <c r="AD158" t="s">
        <v>2730</v>
      </c>
      <c r="AE158" t="s">
        <v>2730</v>
      </c>
      <c r="AF158" t="s">
        <v>2730</v>
      </c>
      <c r="AG158" t="s">
        <v>2730</v>
      </c>
      <c r="AH158" t="s">
        <v>2730</v>
      </c>
    </row>
    <row r="159" spans="1:34">
      <c r="A159" s="149" t="str">
        <f>HYPERLINK("http://www.ofsted.gov.uk/inspection-reports/find-inspection-report/provider/ELS/143018 ","Ofsted School Webpage")</f>
        <v>Ofsted School Webpage</v>
      </c>
      <c r="B159">
        <v>143018</v>
      </c>
      <c r="C159">
        <v>9166006</v>
      </c>
      <c r="D159" t="s">
        <v>2266</v>
      </c>
      <c r="E159" t="s">
        <v>37</v>
      </c>
      <c r="F159" t="s">
        <v>184</v>
      </c>
      <c r="G159" t="s">
        <v>184</v>
      </c>
      <c r="H159" t="s">
        <v>2729</v>
      </c>
      <c r="I159" t="s">
        <v>2730</v>
      </c>
      <c r="J159" t="s">
        <v>186</v>
      </c>
      <c r="K159" t="s">
        <v>225</v>
      </c>
      <c r="L159" t="s">
        <v>225</v>
      </c>
      <c r="M159" t="s">
        <v>265</v>
      </c>
      <c r="N159" t="s">
        <v>2267</v>
      </c>
      <c r="O159" t="s">
        <v>2730</v>
      </c>
      <c r="P159" s="120" t="s">
        <v>2730</v>
      </c>
      <c r="Q159" s="120" t="s">
        <v>2730</v>
      </c>
      <c r="R159" s="120" t="s">
        <v>2730</v>
      </c>
      <c r="S159" t="s">
        <v>2730</v>
      </c>
      <c r="T159" t="s">
        <v>2730</v>
      </c>
      <c r="U159" t="s">
        <v>2730</v>
      </c>
      <c r="V159" t="s">
        <v>2730</v>
      </c>
      <c r="W159" t="s">
        <v>2730</v>
      </c>
      <c r="X159" t="s">
        <v>2730</v>
      </c>
      <c r="Y159" t="s">
        <v>2730</v>
      </c>
      <c r="Z159" t="s">
        <v>2730</v>
      </c>
      <c r="AA159" t="s">
        <v>2730</v>
      </c>
      <c r="AB159" t="s">
        <v>2730</v>
      </c>
      <c r="AC159" t="s">
        <v>2730</v>
      </c>
      <c r="AD159" t="s">
        <v>2730</v>
      </c>
      <c r="AE159" t="s">
        <v>2730</v>
      </c>
      <c r="AF159" t="s">
        <v>2730</v>
      </c>
      <c r="AG159" t="s">
        <v>2730</v>
      </c>
      <c r="AH159" t="s">
        <v>2730</v>
      </c>
    </row>
    <row r="160" spans="1:34">
      <c r="A160" s="149" t="str">
        <f>HYPERLINK("http://www.ofsted.gov.uk/inspection-reports/find-inspection-report/provider/ELS/143019 ","Ofsted School Webpage")</f>
        <v>Ofsted School Webpage</v>
      </c>
      <c r="B160">
        <v>143019</v>
      </c>
      <c r="C160">
        <v>3016005</v>
      </c>
      <c r="D160" t="s">
        <v>2268</v>
      </c>
      <c r="E160" t="s">
        <v>37</v>
      </c>
      <c r="F160" t="s">
        <v>184</v>
      </c>
      <c r="G160" t="s">
        <v>184</v>
      </c>
      <c r="H160" t="s">
        <v>2729</v>
      </c>
      <c r="I160" t="s">
        <v>2730</v>
      </c>
      <c r="J160" t="s">
        <v>186</v>
      </c>
      <c r="K160" t="s">
        <v>232</v>
      </c>
      <c r="L160" t="s">
        <v>232</v>
      </c>
      <c r="M160" t="s">
        <v>1164</v>
      </c>
      <c r="N160" t="s">
        <v>2269</v>
      </c>
      <c r="O160">
        <v>10035817</v>
      </c>
      <c r="P160" s="120">
        <v>43039</v>
      </c>
      <c r="Q160" s="120">
        <v>43041</v>
      </c>
      <c r="R160" s="120">
        <v>43070</v>
      </c>
      <c r="S160" t="s">
        <v>249</v>
      </c>
      <c r="T160">
        <v>2</v>
      </c>
      <c r="U160" t="s">
        <v>128</v>
      </c>
      <c r="V160">
        <v>2</v>
      </c>
      <c r="W160">
        <v>2</v>
      </c>
      <c r="X160">
        <v>2</v>
      </c>
      <c r="Y160">
        <v>2</v>
      </c>
      <c r="Z160" t="s">
        <v>2730</v>
      </c>
      <c r="AA160" t="s">
        <v>2730</v>
      </c>
      <c r="AB160" t="s">
        <v>2732</v>
      </c>
      <c r="AC160" t="s">
        <v>2730</v>
      </c>
      <c r="AD160" t="s">
        <v>2730</v>
      </c>
      <c r="AE160" s="120" t="s">
        <v>2730</v>
      </c>
      <c r="AF160" t="s">
        <v>2730</v>
      </c>
      <c r="AG160" s="120" t="s">
        <v>2730</v>
      </c>
      <c r="AH160" t="s">
        <v>2730</v>
      </c>
    </row>
    <row r="161" spans="1:34">
      <c r="A161" s="149" t="str">
        <f>HYPERLINK("http://www.ofsted.gov.uk/inspection-reports/find-inspection-report/provider/ELS/143026 ","Ofsted School Webpage")</f>
        <v>Ofsted School Webpage</v>
      </c>
      <c r="B161">
        <v>143026</v>
      </c>
      <c r="C161">
        <v>3506004</v>
      </c>
      <c r="D161" t="s">
        <v>1993</v>
      </c>
      <c r="E161" t="s">
        <v>38</v>
      </c>
      <c r="F161" t="s">
        <v>184</v>
      </c>
      <c r="G161" t="s">
        <v>184</v>
      </c>
      <c r="H161" t="s">
        <v>2729</v>
      </c>
      <c r="I161" t="s">
        <v>2730</v>
      </c>
      <c r="J161" t="s">
        <v>186</v>
      </c>
      <c r="K161" t="s">
        <v>205</v>
      </c>
      <c r="L161" t="s">
        <v>205</v>
      </c>
      <c r="M161" t="s">
        <v>1265</v>
      </c>
      <c r="N161" t="s">
        <v>1994</v>
      </c>
      <c r="O161">
        <v>10034043</v>
      </c>
      <c r="P161" s="120">
        <v>42920</v>
      </c>
      <c r="Q161" s="120">
        <v>42922</v>
      </c>
      <c r="R161" s="120">
        <v>42940</v>
      </c>
      <c r="S161" t="s">
        <v>249</v>
      </c>
      <c r="T161">
        <v>2</v>
      </c>
      <c r="U161" t="s">
        <v>128</v>
      </c>
      <c r="V161">
        <v>2</v>
      </c>
      <c r="W161">
        <v>1</v>
      </c>
      <c r="X161">
        <v>2</v>
      </c>
      <c r="Y161">
        <v>2</v>
      </c>
      <c r="Z161" t="s">
        <v>2730</v>
      </c>
      <c r="AA161">
        <v>2</v>
      </c>
      <c r="AB161" t="s">
        <v>2732</v>
      </c>
      <c r="AC161" t="s">
        <v>2730</v>
      </c>
      <c r="AD161" t="s">
        <v>2730</v>
      </c>
      <c r="AE161" t="s">
        <v>2730</v>
      </c>
      <c r="AF161" t="s">
        <v>2730</v>
      </c>
      <c r="AG161" t="s">
        <v>2730</v>
      </c>
      <c r="AH161" t="s">
        <v>2730</v>
      </c>
    </row>
    <row r="162" spans="1:34">
      <c r="A162" s="149" t="str">
        <f>HYPERLINK("http://www.ofsted.gov.uk/inspection-reports/find-inspection-report/provider/ELS/143640 ","Ofsted School Webpage")</f>
        <v>Ofsted School Webpage</v>
      </c>
      <c r="B162">
        <v>143640</v>
      </c>
      <c r="C162">
        <v>3046004</v>
      </c>
      <c r="D162" t="s">
        <v>2491</v>
      </c>
      <c r="E162" t="s">
        <v>37</v>
      </c>
      <c r="F162" t="s">
        <v>184</v>
      </c>
      <c r="G162" t="s">
        <v>304</v>
      </c>
      <c r="H162" t="s">
        <v>2729</v>
      </c>
      <c r="I162" t="s">
        <v>2730</v>
      </c>
      <c r="J162" t="s">
        <v>186</v>
      </c>
      <c r="K162" t="s">
        <v>232</v>
      </c>
      <c r="L162" t="s">
        <v>232</v>
      </c>
      <c r="M162" t="s">
        <v>749</v>
      </c>
      <c r="N162" t="s">
        <v>2492</v>
      </c>
      <c r="O162" t="s">
        <v>2730</v>
      </c>
      <c r="P162" s="120" t="s">
        <v>2730</v>
      </c>
      <c r="Q162" s="120" t="s">
        <v>2730</v>
      </c>
      <c r="R162" s="120" t="s">
        <v>2730</v>
      </c>
      <c r="S162" t="s">
        <v>2730</v>
      </c>
      <c r="T162" t="s">
        <v>2730</v>
      </c>
      <c r="U162" t="s">
        <v>2730</v>
      </c>
      <c r="V162" t="s">
        <v>2730</v>
      </c>
      <c r="W162" t="s">
        <v>2730</v>
      </c>
      <c r="X162" t="s">
        <v>2730</v>
      </c>
      <c r="Y162" t="s">
        <v>2730</v>
      </c>
      <c r="Z162" t="s">
        <v>2730</v>
      </c>
      <c r="AA162" t="s">
        <v>2730</v>
      </c>
      <c r="AB162" t="s">
        <v>2730</v>
      </c>
      <c r="AC162" t="s">
        <v>2730</v>
      </c>
      <c r="AD162" t="s">
        <v>2730</v>
      </c>
      <c r="AE162" t="s">
        <v>2730</v>
      </c>
      <c r="AF162" t="s">
        <v>2730</v>
      </c>
      <c r="AG162" t="s">
        <v>2730</v>
      </c>
      <c r="AH162" t="s">
        <v>2730</v>
      </c>
    </row>
    <row r="163" spans="1:34">
      <c r="A163" s="149" t="str">
        <f>HYPERLINK("http://www.ofsted.gov.uk/inspection-reports/find-inspection-report/provider/ELS/143642 ","Ofsted School Webpage")</f>
        <v>Ofsted School Webpage</v>
      </c>
      <c r="B163">
        <v>143642</v>
      </c>
      <c r="C163">
        <v>8356039</v>
      </c>
      <c r="D163" t="s">
        <v>2493</v>
      </c>
      <c r="E163" t="s">
        <v>38</v>
      </c>
      <c r="F163" t="s">
        <v>184</v>
      </c>
      <c r="G163" t="s">
        <v>184</v>
      </c>
      <c r="H163" t="s">
        <v>2729</v>
      </c>
      <c r="I163" t="s">
        <v>2730</v>
      </c>
      <c r="J163" t="s">
        <v>186</v>
      </c>
      <c r="K163" t="s">
        <v>225</v>
      </c>
      <c r="L163" t="s">
        <v>225</v>
      </c>
      <c r="M163" t="s">
        <v>611</v>
      </c>
      <c r="N163" t="s">
        <v>2494</v>
      </c>
      <c r="O163" t="s">
        <v>2730</v>
      </c>
      <c r="P163" s="120" t="s">
        <v>2730</v>
      </c>
      <c r="Q163" s="120" t="s">
        <v>2730</v>
      </c>
      <c r="R163" s="120" t="s">
        <v>2730</v>
      </c>
      <c r="S163" t="s">
        <v>2730</v>
      </c>
      <c r="T163" t="s">
        <v>2730</v>
      </c>
      <c r="U163" t="s">
        <v>2730</v>
      </c>
      <c r="V163" t="s">
        <v>2730</v>
      </c>
      <c r="W163" t="s">
        <v>2730</v>
      </c>
      <c r="X163" t="s">
        <v>2730</v>
      </c>
      <c r="Y163" t="s">
        <v>2730</v>
      </c>
      <c r="Z163" t="s">
        <v>2730</v>
      </c>
      <c r="AA163" t="s">
        <v>2730</v>
      </c>
      <c r="AB163" t="s">
        <v>2730</v>
      </c>
      <c r="AC163" t="s">
        <v>2730</v>
      </c>
      <c r="AD163" t="s">
        <v>2730</v>
      </c>
      <c r="AE163" t="s">
        <v>2730</v>
      </c>
      <c r="AF163" t="s">
        <v>2730</v>
      </c>
      <c r="AG163" t="s">
        <v>2730</v>
      </c>
      <c r="AH163" t="s">
        <v>2730</v>
      </c>
    </row>
    <row r="164" spans="1:34">
      <c r="A164" s="149" t="str">
        <f>HYPERLINK("http://www.ofsted.gov.uk/inspection-reports/find-inspection-report/provider/ELS/143646 ","Ofsted School Webpage")</f>
        <v>Ofsted School Webpage</v>
      </c>
      <c r="B164">
        <v>143646</v>
      </c>
      <c r="C164">
        <v>3516006</v>
      </c>
      <c r="D164" t="s">
        <v>2662</v>
      </c>
      <c r="E164" t="s">
        <v>37</v>
      </c>
      <c r="F164" t="s">
        <v>184</v>
      </c>
      <c r="G164" t="s">
        <v>184</v>
      </c>
      <c r="H164" t="s">
        <v>2729</v>
      </c>
      <c r="I164" t="s">
        <v>2730</v>
      </c>
      <c r="J164" t="s">
        <v>186</v>
      </c>
      <c r="K164" t="s">
        <v>205</v>
      </c>
      <c r="L164" t="s">
        <v>205</v>
      </c>
      <c r="M164" t="s">
        <v>453</v>
      </c>
      <c r="N164" t="s">
        <v>2663</v>
      </c>
      <c r="O164" t="s">
        <v>2730</v>
      </c>
      <c r="P164" s="120" t="s">
        <v>2730</v>
      </c>
      <c r="Q164" s="120" t="s">
        <v>2730</v>
      </c>
      <c r="R164" s="120" t="s">
        <v>2730</v>
      </c>
      <c r="S164" t="s">
        <v>2730</v>
      </c>
      <c r="T164" t="s">
        <v>2730</v>
      </c>
      <c r="U164" t="s">
        <v>2730</v>
      </c>
      <c r="V164" t="s">
        <v>2730</v>
      </c>
      <c r="W164" t="s">
        <v>2730</v>
      </c>
      <c r="X164" t="s">
        <v>2730</v>
      </c>
      <c r="Y164" t="s">
        <v>2730</v>
      </c>
      <c r="Z164" t="s">
        <v>2730</v>
      </c>
      <c r="AA164" t="s">
        <v>2730</v>
      </c>
      <c r="AB164" t="s">
        <v>2730</v>
      </c>
      <c r="AC164" t="s">
        <v>2730</v>
      </c>
      <c r="AD164" t="s">
        <v>2730</v>
      </c>
      <c r="AE164" t="s">
        <v>2730</v>
      </c>
      <c r="AF164" t="s">
        <v>2730</v>
      </c>
      <c r="AG164" t="s">
        <v>2730</v>
      </c>
      <c r="AH164" t="s">
        <v>2730</v>
      </c>
    </row>
    <row r="165" spans="1:34">
      <c r="A165" s="149" t="str">
        <f>HYPERLINK("http://www.ofsted.gov.uk/inspection-reports/find-inspection-report/provider/ELS/143653 ","Ofsted School Webpage")</f>
        <v>Ofsted School Webpage</v>
      </c>
      <c r="B165">
        <v>143653</v>
      </c>
      <c r="C165">
        <v>8616013</v>
      </c>
      <c r="D165" t="s">
        <v>2664</v>
      </c>
      <c r="E165" t="s">
        <v>38</v>
      </c>
      <c r="F165" t="s">
        <v>184</v>
      </c>
      <c r="G165" t="s">
        <v>184</v>
      </c>
      <c r="H165" t="s">
        <v>2729</v>
      </c>
      <c r="I165" t="s">
        <v>2730</v>
      </c>
      <c r="J165" t="s">
        <v>186</v>
      </c>
      <c r="K165" t="s">
        <v>193</v>
      </c>
      <c r="L165" t="s">
        <v>193</v>
      </c>
      <c r="M165" t="s">
        <v>492</v>
      </c>
      <c r="N165" t="s">
        <v>2665</v>
      </c>
      <c r="O165" t="s">
        <v>2730</v>
      </c>
      <c r="P165" s="120" t="s">
        <v>2730</v>
      </c>
      <c r="Q165" s="120" t="s">
        <v>2730</v>
      </c>
      <c r="R165" s="120" t="s">
        <v>2730</v>
      </c>
      <c r="S165" t="s">
        <v>2730</v>
      </c>
      <c r="T165" t="s">
        <v>2730</v>
      </c>
      <c r="U165" t="s">
        <v>2730</v>
      </c>
      <c r="V165" t="s">
        <v>2730</v>
      </c>
      <c r="W165" t="s">
        <v>2730</v>
      </c>
      <c r="X165" t="s">
        <v>2730</v>
      </c>
      <c r="Y165" t="s">
        <v>2730</v>
      </c>
      <c r="Z165" t="s">
        <v>2730</v>
      </c>
      <c r="AA165" t="s">
        <v>2730</v>
      </c>
      <c r="AB165" t="s">
        <v>2730</v>
      </c>
      <c r="AC165" t="s">
        <v>2730</v>
      </c>
      <c r="AD165" t="s">
        <v>2730</v>
      </c>
      <c r="AE165" t="s">
        <v>2730</v>
      </c>
      <c r="AF165" t="s">
        <v>2730</v>
      </c>
      <c r="AG165" t="s">
        <v>2730</v>
      </c>
      <c r="AH165" t="s">
        <v>2730</v>
      </c>
    </row>
    <row r="166" spans="1:34">
      <c r="A166" s="149" t="str">
        <f>HYPERLINK("http://www.ofsted.gov.uk/inspection-reports/find-inspection-report/provider/ELS/143838 ","Ofsted School Webpage")</f>
        <v>Ofsted School Webpage</v>
      </c>
      <c r="B166">
        <v>143838</v>
      </c>
      <c r="C166">
        <v>2096002</v>
      </c>
      <c r="D166" t="s">
        <v>2666</v>
      </c>
      <c r="E166" t="s">
        <v>37</v>
      </c>
      <c r="F166" t="s">
        <v>184</v>
      </c>
      <c r="G166" t="s">
        <v>212</v>
      </c>
      <c r="H166" t="s">
        <v>2729</v>
      </c>
      <c r="I166" t="s">
        <v>2730</v>
      </c>
      <c r="J166" t="s">
        <v>186</v>
      </c>
      <c r="K166" t="s">
        <v>232</v>
      </c>
      <c r="L166" t="s">
        <v>232</v>
      </c>
      <c r="M166" t="s">
        <v>529</v>
      </c>
      <c r="N166" t="s">
        <v>2667</v>
      </c>
      <c r="O166" t="s">
        <v>2730</v>
      </c>
      <c r="P166" s="120" t="s">
        <v>2730</v>
      </c>
      <c r="Q166" s="120" t="s">
        <v>2730</v>
      </c>
      <c r="R166" s="120" t="s">
        <v>2730</v>
      </c>
      <c r="S166" t="s">
        <v>2730</v>
      </c>
      <c r="T166" t="s">
        <v>2730</v>
      </c>
      <c r="U166" t="s">
        <v>2730</v>
      </c>
      <c r="V166" t="s">
        <v>2730</v>
      </c>
      <c r="W166" t="s">
        <v>2730</v>
      </c>
      <c r="X166" t="s">
        <v>2730</v>
      </c>
      <c r="Y166" t="s">
        <v>2730</v>
      </c>
      <c r="Z166" t="s">
        <v>2730</v>
      </c>
      <c r="AA166" t="s">
        <v>2730</v>
      </c>
      <c r="AB166" t="s">
        <v>2730</v>
      </c>
      <c r="AC166" t="s">
        <v>2730</v>
      </c>
      <c r="AD166" t="s">
        <v>2730</v>
      </c>
      <c r="AE166" t="s">
        <v>2730</v>
      </c>
      <c r="AF166" t="s">
        <v>2730</v>
      </c>
      <c r="AG166" t="s">
        <v>2730</v>
      </c>
      <c r="AH166" t="s">
        <v>2730</v>
      </c>
    </row>
    <row r="167" spans="1:34">
      <c r="A167" s="149" t="str">
        <f>HYPERLINK("http://www.ofsted.gov.uk/inspection-reports/find-inspection-report/provider/ELS/143839 ","Ofsted School Webpage")</f>
        <v>Ofsted School Webpage</v>
      </c>
      <c r="B167">
        <v>143839</v>
      </c>
      <c r="C167">
        <v>8606044</v>
      </c>
      <c r="D167" t="s">
        <v>2668</v>
      </c>
      <c r="E167" t="s">
        <v>38</v>
      </c>
      <c r="F167" t="s">
        <v>184</v>
      </c>
      <c r="G167" t="s">
        <v>184</v>
      </c>
      <c r="H167" t="s">
        <v>2729</v>
      </c>
      <c r="I167" t="s">
        <v>2730</v>
      </c>
      <c r="J167" t="s">
        <v>186</v>
      </c>
      <c r="K167" t="s">
        <v>193</v>
      </c>
      <c r="L167" t="s">
        <v>193</v>
      </c>
      <c r="M167" t="s">
        <v>314</v>
      </c>
      <c r="N167" t="s">
        <v>2669</v>
      </c>
      <c r="O167" t="s">
        <v>2730</v>
      </c>
      <c r="P167" s="120" t="s">
        <v>2730</v>
      </c>
      <c r="Q167" s="120" t="s">
        <v>2730</v>
      </c>
      <c r="R167" s="120" t="s">
        <v>2730</v>
      </c>
      <c r="S167" t="s">
        <v>2730</v>
      </c>
      <c r="T167" t="s">
        <v>2730</v>
      </c>
      <c r="U167" t="s">
        <v>2730</v>
      </c>
      <c r="V167" t="s">
        <v>2730</v>
      </c>
      <c r="W167" t="s">
        <v>2730</v>
      </c>
      <c r="X167" t="s">
        <v>2730</v>
      </c>
      <c r="Y167" t="s">
        <v>2730</v>
      </c>
      <c r="Z167" t="s">
        <v>2730</v>
      </c>
      <c r="AA167" t="s">
        <v>2730</v>
      </c>
      <c r="AB167" t="s">
        <v>2730</v>
      </c>
      <c r="AC167" t="s">
        <v>2730</v>
      </c>
      <c r="AD167" t="s">
        <v>2730</v>
      </c>
      <c r="AE167" t="s">
        <v>2730</v>
      </c>
      <c r="AF167" t="s">
        <v>2730</v>
      </c>
      <c r="AG167" t="s">
        <v>2730</v>
      </c>
      <c r="AH167" t="s">
        <v>2730</v>
      </c>
    </row>
    <row r="168" spans="1:34">
      <c r="A168" s="149" t="str">
        <f>HYPERLINK("http://www.ofsted.gov.uk/inspection-reports/find-inspection-report/provider/ELS/144805 ","Ofsted School Webpage")</f>
        <v>Ofsted School Webpage</v>
      </c>
      <c r="B168">
        <v>144805</v>
      </c>
      <c r="C168">
        <v>3016006</v>
      </c>
      <c r="D168" t="s">
        <v>2501</v>
      </c>
      <c r="E168" t="s">
        <v>37</v>
      </c>
      <c r="F168" t="s">
        <v>184</v>
      </c>
      <c r="G168" t="s">
        <v>223</v>
      </c>
      <c r="H168" t="s">
        <v>2729</v>
      </c>
      <c r="I168" t="s">
        <v>2730</v>
      </c>
      <c r="J168" t="s">
        <v>186</v>
      </c>
      <c r="K168" t="s">
        <v>232</v>
      </c>
      <c r="L168" t="s">
        <v>232</v>
      </c>
      <c r="M168" t="s">
        <v>1164</v>
      </c>
      <c r="N168" t="s">
        <v>2502</v>
      </c>
      <c r="O168" t="s">
        <v>2730</v>
      </c>
      <c r="P168" s="120" t="s">
        <v>2730</v>
      </c>
      <c r="Q168" s="120" t="s">
        <v>2730</v>
      </c>
      <c r="R168" s="120" t="s">
        <v>2730</v>
      </c>
      <c r="S168" t="s">
        <v>2730</v>
      </c>
      <c r="T168" t="s">
        <v>2730</v>
      </c>
      <c r="U168" t="s">
        <v>2730</v>
      </c>
      <c r="V168" t="s">
        <v>2730</v>
      </c>
      <c r="W168" t="s">
        <v>2730</v>
      </c>
      <c r="X168" t="s">
        <v>2730</v>
      </c>
      <c r="Y168" t="s">
        <v>2730</v>
      </c>
      <c r="Z168" t="s">
        <v>2730</v>
      </c>
      <c r="AA168" t="s">
        <v>2730</v>
      </c>
      <c r="AB168" t="s">
        <v>2730</v>
      </c>
      <c r="AC168" t="s">
        <v>2730</v>
      </c>
      <c r="AD168" t="s">
        <v>2730</v>
      </c>
      <c r="AE168" t="s">
        <v>2730</v>
      </c>
      <c r="AF168" t="s">
        <v>2730</v>
      </c>
      <c r="AG168" t="s">
        <v>2730</v>
      </c>
      <c r="AH168" t="s">
        <v>2730</v>
      </c>
    </row>
    <row r="169" spans="1:34">
      <c r="A169" s="149" t="str">
        <f>HYPERLINK("http://www.ofsted.gov.uk/inspection-reports/find-inspection-report/provider/ELS/144806 ","Ofsted School Webpage")</f>
        <v>Ofsted School Webpage</v>
      </c>
      <c r="B169">
        <v>144806</v>
      </c>
      <c r="C169">
        <v>8306044</v>
      </c>
      <c r="D169" t="s">
        <v>2503</v>
      </c>
      <c r="E169" t="s">
        <v>37</v>
      </c>
      <c r="F169" t="s">
        <v>184</v>
      </c>
      <c r="G169" t="s">
        <v>212</v>
      </c>
      <c r="H169" t="s">
        <v>2729</v>
      </c>
      <c r="I169" t="s">
        <v>2730</v>
      </c>
      <c r="J169" t="s">
        <v>186</v>
      </c>
      <c r="K169" t="s">
        <v>214</v>
      </c>
      <c r="L169" t="s">
        <v>214</v>
      </c>
      <c r="M169" t="s">
        <v>364</v>
      </c>
      <c r="N169" t="s">
        <v>2504</v>
      </c>
      <c r="O169" t="s">
        <v>2730</v>
      </c>
      <c r="P169" s="120" t="s">
        <v>2730</v>
      </c>
      <c r="Q169" s="120" t="s">
        <v>2730</v>
      </c>
      <c r="R169" s="120" t="s">
        <v>2730</v>
      </c>
      <c r="S169" t="s">
        <v>2730</v>
      </c>
      <c r="T169" t="s">
        <v>2730</v>
      </c>
      <c r="U169" t="s">
        <v>2730</v>
      </c>
      <c r="V169" t="s">
        <v>2730</v>
      </c>
      <c r="W169" t="s">
        <v>2730</v>
      </c>
      <c r="X169" t="s">
        <v>2730</v>
      </c>
      <c r="Y169" t="s">
        <v>2730</v>
      </c>
      <c r="Z169" t="s">
        <v>2730</v>
      </c>
      <c r="AA169" t="s">
        <v>2730</v>
      </c>
      <c r="AB169" t="s">
        <v>2730</v>
      </c>
      <c r="AC169" t="s">
        <v>2730</v>
      </c>
      <c r="AD169" t="s">
        <v>2730</v>
      </c>
      <c r="AE169" t="s">
        <v>2730</v>
      </c>
      <c r="AF169" t="s">
        <v>2730</v>
      </c>
      <c r="AG169" t="s">
        <v>2730</v>
      </c>
      <c r="AH169" t="s">
        <v>2730</v>
      </c>
    </row>
    <row r="170" spans="1:34">
      <c r="A170" s="149" t="str">
        <f>HYPERLINK("http://www.ofsted.gov.uk/inspection-reports/find-inspection-report/provider/ELS/144807 ","Ofsted School Webpage")</f>
        <v>Ofsted School Webpage</v>
      </c>
      <c r="B170">
        <v>144807</v>
      </c>
      <c r="C170">
        <v>8226001</v>
      </c>
      <c r="D170" t="s">
        <v>2505</v>
      </c>
      <c r="E170" t="s">
        <v>37</v>
      </c>
      <c r="F170" t="s">
        <v>184</v>
      </c>
      <c r="G170" t="s">
        <v>212</v>
      </c>
      <c r="H170" t="s">
        <v>2729</v>
      </c>
      <c r="I170" t="s">
        <v>2730</v>
      </c>
      <c r="J170" t="s">
        <v>186</v>
      </c>
      <c r="K170" t="s">
        <v>220</v>
      </c>
      <c r="L170" t="s">
        <v>220</v>
      </c>
      <c r="M170" t="s">
        <v>333</v>
      </c>
      <c r="N170" t="s">
        <v>2506</v>
      </c>
      <c r="O170" t="s">
        <v>2730</v>
      </c>
      <c r="P170" s="120" t="s">
        <v>2730</v>
      </c>
      <c r="Q170" s="120" t="s">
        <v>2730</v>
      </c>
      <c r="R170" s="120" t="s">
        <v>2730</v>
      </c>
      <c r="S170" t="s">
        <v>2730</v>
      </c>
      <c r="T170" t="s">
        <v>2730</v>
      </c>
      <c r="U170" t="s">
        <v>2730</v>
      </c>
      <c r="V170" t="s">
        <v>2730</v>
      </c>
      <c r="W170" t="s">
        <v>2730</v>
      </c>
      <c r="X170" t="s">
        <v>2730</v>
      </c>
      <c r="Y170" t="s">
        <v>2730</v>
      </c>
      <c r="Z170" t="s">
        <v>2730</v>
      </c>
      <c r="AA170" t="s">
        <v>2730</v>
      </c>
      <c r="AB170" t="s">
        <v>2730</v>
      </c>
      <c r="AC170" t="s">
        <v>2730</v>
      </c>
      <c r="AD170" t="s">
        <v>2730</v>
      </c>
      <c r="AE170" t="s">
        <v>2730</v>
      </c>
      <c r="AF170" t="s">
        <v>2730</v>
      </c>
      <c r="AG170" t="s">
        <v>2730</v>
      </c>
      <c r="AH170" t="s">
        <v>2730</v>
      </c>
    </row>
    <row r="171" spans="1:34">
      <c r="A171" s="149" t="str">
        <f>HYPERLINK("http://www.ofsted.gov.uk/inspection-reports/find-inspection-report/provider/ELS/144808 ","Ofsted School Webpage")</f>
        <v>Ofsted School Webpage</v>
      </c>
      <c r="B171">
        <v>144808</v>
      </c>
      <c r="C171">
        <v>8506093</v>
      </c>
      <c r="D171" t="s">
        <v>2507</v>
      </c>
      <c r="E171" t="s">
        <v>37</v>
      </c>
      <c r="F171" t="s">
        <v>184</v>
      </c>
      <c r="G171" t="s">
        <v>184</v>
      </c>
      <c r="H171" t="s">
        <v>2729</v>
      </c>
      <c r="I171" t="s">
        <v>2730</v>
      </c>
      <c r="J171" t="s">
        <v>186</v>
      </c>
      <c r="K171" t="s">
        <v>181</v>
      </c>
      <c r="L171" t="s">
        <v>181</v>
      </c>
      <c r="M171" t="s">
        <v>201</v>
      </c>
      <c r="N171" t="s">
        <v>2508</v>
      </c>
      <c r="O171" t="s">
        <v>2730</v>
      </c>
      <c r="P171" s="120" t="s">
        <v>2730</v>
      </c>
      <c r="Q171" s="120" t="s">
        <v>2730</v>
      </c>
      <c r="R171" s="120" t="s">
        <v>2730</v>
      </c>
      <c r="S171" t="s">
        <v>2730</v>
      </c>
      <c r="T171" t="s">
        <v>2730</v>
      </c>
      <c r="U171" t="s">
        <v>2730</v>
      </c>
      <c r="V171" t="s">
        <v>2730</v>
      </c>
      <c r="W171" t="s">
        <v>2730</v>
      </c>
      <c r="X171" t="s">
        <v>2730</v>
      </c>
      <c r="Y171" t="s">
        <v>2730</v>
      </c>
      <c r="Z171" t="s">
        <v>2730</v>
      </c>
      <c r="AA171" t="s">
        <v>2730</v>
      </c>
      <c r="AB171" t="s">
        <v>2730</v>
      </c>
      <c r="AC171" t="s">
        <v>2730</v>
      </c>
      <c r="AD171" t="s">
        <v>2730</v>
      </c>
      <c r="AE171" t="s">
        <v>2730</v>
      </c>
      <c r="AF171" t="s">
        <v>2730</v>
      </c>
      <c r="AG171" t="s">
        <v>2730</v>
      </c>
      <c r="AH171" t="s">
        <v>2730</v>
      </c>
    </row>
    <row r="172" spans="1:34">
      <c r="A172" s="149" t="str">
        <f>HYPERLINK("http://www.ofsted.gov.uk/inspection-reports/find-inspection-report/provider/ELS/144811 ","Ofsted School Webpage")</f>
        <v>Ofsted School Webpage</v>
      </c>
      <c r="B172">
        <v>144811</v>
      </c>
      <c r="C172">
        <v>3826007</v>
      </c>
      <c r="D172" t="s">
        <v>2716</v>
      </c>
      <c r="E172" t="s">
        <v>37</v>
      </c>
      <c r="F172" t="s">
        <v>184</v>
      </c>
      <c r="G172" t="s">
        <v>223</v>
      </c>
      <c r="H172" t="s">
        <v>2729</v>
      </c>
      <c r="I172" t="s">
        <v>2730</v>
      </c>
      <c r="J172" t="s">
        <v>186</v>
      </c>
      <c r="K172" t="s">
        <v>245</v>
      </c>
      <c r="L172" t="s">
        <v>246</v>
      </c>
      <c r="M172" t="s">
        <v>768</v>
      </c>
      <c r="N172" t="s">
        <v>2717</v>
      </c>
      <c r="O172" t="s">
        <v>2730</v>
      </c>
      <c r="P172" s="120" t="s">
        <v>2730</v>
      </c>
      <c r="Q172" s="120" t="s">
        <v>2730</v>
      </c>
      <c r="R172" s="120" t="s">
        <v>2730</v>
      </c>
      <c r="S172" t="s">
        <v>2730</v>
      </c>
      <c r="T172" t="s">
        <v>2730</v>
      </c>
      <c r="U172" t="s">
        <v>2730</v>
      </c>
      <c r="V172" t="s">
        <v>2730</v>
      </c>
      <c r="W172" t="s">
        <v>2730</v>
      </c>
      <c r="X172" t="s">
        <v>2730</v>
      </c>
      <c r="Y172" t="s">
        <v>2730</v>
      </c>
      <c r="Z172" t="s">
        <v>2730</v>
      </c>
      <c r="AA172" t="s">
        <v>2730</v>
      </c>
      <c r="AB172" t="s">
        <v>2730</v>
      </c>
      <c r="AC172" t="s">
        <v>2730</v>
      </c>
      <c r="AD172" t="s">
        <v>2730</v>
      </c>
      <c r="AE172" t="s">
        <v>2730</v>
      </c>
      <c r="AF172" t="s">
        <v>2730</v>
      </c>
      <c r="AG172" t="s">
        <v>2730</v>
      </c>
      <c r="AH172" t="s">
        <v>2730</v>
      </c>
    </row>
    <row r="173" spans="1:34">
      <c r="A173" s="149" t="str">
        <f>HYPERLINK("http://www.ofsted.gov.uk/inspection-reports/find-inspection-report/provider/ELS/144816 ","Ofsted School Webpage")</f>
        <v>Ofsted School Webpage</v>
      </c>
      <c r="B173">
        <v>144816</v>
      </c>
      <c r="C173">
        <v>8886073</v>
      </c>
      <c r="D173" t="s">
        <v>2718</v>
      </c>
      <c r="E173" t="s">
        <v>37</v>
      </c>
      <c r="F173" t="s">
        <v>184</v>
      </c>
      <c r="G173" t="s">
        <v>304</v>
      </c>
      <c r="H173" t="s">
        <v>2729</v>
      </c>
      <c r="I173" t="s">
        <v>2730</v>
      </c>
      <c r="J173" t="s">
        <v>186</v>
      </c>
      <c r="K173" t="s">
        <v>205</v>
      </c>
      <c r="L173" t="s">
        <v>205</v>
      </c>
      <c r="M173" t="s">
        <v>206</v>
      </c>
      <c r="N173" t="s">
        <v>2719</v>
      </c>
      <c r="O173" t="s">
        <v>2730</v>
      </c>
      <c r="P173" s="120" t="s">
        <v>2730</v>
      </c>
      <c r="Q173" s="120" t="s">
        <v>2730</v>
      </c>
      <c r="R173" s="120" t="s">
        <v>2730</v>
      </c>
      <c r="S173" t="s">
        <v>2730</v>
      </c>
      <c r="T173" t="s">
        <v>2730</v>
      </c>
      <c r="U173" t="s">
        <v>2730</v>
      </c>
      <c r="V173" t="s">
        <v>2730</v>
      </c>
      <c r="W173" t="s">
        <v>2730</v>
      </c>
      <c r="X173" t="s">
        <v>2730</v>
      </c>
      <c r="Y173" t="s">
        <v>2730</v>
      </c>
      <c r="Z173" t="s">
        <v>2730</v>
      </c>
      <c r="AA173" t="s">
        <v>2730</v>
      </c>
      <c r="AB173" t="s">
        <v>2730</v>
      </c>
      <c r="AC173" t="s">
        <v>2730</v>
      </c>
      <c r="AD173" t="s">
        <v>2730</v>
      </c>
      <c r="AE173" t="s">
        <v>2730</v>
      </c>
      <c r="AF173" t="s">
        <v>2730</v>
      </c>
      <c r="AG173" t="s">
        <v>2730</v>
      </c>
      <c r="AH173" t="s">
        <v>2730</v>
      </c>
    </row>
    <row r="174" spans="1:34">
      <c r="A174" s="149" t="str">
        <f>HYPERLINK("http://www.ofsted.gov.uk/inspection-reports/find-inspection-report/provider/ELS/144818 ","Ofsted School Webpage")</f>
        <v>Ofsted School Webpage</v>
      </c>
      <c r="B174">
        <v>144818</v>
      </c>
      <c r="C174">
        <v>8816069</v>
      </c>
      <c r="D174" t="s">
        <v>2720</v>
      </c>
      <c r="E174" t="s">
        <v>37</v>
      </c>
      <c r="F174" t="s">
        <v>184</v>
      </c>
      <c r="G174" t="s">
        <v>184</v>
      </c>
      <c r="H174" t="s">
        <v>2729</v>
      </c>
      <c r="I174" t="s">
        <v>2730</v>
      </c>
      <c r="J174" t="s">
        <v>186</v>
      </c>
      <c r="K174" t="s">
        <v>220</v>
      </c>
      <c r="L174" t="s">
        <v>220</v>
      </c>
      <c r="M174" t="s">
        <v>323</v>
      </c>
      <c r="N174" t="s">
        <v>2721</v>
      </c>
      <c r="O174" t="s">
        <v>2730</v>
      </c>
      <c r="P174" s="120" t="s">
        <v>2730</v>
      </c>
      <c r="Q174" s="120" t="s">
        <v>2730</v>
      </c>
      <c r="R174" s="120" t="s">
        <v>2730</v>
      </c>
      <c r="S174" t="s">
        <v>2730</v>
      </c>
      <c r="T174" t="s">
        <v>2730</v>
      </c>
      <c r="U174" t="s">
        <v>2730</v>
      </c>
      <c r="V174" t="s">
        <v>2730</v>
      </c>
      <c r="W174" t="s">
        <v>2730</v>
      </c>
      <c r="X174" t="s">
        <v>2730</v>
      </c>
      <c r="Y174" t="s">
        <v>2730</v>
      </c>
      <c r="Z174" t="s">
        <v>2730</v>
      </c>
      <c r="AA174" t="s">
        <v>2730</v>
      </c>
      <c r="AB174" t="s">
        <v>2730</v>
      </c>
      <c r="AC174" t="s">
        <v>2730</v>
      </c>
      <c r="AD174" t="s">
        <v>2730</v>
      </c>
      <c r="AE174" t="s">
        <v>2730</v>
      </c>
      <c r="AF174" t="s">
        <v>2730</v>
      </c>
      <c r="AG174" t="s">
        <v>2730</v>
      </c>
      <c r="AH174" t="s">
        <v>2730</v>
      </c>
    </row>
    <row r="175" spans="1:34">
      <c r="A175" s="149" t="str">
        <f>HYPERLINK("http://www.ofsted.gov.uk/inspection-reports/find-inspection-report/provider/ELS/135773 ","Ofsted School Webpage")</f>
        <v>Ofsted School Webpage</v>
      </c>
      <c r="B175">
        <v>135773</v>
      </c>
      <c r="C175">
        <v>8786061</v>
      </c>
      <c r="D175" t="s">
        <v>842</v>
      </c>
      <c r="E175" t="s">
        <v>38</v>
      </c>
      <c r="F175" t="s">
        <v>184</v>
      </c>
      <c r="G175" t="s">
        <v>184</v>
      </c>
      <c r="H175" t="s">
        <v>2729</v>
      </c>
      <c r="I175" t="s">
        <v>2730</v>
      </c>
      <c r="J175" t="s">
        <v>186</v>
      </c>
      <c r="K175" t="s">
        <v>225</v>
      </c>
      <c r="L175" t="s">
        <v>225</v>
      </c>
      <c r="M175" t="s">
        <v>367</v>
      </c>
      <c r="N175" t="s">
        <v>843</v>
      </c>
      <c r="O175">
        <v>10008888</v>
      </c>
      <c r="P175" s="120">
        <v>42647</v>
      </c>
      <c r="Q175" s="120">
        <v>42649</v>
      </c>
      <c r="R175" s="120">
        <v>42692</v>
      </c>
      <c r="S175" t="s">
        <v>196</v>
      </c>
      <c r="T175">
        <v>2</v>
      </c>
      <c r="U175" t="s">
        <v>128</v>
      </c>
      <c r="V175">
        <v>2</v>
      </c>
      <c r="W175">
        <v>2</v>
      </c>
      <c r="X175">
        <v>2</v>
      </c>
      <c r="Y175">
        <v>2</v>
      </c>
      <c r="Z175" t="s">
        <v>2730</v>
      </c>
      <c r="AA175" t="s">
        <v>2730</v>
      </c>
      <c r="AB175" t="s">
        <v>2732</v>
      </c>
      <c r="AC175" t="s">
        <v>2730</v>
      </c>
      <c r="AD175" t="s">
        <v>2730</v>
      </c>
      <c r="AE175" t="s">
        <v>2730</v>
      </c>
      <c r="AF175" t="s">
        <v>2730</v>
      </c>
      <c r="AG175" t="s">
        <v>2730</v>
      </c>
      <c r="AH175" t="s">
        <v>2730</v>
      </c>
    </row>
    <row r="176" spans="1:34">
      <c r="A176" s="149" t="str">
        <f>HYPERLINK("http://www.ofsted.gov.uk/inspection-reports/find-inspection-report/provider/ELS/131551 ","Ofsted School Webpage")</f>
        <v>Ofsted School Webpage</v>
      </c>
      <c r="B176">
        <v>131551</v>
      </c>
      <c r="C176">
        <v>3566027</v>
      </c>
      <c r="D176" t="s">
        <v>844</v>
      </c>
      <c r="E176" t="s">
        <v>38</v>
      </c>
      <c r="F176" t="s">
        <v>184</v>
      </c>
      <c r="G176" t="s">
        <v>184</v>
      </c>
      <c r="H176" t="s">
        <v>2729</v>
      </c>
      <c r="I176" t="s">
        <v>2730</v>
      </c>
      <c r="J176" t="s">
        <v>186</v>
      </c>
      <c r="K176" t="s">
        <v>205</v>
      </c>
      <c r="L176" t="s">
        <v>205</v>
      </c>
      <c r="M176" t="s">
        <v>346</v>
      </c>
      <c r="N176" t="s">
        <v>845</v>
      </c>
      <c r="O176">
        <v>10006097</v>
      </c>
      <c r="P176" s="120">
        <v>42500</v>
      </c>
      <c r="Q176" s="120">
        <v>42502</v>
      </c>
      <c r="R176" s="120">
        <v>42530</v>
      </c>
      <c r="S176" t="s">
        <v>196</v>
      </c>
      <c r="T176">
        <v>2</v>
      </c>
      <c r="U176" t="s">
        <v>128</v>
      </c>
      <c r="V176">
        <v>2</v>
      </c>
      <c r="W176">
        <v>1</v>
      </c>
      <c r="X176">
        <v>2</v>
      </c>
      <c r="Y176">
        <v>2</v>
      </c>
      <c r="Z176" t="s">
        <v>2730</v>
      </c>
      <c r="AA176" t="s">
        <v>2730</v>
      </c>
      <c r="AB176" t="s">
        <v>2732</v>
      </c>
      <c r="AC176" t="s">
        <v>2730</v>
      </c>
      <c r="AD176" t="s">
        <v>2730</v>
      </c>
      <c r="AE176" t="s">
        <v>2730</v>
      </c>
      <c r="AF176" t="s">
        <v>2730</v>
      </c>
      <c r="AG176" t="s">
        <v>2730</v>
      </c>
      <c r="AH176" t="s">
        <v>2730</v>
      </c>
    </row>
    <row r="177" spans="1:34">
      <c r="A177" s="149" t="str">
        <f>HYPERLINK("http://www.ofsted.gov.uk/inspection-reports/find-inspection-report/provider/ELS/136705 ","Ofsted School Webpage")</f>
        <v>Ofsted School Webpage</v>
      </c>
      <c r="B177">
        <v>136705</v>
      </c>
      <c r="C177">
        <v>8306041</v>
      </c>
      <c r="D177" t="s">
        <v>846</v>
      </c>
      <c r="E177" t="s">
        <v>38</v>
      </c>
      <c r="F177" t="s">
        <v>184</v>
      </c>
      <c r="G177" t="s">
        <v>184</v>
      </c>
      <c r="H177" t="s">
        <v>2729</v>
      </c>
      <c r="I177" t="s">
        <v>2730</v>
      </c>
      <c r="J177" t="s">
        <v>186</v>
      </c>
      <c r="K177" t="s">
        <v>214</v>
      </c>
      <c r="L177" t="s">
        <v>214</v>
      </c>
      <c r="M177" t="s">
        <v>364</v>
      </c>
      <c r="N177" t="s">
        <v>847</v>
      </c>
      <c r="O177" t="s">
        <v>848</v>
      </c>
      <c r="P177" s="120">
        <v>42178</v>
      </c>
      <c r="Q177" s="120">
        <v>42179</v>
      </c>
      <c r="R177" s="120">
        <v>42254</v>
      </c>
      <c r="S177" t="s">
        <v>3119</v>
      </c>
      <c r="T177">
        <v>2</v>
      </c>
      <c r="U177" t="s">
        <v>2730</v>
      </c>
      <c r="V177">
        <v>2</v>
      </c>
      <c r="W177" t="s">
        <v>2730</v>
      </c>
      <c r="X177">
        <v>2</v>
      </c>
      <c r="Y177">
        <v>2</v>
      </c>
      <c r="Z177">
        <v>9</v>
      </c>
      <c r="AA177">
        <v>9</v>
      </c>
      <c r="AB177" t="s">
        <v>2730</v>
      </c>
      <c r="AC177" t="s">
        <v>2730</v>
      </c>
      <c r="AD177" t="s">
        <v>2730</v>
      </c>
      <c r="AE177" t="s">
        <v>2730</v>
      </c>
      <c r="AF177" t="s">
        <v>2730</v>
      </c>
      <c r="AG177" t="s">
        <v>2730</v>
      </c>
      <c r="AH177" t="s">
        <v>2730</v>
      </c>
    </row>
    <row r="178" spans="1:34">
      <c r="A178" s="149" t="str">
        <f>HYPERLINK("http://www.ofsted.gov.uk/inspection-reports/find-inspection-report/provider/ELS/125814 ","Ofsted School Webpage")</f>
        <v>Ofsted School Webpage</v>
      </c>
      <c r="B178">
        <v>125814</v>
      </c>
      <c r="C178">
        <v>8956000</v>
      </c>
      <c r="D178" t="s">
        <v>849</v>
      </c>
      <c r="E178" t="s">
        <v>38</v>
      </c>
      <c r="F178" t="s">
        <v>184</v>
      </c>
      <c r="G178" t="s">
        <v>184</v>
      </c>
      <c r="H178" t="s">
        <v>2729</v>
      </c>
      <c r="I178" t="s">
        <v>2730</v>
      </c>
      <c r="J178" t="s">
        <v>186</v>
      </c>
      <c r="K178" t="s">
        <v>205</v>
      </c>
      <c r="L178" t="s">
        <v>205</v>
      </c>
      <c r="M178" t="s">
        <v>850</v>
      </c>
      <c r="N178" t="s">
        <v>851</v>
      </c>
      <c r="O178">
        <v>10006079</v>
      </c>
      <c r="P178" s="120">
        <v>42633</v>
      </c>
      <c r="Q178" s="120">
        <v>42635</v>
      </c>
      <c r="R178" s="120">
        <v>42663</v>
      </c>
      <c r="S178" t="s">
        <v>196</v>
      </c>
      <c r="T178">
        <v>1</v>
      </c>
      <c r="U178" t="s">
        <v>128</v>
      </c>
      <c r="V178">
        <v>1</v>
      </c>
      <c r="W178">
        <v>1</v>
      </c>
      <c r="X178">
        <v>1</v>
      </c>
      <c r="Y178">
        <v>1</v>
      </c>
      <c r="Z178" t="s">
        <v>2730</v>
      </c>
      <c r="AA178">
        <v>2</v>
      </c>
      <c r="AB178" t="s">
        <v>2732</v>
      </c>
      <c r="AC178" t="s">
        <v>2730</v>
      </c>
      <c r="AD178" t="s">
        <v>2730</v>
      </c>
      <c r="AE178" t="s">
        <v>2730</v>
      </c>
      <c r="AF178" t="s">
        <v>2730</v>
      </c>
      <c r="AG178" t="s">
        <v>2730</v>
      </c>
      <c r="AH178" t="s">
        <v>2730</v>
      </c>
    </row>
    <row r="179" spans="1:34">
      <c r="A179" s="149" t="str">
        <f>HYPERLINK("http://www.ofsted.gov.uk/inspection-reports/find-inspection-report/provider/ELS/136167 ","Ofsted School Webpage")</f>
        <v>Ofsted School Webpage</v>
      </c>
      <c r="B179">
        <v>136167</v>
      </c>
      <c r="C179">
        <v>8306037</v>
      </c>
      <c r="D179" t="s">
        <v>924</v>
      </c>
      <c r="E179" t="s">
        <v>38</v>
      </c>
      <c r="F179" t="s">
        <v>184</v>
      </c>
      <c r="G179" t="s">
        <v>184</v>
      </c>
      <c r="H179" t="s">
        <v>2729</v>
      </c>
      <c r="I179" t="s">
        <v>2730</v>
      </c>
      <c r="J179" t="s">
        <v>186</v>
      </c>
      <c r="K179" t="s">
        <v>214</v>
      </c>
      <c r="L179" t="s">
        <v>214</v>
      </c>
      <c r="M179" t="s">
        <v>364</v>
      </c>
      <c r="N179" t="s">
        <v>925</v>
      </c>
      <c r="O179" t="s">
        <v>926</v>
      </c>
      <c r="P179" s="120">
        <v>41913</v>
      </c>
      <c r="Q179" s="120">
        <v>41915</v>
      </c>
      <c r="R179" s="120">
        <v>41962</v>
      </c>
      <c r="S179" t="s">
        <v>3119</v>
      </c>
      <c r="T179">
        <v>2</v>
      </c>
      <c r="U179" t="s">
        <v>2730</v>
      </c>
      <c r="V179">
        <v>2</v>
      </c>
      <c r="W179" t="s">
        <v>2730</v>
      </c>
      <c r="X179">
        <v>2</v>
      </c>
      <c r="Y179">
        <v>2</v>
      </c>
      <c r="Z179">
        <v>9</v>
      </c>
      <c r="AA179">
        <v>9</v>
      </c>
      <c r="AB179" t="s">
        <v>2730</v>
      </c>
      <c r="AC179" t="s">
        <v>2730</v>
      </c>
      <c r="AD179" t="s">
        <v>2730</v>
      </c>
      <c r="AE179" t="s">
        <v>2730</v>
      </c>
      <c r="AF179" t="s">
        <v>2730</v>
      </c>
      <c r="AG179" t="s">
        <v>2730</v>
      </c>
      <c r="AH179" t="s">
        <v>2730</v>
      </c>
    </row>
    <row r="180" spans="1:34">
      <c r="A180" s="149" t="str">
        <f>HYPERLINK("http://www.ofsted.gov.uk/inspection-reports/find-inspection-report/provider/ELS/138884 ","Ofsted School Webpage")</f>
        <v>Ofsted School Webpage</v>
      </c>
      <c r="B180">
        <v>138884</v>
      </c>
      <c r="C180">
        <v>8896013</v>
      </c>
      <c r="D180" t="s">
        <v>484</v>
      </c>
      <c r="E180" t="s">
        <v>38</v>
      </c>
      <c r="F180" t="s">
        <v>184</v>
      </c>
      <c r="G180" t="s">
        <v>184</v>
      </c>
      <c r="H180" t="s">
        <v>2729</v>
      </c>
      <c r="I180" t="s">
        <v>2730</v>
      </c>
      <c r="J180" t="s">
        <v>186</v>
      </c>
      <c r="K180" t="s">
        <v>205</v>
      </c>
      <c r="L180" t="s">
        <v>205</v>
      </c>
      <c r="M180" t="s">
        <v>485</v>
      </c>
      <c r="N180" t="s">
        <v>486</v>
      </c>
      <c r="O180">
        <v>10020807</v>
      </c>
      <c r="P180" s="120">
        <v>43011</v>
      </c>
      <c r="Q180" s="120">
        <v>43013</v>
      </c>
      <c r="R180" s="120">
        <v>43033</v>
      </c>
      <c r="S180" t="s">
        <v>196</v>
      </c>
      <c r="T180">
        <v>2</v>
      </c>
      <c r="U180" t="s">
        <v>128</v>
      </c>
      <c r="V180">
        <v>2</v>
      </c>
      <c r="W180">
        <v>2</v>
      </c>
      <c r="X180">
        <v>2</v>
      </c>
      <c r="Y180">
        <v>2</v>
      </c>
      <c r="Z180" t="s">
        <v>2730</v>
      </c>
      <c r="AA180" t="s">
        <v>2730</v>
      </c>
      <c r="AB180" t="s">
        <v>2732</v>
      </c>
      <c r="AC180" t="s">
        <v>2730</v>
      </c>
      <c r="AD180" t="s">
        <v>2730</v>
      </c>
      <c r="AE180" s="120" t="s">
        <v>2730</v>
      </c>
      <c r="AF180" t="s">
        <v>2730</v>
      </c>
      <c r="AG180" s="120" t="s">
        <v>2730</v>
      </c>
      <c r="AH180" t="s">
        <v>2730</v>
      </c>
    </row>
    <row r="181" spans="1:34">
      <c r="A181" s="149" t="str">
        <f>HYPERLINK("http://www.ofsted.gov.uk/inspection-reports/find-inspection-report/provider/ELS/140814 ","Ofsted School Webpage")</f>
        <v>Ofsted School Webpage</v>
      </c>
      <c r="B181">
        <v>140814</v>
      </c>
      <c r="C181">
        <v>3576004</v>
      </c>
      <c r="D181" t="s">
        <v>856</v>
      </c>
      <c r="E181" t="s">
        <v>38</v>
      </c>
      <c r="F181" t="s">
        <v>184</v>
      </c>
      <c r="G181" t="s">
        <v>184</v>
      </c>
      <c r="H181" t="s">
        <v>2729</v>
      </c>
      <c r="I181" t="s">
        <v>2730</v>
      </c>
      <c r="J181" t="s">
        <v>186</v>
      </c>
      <c r="K181" t="s">
        <v>205</v>
      </c>
      <c r="L181" t="s">
        <v>205</v>
      </c>
      <c r="M181" t="s">
        <v>857</v>
      </c>
      <c r="N181" t="s">
        <v>858</v>
      </c>
      <c r="O181" t="s">
        <v>3025</v>
      </c>
      <c r="P181" s="120">
        <v>42038</v>
      </c>
      <c r="Q181" s="120">
        <v>42039</v>
      </c>
      <c r="R181" s="120">
        <v>42073</v>
      </c>
      <c r="S181" t="s">
        <v>249</v>
      </c>
      <c r="T181">
        <v>2</v>
      </c>
      <c r="U181" t="s">
        <v>2730</v>
      </c>
      <c r="V181">
        <v>2</v>
      </c>
      <c r="W181" t="s">
        <v>2730</v>
      </c>
      <c r="X181">
        <v>2</v>
      </c>
      <c r="Y181">
        <v>2</v>
      </c>
      <c r="Z181">
        <v>9</v>
      </c>
      <c r="AA181">
        <v>9</v>
      </c>
      <c r="AB181" t="s">
        <v>2730</v>
      </c>
      <c r="AC181" t="s">
        <v>2730</v>
      </c>
      <c r="AD181" t="s">
        <v>2730</v>
      </c>
      <c r="AE181" t="s">
        <v>2730</v>
      </c>
      <c r="AF181" t="s">
        <v>2730</v>
      </c>
      <c r="AG181" t="s">
        <v>2730</v>
      </c>
      <c r="AH181" t="s">
        <v>2730</v>
      </c>
    </row>
    <row r="182" spans="1:34">
      <c r="A182" s="149" t="str">
        <f>HYPERLINK("http://www.ofsted.gov.uk/inspection-reports/find-inspection-report/provider/ELS/124879 ","Ofsted School Webpage")</f>
        <v>Ofsted School Webpage</v>
      </c>
      <c r="B182">
        <v>124879</v>
      </c>
      <c r="C182">
        <v>9356036</v>
      </c>
      <c r="D182" t="s">
        <v>859</v>
      </c>
      <c r="E182" t="s">
        <v>38</v>
      </c>
      <c r="F182" t="s">
        <v>184</v>
      </c>
      <c r="G182" t="s">
        <v>184</v>
      </c>
      <c r="H182" t="s">
        <v>2729</v>
      </c>
      <c r="I182" t="s">
        <v>2730</v>
      </c>
      <c r="J182" t="s">
        <v>186</v>
      </c>
      <c r="K182" t="s">
        <v>220</v>
      </c>
      <c r="L182" t="s">
        <v>220</v>
      </c>
      <c r="M182" t="s">
        <v>297</v>
      </c>
      <c r="N182" t="s">
        <v>860</v>
      </c>
      <c r="O182">
        <v>10006050</v>
      </c>
      <c r="P182" s="120">
        <v>42752</v>
      </c>
      <c r="Q182" s="120">
        <v>42754</v>
      </c>
      <c r="R182" s="120">
        <v>42782</v>
      </c>
      <c r="S182" t="s">
        <v>267</v>
      </c>
      <c r="T182">
        <v>2</v>
      </c>
      <c r="U182" t="s">
        <v>128</v>
      </c>
      <c r="V182">
        <v>2</v>
      </c>
      <c r="W182">
        <v>1</v>
      </c>
      <c r="X182">
        <v>2</v>
      </c>
      <c r="Y182">
        <v>2</v>
      </c>
      <c r="Z182" t="s">
        <v>2730</v>
      </c>
      <c r="AA182" t="s">
        <v>2730</v>
      </c>
      <c r="AB182" t="s">
        <v>2732</v>
      </c>
      <c r="AC182" t="s">
        <v>2730</v>
      </c>
      <c r="AD182" t="s">
        <v>2730</v>
      </c>
      <c r="AE182" t="s">
        <v>2730</v>
      </c>
      <c r="AF182" t="s">
        <v>2730</v>
      </c>
      <c r="AG182" t="s">
        <v>2730</v>
      </c>
      <c r="AH182" t="s">
        <v>2730</v>
      </c>
    </row>
    <row r="183" spans="1:34">
      <c r="A183" s="149" t="str">
        <f>HYPERLINK("http://www.ofsted.gov.uk/inspection-reports/find-inspection-report/provider/ELS/112456 ","Ofsted School Webpage")</f>
        <v>Ofsted School Webpage</v>
      </c>
      <c r="B183">
        <v>112456</v>
      </c>
      <c r="C183">
        <v>8156041</v>
      </c>
      <c r="D183" t="s">
        <v>553</v>
      </c>
      <c r="E183" t="s">
        <v>38</v>
      </c>
      <c r="F183" t="s">
        <v>184</v>
      </c>
      <c r="G183" t="s">
        <v>184</v>
      </c>
      <c r="H183" t="s">
        <v>2729</v>
      </c>
      <c r="I183" t="s">
        <v>2730</v>
      </c>
      <c r="J183" t="s">
        <v>186</v>
      </c>
      <c r="K183" t="s">
        <v>245</v>
      </c>
      <c r="L183" t="s">
        <v>246</v>
      </c>
      <c r="M183" t="s">
        <v>554</v>
      </c>
      <c r="N183" t="s">
        <v>555</v>
      </c>
      <c r="O183">
        <v>10018438</v>
      </c>
      <c r="P183" s="120">
        <v>42486</v>
      </c>
      <c r="Q183" s="120">
        <v>42488</v>
      </c>
      <c r="R183" s="120">
        <v>42507</v>
      </c>
      <c r="S183" t="s">
        <v>267</v>
      </c>
      <c r="T183">
        <v>2</v>
      </c>
      <c r="U183" t="s">
        <v>128</v>
      </c>
      <c r="V183">
        <v>2</v>
      </c>
      <c r="W183">
        <v>2</v>
      </c>
      <c r="X183">
        <v>2</v>
      </c>
      <c r="Y183">
        <v>2</v>
      </c>
      <c r="Z183" t="s">
        <v>2730</v>
      </c>
      <c r="AA183">
        <v>2</v>
      </c>
      <c r="AB183" t="s">
        <v>2732</v>
      </c>
      <c r="AC183" t="s">
        <v>2730</v>
      </c>
      <c r="AD183" t="s">
        <v>2730</v>
      </c>
      <c r="AE183" t="s">
        <v>2730</v>
      </c>
      <c r="AF183" t="s">
        <v>2730</v>
      </c>
      <c r="AG183" t="s">
        <v>2730</v>
      </c>
      <c r="AH183" t="s">
        <v>2730</v>
      </c>
    </row>
    <row r="184" spans="1:34">
      <c r="A184" s="149" t="str">
        <f>HYPERLINK("http://www.ofsted.gov.uk/inspection-reports/find-inspection-report/provider/ELS/124890 ","Ofsted School Webpage")</f>
        <v>Ofsted School Webpage</v>
      </c>
      <c r="B184">
        <v>124890</v>
      </c>
      <c r="C184">
        <v>9356058</v>
      </c>
      <c r="D184" t="s">
        <v>556</v>
      </c>
      <c r="E184" t="s">
        <v>38</v>
      </c>
      <c r="F184" t="s">
        <v>184</v>
      </c>
      <c r="G184" t="s">
        <v>557</v>
      </c>
      <c r="H184" t="s">
        <v>2729</v>
      </c>
      <c r="I184" t="s">
        <v>2730</v>
      </c>
      <c r="J184" t="s">
        <v>186</v>
      </c>
      <c r="K184" t="s">
        <v>220</v>
      </c>
      <c r="L184" t="s">
        <v>220</v>
      </c>
      <c r="M184" t="s">
        <v>297</v>
      </c>
      <c r="N184" t="s">
        <v>558</v>
      </c>
      <c r="O184">
        <v>10006332</v>
      </c>
      <c r="P184" s="120">
        <v>42409</v>
      </c>
      <c r="Q184" s="120">
        <v>42411</v>
      </c>
      <c r="R184" s="120">
        <v>42544</v>
      </c>
      <c r="S184" t="s">
        <v>267</v>
      </c>
      <c r="T184">
        <v>4</v>
      </c>
      <c r="U184" t="s">
        <v>128</v>
      </c>
      <c r="V184">
        <v>4</v>
      </c>
      <c r="W184">
        <v>3</v>
      </c>
      <c r="X184">
        <v>3</v>
      </c>
      <c r="Y184">
        <v>3</v>
      </c>
      <c r="Z184" t="s">
        <v>2730</v>
      </c>
      <c r="AA184">
        <v>3</v>
      </c>
      <c r="AB184" t="s">
        <v>2733</v>
      </c>
      <c r="AC184">
        <v>10033782</v>
      </c>
      <c r="AD184" t="s">
        <v>187</v>
      </c>
      <c r="AE184" s="120">
        <v>42852</v>
      </c>
      <c r="AF184" t="s">
        <v>2769</v>
      </c>
      <c r="AG184" s="120">
        <v>42914</v>
      </c>
      <c r="AH184" t="s">
        <v>217</v>
      </c>
    </row>
    <row r="185" spans="1:34">
      <c r="A185" s="149" t="str">
        <f>HYPERLINK("http://www.ofsted.gov.uk/inspection-reports/find-inspection-report/provider/ELS/101175 ","Ofsted School Webpage")</f>
        <v>Ofsted School Webpage</v>
      </c>
      <c r="B185">
        <v>101175</v>
      </c>
      <c r="C185">
        <v>2126408</v>
      </c>
      <c r="D185" t="s">
        <v>559</v>
      </c>
      <c r="E185" t="s">
        <v>38</v>
      </c>
      <c r="F185" t="s">
        <v>184</v>
      </c>
      <c r="G185" t="s">
        <v>184</v>
      </c>
      <c r="H185" t="s">
        <v>2729</v>
      </c>
      <c r="I185" t="s">
        <v>2730</v>
      </c>
      <c r="J185" t="s">
        <v>186</v>
      </c>
      <c r="K185" t="s">
        <v>232</v>
      </c>
      <c r="L185" t="s">
        <v>232</v>
      </c>
      <c r="M185" t="s">
        <v>435</v>
      </c>
      <c r="N185" t="s">
        <v>560</v>
      </c>
      <c r="O185" t="s">
        <v>561</v>
      </c>
      <c r="P185" s="120">
        <v>42136</v>
      </c>
      <c r="Q185" s="120">
        <v>42138</v>
      </c>
      <c r="R185" s="120">
        <v>42174</v>
      </c>
      <c r="S185" t="s">
        <v>196</v>
      </c>
      <c r="T185">
        <v>2</v>
      </c>
      <c r="U185" t="s">
        <v>2730</v>
      </c>
      <c r="V185">
        <v>2</v>
      </c>
      <c r="W185" t="s">
        <v>2730</v>
      </c>
      <c r="X185">
        <v>3</v>
      </c>
      <c r="Y185">
        <v>2</v>
      </c>
      <c r="Z185">
        <v>9</v>
      </c>
      <c r="AA185">
        <v>9</v>
      </c>
      <c r="AB185" t="s">
        <v>2730</v>
      </c>
      <c r="AC185" t="s">
        <v>2730</v>
      </c>
      <c r="AD185" t="s">
        <v>2730</v>
      </c>
      <c r="AE185" t="s">
        <v>2730</v>
      </c>
      <c r="AF185" t="s">
        <v>2730</v>
      </c>
      <c r="AG185" t="s">
        <v>2730</v>
      </c>
      <c r="AH185" t="s">
        <v>2730</v>
      </c>
    </row>
    <row r="186" spans="1:34">
      <c r="A186" s="149" t="str">
        <f>HYPERLINK("http://www.ofsted.gov.uk/inspection-reports/find-inspection-report/provider/ELS/110931 ","Ofsted School Webpage")</f>
        <v>Ofsted School Webpage</v>
      </c>
      <c r="B186">
        <v>110931</v>
      </c>
      <c r="C186">
        <v>8736018</v>
      </c>
      <c r="D186" t="s">
        <v>927</v>
      </c>
      <c r="E186" t="s">
        <v>38</v>
      </c>
      <c r="F186" t="s">
        <v>184</v>
      </c>
      <c r="G186" t="s">
        <v>184</v>
      </c>
      <c r="H186" t="s">
        <v>2729</v>
      </c>
      <c r="I186" t="s">
        <v>2730</v>
      </c>
      <c r="J186" t="s">
        <v>186</v>
      </c>
      <c r="K186" t="s">
        <v>220</v>
      </c>
      <c r="L186" t="s">
        <v>220</v>
      </c>
      <c r="M186" t="s">
        <v>284</v>
      </c>
      <c r="N186" t="s">
        <v>928</v>
      </c>
      <c r="O186" t="s">
        <v>929</v>
      </c>
      <c r="P186" s="120">
        <v>41906</v>
      </c>
      <c r="Q186" s="120">
        <v>41908</v>
      </c>
      <c r="R186" s="120">
        <v>41954</v>
      </c>
      <c r="S186" t="s">
        <v>267</v>
      </c>
      <c r="T186">
        <v>2</v>
      </c>
      <c r="U186" t="s">
        <v>2730</v>
      </c>
      <c r="V186">
        <v>2</v>
      </c>
      <c r="W186" t="s">
        <v>2730</v>
      </c>
      <c r="X186">
        <v>2</v>
      </c>
      <c r="Y186">
        <v>2</v>
      </c>
      <c r="Z186" t="s">
        <v>2730</v>
      </c>
      <c r="AA186" t="s">
        <v>2730</v>
      </c>
      <c r="AB186" t="s">
        <v>2730</v>
      </c>
      <c r="AC186" t="s">
        <v>2730</v>
      </c>
      <c r="AD186" t="s">
        <v>2730</v>
      </c>
      <c r="AE186" t="s">
        <v>2730</v>
      </c>
      <c r="AF186" t="s">
        <v>2730</v>
      </c>
      <c r="AG186" t="s">
        <v>2730</v>
      </c>
      <c r="AH186" t="s">
        <v>2730</v>
      </c>
    </row>
    <row r="187" spans="1:34">
      <c r="A187" s="149" t="str">
        <f>HYPERLINK("http://www.ofsted.gov.uk/inspection-reports/find-inspection-report/provider/ELS/116586 ","Ofsted School Webpage")</f>
        <v>Ofsted School Webpage</v>
      </c>
      <c r="B187">
        <v>116586</v>
      </c>
      <c r="C187">
        <v>8506017</v>
      </c>
      <c r="D187" t="s">
        <v>1441</v>
      </c>
      <c r="E187" t="s">
        <v>38</v>
      </c>
      <c r="F187" t="s">
        <v>184</v>
      </c>
      <c r="G187" t="s">
        <v>184</v>
      </c>
      <c r="H187" t="s">
        <v>2729</v>
      </c>
      <c r="I187" t="s">
        <v>2730</v>
      </c>
      <c r="J187" t="s">
        <v>186</v>
      </c>
      <c r="K187" t="s">
        <v>181</v>
      </c>
      <c r="L187" t="s">
        <v>181</v>
      </c>
      <c r="M187" t="s">
        <v>201</v>
      </c>
      <c r="N187" t="s">
        <v>870</v>
      </c>
      <c r="O187">
        <v>10034635</v>
      </c>
      <c r="P187" s="120">
        <v>42927</v>
      </c>
      <c r="Q187" s="120">
        <v>42929</v>
      </c>
      <c r="R187" s="120">
        <v>43005</v>
      </c>
      <c r="S187" t="s">
        <v>196</v>
      </c>
      <c r="T187">
        <v>1</v>
      </c>
      <c r="U187" t="s">
        <v>128</v>
      </c>
      <c r="V187">
        <v>1</v>
      </c>
      <c r="W187">
        <v>1</v>
      </c>
      <c r="X187">
        <v>1</v>
      </c>
      <c r="Y187">
        <v>1</v>
      </c>
      <c r="Z187" t="s">
        <v>2730</v>
      </c>
      <c r="AA187">
        <v>1</v>
      </c>
      <c r="AB187" t="s">
        <v>2732</v>
      </c>
      <c r="AC187" t="s">
        <v>2730</v>
      </c>
      <c r="AD187" t="s">
        <v>2730</v>
      </c>
      <c r="AE187" s="120" t="s">
        <v>2730</v>
      </c>
      <c r="AF187" t="s">
        <v>2730</v>
      </c>
      <c r="AG187" s="120" t="s">
        <v>2730</v>
      </c>
      <c r="AH187" t="s">
        <v>2730</v>
      </c>
    </row>
    <row r="188" spans="1:34">
      <c r="A188" s="149" t="str">
        <f>HYPERLINK("http://www.ofsted.gov.uk/inspection-reports/find-inspection-report/provider/ELS/110178 ","Ofsted School Webpage")</f>
        <v>Ofsted School Webpage</v>
      </c>
      <c r="B188">
        <v>110178</v>
      </c>
      <c r="C188">
        <v>8676580</v>
      </c>
      <c r="D188" t="s">
        <v>1442</v>
      </c>
      <c r="E188" t="s">
        <v>38</v>
      </c>
      <c r="F188" t="s">
        <v>184</v>
      </c>
      <c r="G188" t="s">
        <v>184</v>
      </c>
      <c r="H188" t="s">
        <v>2729</v>
      </c>
      <c r="I188" t="s">
        <v>2730</v>
      </c>
      <c r="J188" t="s">
        <v>186</v>
      </c>
      <c r="K188" t="s">
        <v>181</v>
      </c>
      <c r="L188" t="s">
        <v>181</v>
      </c>
      <c r="M188" t="s">
        <v>1033</v>
      </c>
      <c r="N188" t="s">
        <v>1443</v>
      </c>
      <c r="O188">
        <v>10006109</v>
      </c>
      <c r="P188" s="120">
        <v>42920</v>
      </c>
      <c r="Q188" s="120">
        <v>42922</v>
      </c>
      <c r="R188" s="120">
        <v>42985</v>
      </c>
      <c r="S188" t="s">
        <v>196</v>
      </c>
      <c r="T188">
        <v>2</v>
      </c>
      <c r="U188" t="s">
        <v>128</v>
      </c>
      <c r="V188">
        <v>2</v>
      </c>
      <c r="W188">
        <v>2</v>
      </c>
      <c r="X188">
        <v>2</v>
      </c>
      <c r="Y188">
        <v>2</v>
      </c>
      <c r="Z188" t="s">
        <v>2730</v>
      </c>
      <c r="AA188" t="s">
        <v>2730</v>
      </c>
      <c r="AB188" t="s">
        <v>2732</v>
      </c>
      <c r="AC188" t="s">
        <v>2730</v>
      </c>
      <c r="AD188" t="s">
        <v>2730</v>
      </c>
      <c r="AE188" s="120" t="s">
        <v>2730</v>
      </c>
      <c r="AF188" t="s">
        <v>2730</v>
      </c>
      <c r="AG188" s="120" t="s">
        <v>2730</v>
      </c>
      <c r="AH188" t="s">
        <v>2730</v>
      </c>
    </row>
    <row r="189" spans="1:34">
      <c r="A189" s="149" t="str">
        <f>HYPERLINK("http://www.ofsted.gov.uk/inspection-reports/find-inspection-report/provider/ELS/133438 ","Ofsted School Webpage")</f>
        <v>Ofsted School Webpage</v>
      </c>
      <c r="B189">
        <v>133438</v>
      </c>
      <c r="C189">
        <v>3066104</v>
      </c>
      <c r="D189" t="s">
        <v>1444</v>
      </c>
      <c r="E189" t="s">
        <v>38</v>
      </c>
      <c r="F189" t="s">
        <v>184</v>
      </c>
      <c r="G189" t="s">
        <v>184</v>
      </c>
      <c r="H189" t="s">
        <v>2729</v>
      </c>
      <c r="I189" t="s">
        <v>2730</v>
      </c>
      <c r="J189" t="s">
        <v>186</v>
      </c>
      <c r="K189" t="s">
        <v>232</v>
      </c>
      <c r="L189" t="s">
        <v>232</v>
      </c>
      <c r="M189" t="s">
        <v>723</v>
      </c>
      <c r="N189" t="s">
        <v>1445</v>
      </c>
      <c r="O189" t="s">
        <v>1446</v>
      </c>
      <c r="P189" s="120">
        <v>41584</v>
      </c>
      <c r="Q189" s="120">
        <v>41586</v>
      </c>
      <c r="R189" s="120">
        <v>41606</v>
      </c>
      <c r="S189" t="s">
        <v>196</v>
      </c>
      <c r="T189">
        <v>2</v>
      </c>
      <c r="U189" t="s">
        <v>2730</v>
      </c>
      <c r="V189">
        <v>2</v>
      </c>
      <c r="W189" t="s">
        <v>2730</v>
      </c>
      <c r="X189">
        <v>2</v>
      </c>
      <c r="Y189">
        <v>2</v>
      </c>
      <c r="Z189" t="s">
        <v>2730</v>
      </c>
      <c r="AA189" t="s">
        <v>2730</v>
      </c>
      <c r="AB189" t="s">
        <v>2730</v>
      </c>
      <c r="AC189" t="s">
        <v>2730</v>
      </c>
      <c r="AD189" t="s">
        <v>2730</v>
      </c>
      <c r="AE189" t="s">
        <v>2730</v>
      </c>
      <c r="AF189" t="s">
        <v>2730</v>
      </c>
      <c r="AG189" t="s">
        <v>2730</v>
      </c>
      <c r="AH189" t="s">
        <v>2730</v>
      </c>
    </row>
    <row r="190" spans="1:34">
      <c r="A190" s="149" t="str">
        <f>HYPERLINK("http://www.ofsted.gov.uk/inspection-reports/find-inspection-report/provider/ELS/119849 ","Ofsted School Webpage")</f>
        <v>Ofsted School Webpage</v>
      </c>
      <c r="B190">
        <v>119849</v>
      </c>
      <c r="C190">
        <v>8886022</v>
      </c>
      <c r="D190" t="s">
        <v>1447</v>
      </c>
      <c r="E190" t="s">
        <v>38</v>
      </c>
      <c r="F190" t="s">
        <v>184</v>
      </c>
      <c r="G190" t="s">
        <v>184</v>
      </c>
      <c r="H190" t="s">
        <v>2729</v>
      </c>
      <c r="I190" t="s">
        <v>2730</v>
      </c>
      <c r="J190" t="s">
        <v>186</v>
      </c>
      <c r="K190" t="s">
        <v>205</v>
      </c>
      <c r="L190" t="s">
        <v>205</v>
      </c>
      <c r="M190" t="s">
        <v>206</v>
      </c>
      <c r="N190" t="s">
        <v>1448</v>
      </c>
      <c r="O190" t="s">
        <v>1449</v>
      </c>
      <c r="P190" s="120">
        <v>41933</v>
      </c>
      <c r="Q190" s="120">
        <v>41935</v>
      </c>
      <c r="R190" s="120">
        <v>41970</v>
      </c>
      <c r="S190" t="s">
        <v>3119</v>
      </c>
      <c r="T190">
        <v>2</v>
      </c>
      <c r="U190" t="s">
        <v>2730</v>
      </c>
      <c r="V190">
        <v>2</v>
      </c>
      <c r="W190" t="s">
        <v>2730</v>
      </c>
      <c r="X190">
        <v>2</v>
      </c>
      <c r="Y190">
        <v>2</v>
      </c>
      <c r="Z190">
        <v>9</v>
      </c>
      <c r="AA190">
        <v>2</v>
      </c>
      <c r="AB190" t="s">
        <v>2730</v>
      </c>
      <c r="AC190" t="s">
        <v>2730</v>
      </c>
      <c r="AD190" t="s">
        <v>2730</v>
      </c>
      <c r="AE190" t="s">
        <v>2730</v>
      </c>
      <c r="AF190" t="s">
        <v>2730</v>
      </c>
      <c r="AG190" t="s">
        <v>2730</v>
      </c>
      <c r="AH190" t="s">
        <v>2730</v>
      </c>
    </row>
    <row r="191" spans="1:34">
      <c r="A191" s="149" t="str">
        <f>HYPERLINK("http://www.ofsted.gov.uk/inspection-reports/find-inspection-report/provider/ELS/135510 ","Ofsted School Webpage")</f>
        <v>Ofsted School Webpage</v>
      </c>
      <c r="B191">
        <v>135510</v>
      </c>
      <c r="C191">
        <v>8866126</v>
      </c>
      <c r="D191" t="s">
        <v>1456</v>
      </c>
      <c r="E191" t="s">
        <v>38</v>
      </c>
      <c r="F191" t="s">
        <v>184</v>
      </c>
      <c r="G191" t="s">
        <v>184</v>
      </c>
      <c r="H191" t="s">
        <v>2729</v>
      </c>
      <c r="I191" t="s">
        <v>2730</v>
      </c>
      <c r="J191" t="s">
        <v>186</v>
      </c>
      <c r="K191" t="s">
        <v>181</v>
      </c>
      <c r="L191" t="s">
        <v>181</v>
      </c>
      <c r="M191" t="s">
        <v>182</v>
      </c>
      <c r="N191" t="s">
        <v>1457</v>
      </c>
      <c r="O191">
        <v>10008937</v>
      </c>
      <c r="P191" s="120">
        <v>42626</v>
      </c>
      <c r="Q191" s="120">
        <v>42628</v>
      </c>
      <c r="R191" s="120">
        <v>42649</v>
      </c>
      <c r="S191" t="s">
        <v>196</v>
      </c>
      <c r="T191">
        <v>2</v>
      </c>
      <c r="U191" t="s">
        <v>128</v>
      </c>
      <c r="V191">
        <v>2</v>
      </c>
      <c r="W191">
        <v>2</v>
      </c>
      <c r="X191">
        <v>2</v>
      </c>
      <c r="Y191">
        <v>2</v>
      </c>
      <c r="Z191" t="s">
        <v>2730</v>
      </c>
      <c r="AA191" t="s">
        <v>2730</v>
      </c>
      <c r="AB191" t="s">
        <v>2732</v>
      </c>
      <c r="AC191" t="s">
        <v>2730</v>
      </c>
      <c r="AD191" t="s">
        <v>2730</v>
      </c>
      <c r="AE191" s="120" t="s">
        <v>2730</v>
      </c>
      <c r="AF191" t="s">
        <v>2730</v>
      </c>
      <c r="AG191" s="120" t="s">
        <v>2730</v>
      </c>
      <c r="AH191" t="s">
        <v>2730</v>
      </c>
    </row>
    <row r="192" spans="1:34">
      <c r="A192" s="149" t="str">
        <f>HYPERLINK("http://www.ofsted.gov.uk/inspection-reports/find-inspection-report/provider/ELS/142068 ","Ofsted School Webpage")</f>
        <v>Ofsted School Webpage</v>
      </c>
      <c r="B192">
        <v>142068</v>
      </c>
      <c r="C192">
        <v>3836003</v>
      </c>
      <c r="D192" t="s">
        <v>1150</v>
      </c>
      <c r="E192" t="s">
        <v>38</v>
      </c>
      <c r="F192" t="s">
        <v>184</v>
      </c>
      <c r="G192" t="s">
        <v>184</v>
      </c>
      <c r="H192" t="s">
        <v>2729</v>
      </c>
      <c r="I192" t="s">
        <v>2730</v>
      </c>
      <c r="J192" t="s">
        <v>186</v>
      </c>
      <c r="K192" t="s">
        <v>245</v>
      </c>
      <c r="L192" t="s">
        <v>246</v>
      </c>
      <c r="M192" t="s">
        <v>714</v>
      </c>
      <c r="N192" t="s">
        <v>866</v>
      </c>
      <c r="O192">
        <v>10008633</v>
      </c>
      <c r="P192" s="120">
        <v>42423</v>
      </c>
      <c r="Q192" s="120">
        <v>42424</v>
      </c>
      <c r="R192" s="120">
        <v>42453</v>
      </c>
      <c r="S192" t="s">
        <v>249</v>
      </c>
      <c r="T192">
        <v>2</v>
      </c>
      <c r="U192" t="s">
        <v>128</v>
      </c>
      <c r="V192">
        <v>2</v>
      </c>
      <c r="W192">
        <v>2</v>
      </c>
      <c r="X192">
        <v>2</v>
      </c>
      <c r="Y192">
        <v>2</v>
      </c>
      <c r="Z192" t="s">
        <v>2730</v>
      </c>
      <c r="AA192" t="s">
        <v>2730</v>
      </c>
      <c r="AB192" t="s">
        <v>2732</v>
      </c>
      <c r="AC192" t="s">
        <v>2730</v>
      </c>
      <c r="AD192" t="s">
        <v>2730</v>
      </c>
      <c r="AE192" t="s">
        <v>2730</v>
      </c>
      <c r="AF192" t="s">
        <v>2730</v>
      </c>
      <c r="AG192" t="s">
        <v>2730</v>
      </c>
      <c r="AH192" t="s">
        <v>2730</v>
      </c>
    </row>
    <row r="193" spans="1:34">
      <c r="A193" s="149" t="str">
        <f>HYPERLINK("http://www.ofsted.gov.uk/inspection-reports/find-inspection-report/provider/ELS/114635 ","Ofsted School Webpage")</f>
        <v>Ofsted School Webpage</v>
      </c>
      <c r="B193">
        <v>114635</v>
      </c>
      <c r="C193">
        <v>8456002</v>
      </c>
      <c r="D193" t="s">
        <v>1151</v>
      </c>
      <c r="E193" t="s">
        <v>38</v>
      </c>
      <c r="F193" t="s">
        <v>184</v>
      </c>
      <c r="G193" t="s">
        <v>441</v>
      </c>
      <c r="H193" t="s">
        <v>2729</v>
      </c>
      <c r="I193" t="s">
        <v>2730</v>
      </c>
      <c r="J193" t="s">
        <v>186</v>
      </c>
      <c r="K193" t="s">
        <v>181</v>
      </c>
      <c r="L193" t="s">
        <v>181</v>
      </c>
      <c r="M193" t="s">
        <v>438</v>
      </c>
      <c r="N193" t="s">
        <v>1152</v>
      </c>
      <c r="O193">
        <v>10018187</v>
      </c>
      <c r="P193" s="120">
        <v>42535</v>
      </c>
      <c r="Q193" s="120">
        <v>42537</v>
      </c>
      <c r="R193" s="120">
        <v>42558</v>
      </c>
      <c r="S193" t="s">
        <v>196</v>
      </c>
      <c r="T193">
        <v>2</v>
      </c>
      <c r="U193" t="s">
        <v>128</v>
      </c>
      <c r="V193">
        <v>2</v>
      </c>
      <c r="W193">
        <v>1</v>
      </c>
      <c r="X193">
        <v>2</v>
      </c>
      <c r="Y193">
        <v>2</v>
      </c>
      <c r="Z193" t="s">
        <v>2730</v>
      </c>
      <c r="AA193">
        <v>2</v>
      </c>
      <c r="AB193" t="s">
        <v>2732</v>
      </c>
      <c r="AC193" t="s">
        <v>2730</v>
      </c>
      <c r="AD193" t="s">
        <v>2730</v>
      </c>
      <c r="AE193" t="s">
        <v>2730</v>
      </c>
      <c r="AF193" t="s">
        <v>2730</v>
      </c>
      <c r="AG193" t="s">
        <v>2730</v>
      </c>
      <c r="AH193" t="s">
        <v>2730</v>
      </c>
    </row>
    <row r="194" spans="1:34">
      <c r="A194" s="149" t="str">
        <f>HYPERLINK("http://www.ofsted.gov.uk/inspection-reports/find-inspection-report/provider/ELS/134649 ","Ofsted School Webpage")</f>
        <v>Ofsted School Webpage</v>
      </c>
      <c r="B194">
        <v>134649</v>
      </c>
      <c r="C194">
        <v>8916022</v>
      </c>
      <c r="D194" t="s">
        <v>1153</v>
      </c>
      <c r="E194" t="s">
        <v>38</v>
      </c>
      <c r="F194" t="s">
        <v>184</v>
      </c>
      <c r="G194" t="s">
        <v>184</v>
      </c>
      <c r="H194" t="s">
        <v>2729</v>
      </c>
      <c r="I194" t="s">
        <v>2730</v>
      </c>
      <c r="J194" t="s">
        <v>186</v>
      </c>
      <c r="K194" t="s">
        <v>214</v>
      </c>
      <c r="L194" t="s">
        <v>214</v>
      </c>
      <c r="M194" t="s">
        <v>320</v>
      </c>
      <c r="N194" t="s">
        <v>1154</v>
      </c>
      <c r="O194" t="s">
        <v>1155</v>
      </c>
      <c r="P194" s="120">
        <v>41898</v>
      </c>
      <c r="Q194" s="120">
        <v>41900</v>
      </c>
      <c r="R194" s="120">
        <v>41921</v>
      </c>
      <c r="S194" t="s">
        <v>196</v>
      </c>
      <c r="T194">
        <v>2</v>
      </c>
      <c r="U194" t="s">
        <v>2730</v>
      </c>
      <c r="V194">
        <v>2</v>
      </c>
      <c r="W194" t="s">
        <v>2730</v>
      </c>
      <c r="X194">
        <v>2</v>
      </c>
      <c r="Y194">
        <v>2</v>
      </c>
      <c r="Z194" t="s">
        <v>2730</v>
      </c>
      <c r="AA194" t="s">
        <v>2730</v>
      </c>
      <c r="AB194" t="s">
        <v>2730</v>
      </c>
      <c r="AC194" t="s">
        <v>2730</v>
      </c>
      <c r="AD194" t="s">
        <v>2730</v>
      </c>
      <c r="AE194" t="s">
        <v>2730</v>
      </c>
      <c r="AF194" t="s">
        <v>2730</v>
      </c>
      <c r="AG194" t="s">
        <v>2730</v>
      </c>
      <c r="AH194" t="s">
        <v>2730</v>
      </c>
    </row>
    <row r="195" spans="1:34">
      <c r="A195" s="149" t="str">
        <f>HYPERLINK("http://www.ofsted.gov.uk/inspection-reports/find-inspection-report/provider/ELS/134148 ","Ofsted School Webpage")</f>
        <v>Ofsted School Webpage</v>
      </c>
      <c r="B195">
        <v>134148</v>
      </c>
      <c r="C195">
        <v>8456051</v>
      </c>
      <c r="D195" t="s">
        <v>955</v>
      </c>
      <c r="E195" t="s">
        <v>38</v>
      </c>
      <c r="F195" t="s">
        <v>184</v>
      </c>
      <c r="G195" t="s">
        <v>184</v>
      </c>
      <c r="H195" t="s">
        <v>2729</v>
      </c>
      <c r="I195" t="s">
        <v>2730</v>
      </c>
      <c r="J195" t="s">
        <v>186</v>
      </c>
      <c r="K195" t="s">
        <v>181</v>
      </c>
      <c r="L195" t="s">
        <v>181</v>
      </c>
      <c r="M195" t="s">
        <v>438</v>
      </c>
      <c r="N195" t="s">
        <v>956</v>
      </c>
      <c r="O195">
        <v>10020900</v>
      </c>
      <c r="P195" s="120">
        <v>42927</v>
      </c>
      <c r="Q195" s="120">
        <v>42929</v>
      </c>
      <c r="R195" s="120">
        <v>42992</v>
      </c>
      <c r="S195" t="s">
        <v>196</v>
      </c>
      <c r="T195">
        <v>2</v>
      </c>
      <c r="U195" t="s">
        <v>128</v>
      </c>
      <c r="V195">
        <v>2</v>
      </c>
      <c r="W195">
        <v>2</v>
      </c>
      <c r="X195">
        <v>2</v>
      </c>
      <c r="Y195">
        <v>2</v>
      </c>
      <c r="Z195" t="s">
        <v>2730</v>
      </c>
      <c r="AA195">
        <v>2</v>
      </c>
      <c r="AB195" t="s">
        <v>2732</v>
      </c>
      <c r="AC195" t="s">
        <v>2730</v>
      </c>
      <c r="AD195" t="s">
        <v>2730</v>
      </c>
      <c r="AE195" t="s">
        <v>2730</v>
      </c>
      <c r="AF195" t="s">
        <v>2730</v>
      </c>
      <c r="AG195" t="s">
        <v>2730</v>
      </c>
      <c r="AH195" t="s">
        <v>2730</v>
      </c>
    </row>
    <row r="196" spans="1:34">
      <c r="A196" s="149" t="str">
        <f>HYPERLINK("http://www.ofsted.gov.uk/inspection-reports/find-inspection-report/provider/ELS/119009 ","Ofsted School Webpage")</f>
        <v>Ofsted School Webpage</v>
      </c>
      <c r="B196">
        <v>119009</v>
      </c>
      <c r="C196">
        <v>8866060</v>
      </c>
      <c r="D196" t="s">
        <v>957</v>
      </c>
      <c r="E196" t="s">
        <v>38</v>
      </c>
      <c r="F196" t="s">
        <v>184</v>
      </c>
      <c r="G196" t="s">
        <v>184</v>
      </c>
      <c r="H196" t="s">
        <v>2729</v>
      </c>
      <c r="I196" t="s">
        <v>2730</v>
      </c>
      <c r="J196" t="s">
        <v>186</v>
      </c>
      <c r="K196" t="s">
        <v>181</v>
      </c>
      <c r="L196" t="s">
        <v>181</v>
      </c>
      <c r="M196" t="s">
        <v>182</v>
      </c>
      <c r="N196" t="s">
        <v>958</v>
      </c>
      <c r="O196">
        <v>10026656</v>
      </c>
      <c r="P196" s="120">
        <v>42787</v>
      </c>
      <c r="Q196" s="120">
        <v>42789</v>
      </c>
      <c r="R196" s="120">
        <v>42808</v>
      </c>
      <c r="S196" t="s">
        <v>196</v>
      </c>
      <c r="T196">
        <v>2</v>
      </c>
      <c r="U196" t="s">
        <v>128</v>
      </c>
      <c r="V196">
        <v>1</v>
      </c>
      <c r="W196">
        <v>1</v>
      </c>
      <c r="X196">
        <v>2</v>
      </c>
      <c r="Y196">
        <v>2</v>
      </c>
      <c r="Z196" t="s">
        <v>2730</v>
      </c>
      <c r="AA196">
        <v>2</v>
      </c>
      <c r="AB196" t="s">
        <v>2732</v>
      </c>
      <c r="AC196" t="s">
        <v>2730</v>
      </c>
      <c r="AD196" t="s">
        <v>2730</v>
      </c>
      <c r="AE196" t="s">
        <v>2730</v>
      </c>
      <c r="AF196" t="s">
        <v>2730</v>
      </c>
      <c r="AG196" t="s">
        <v>2730</v>
      </c>
      <c r="AH196" t="s">
        <v>2730</v>
      </c>
    </row>
    <row r="197" spans="1:34">
      <c r="A197" s="149" t="str">
        <f>HYPERLINK("http://www.ofsted.gov.uk/inspection-reports/find-inspection-report/provider/ELS/118993 ","Ofsted School Webpage")</f>
        <v>Ofsted School Webpage</v>
      </c>
      <c r="B197">
        <v>118993</v>
      </c>
      <c r="C197">
        <v>8866046</v>
      </c>
      <c r="D197" t="s">
        <v>959</v>
      </c>
      <c r="E197" t="s">
        <v>38</v>
      </c>
      <c r="F197" t="s">
        <v>184</v>
      </c>
      <c r="G197" t="s">
        <v>184</v>
      </c>
      <c r="H197" t="s">
        <v>2729</v>
      </c>
      <c r="I197" t="s">
        <v>2730</v>
      </c>
      <c r="J197" t="s">
        <v>186</v>
      </c>
      <c r="K197" t="s">
        <v>181</v>
      </c>
      <c r="L197" t="s">
        <v>181</v>
      </c>
      <c r="M197" t="s">
        <v>182</v>
      </c>
      <c r="N197" t="s">
        <v>960</v>
      </c>
      <c r="O197">
        <v>10008936</v>
      </c>
      <c r="P197" s="120">
        <v>42696</v>
      </c>
      <c r="Q197" s="120">
        <v>42698</v>
      </c>
      <c r="R197" s="120">
        <v>42746</v>
      </c>
      <c r="S197" t="s">
        <v>196</v>
      </c>
      <c r="T197">
        <v>1</v>
      </c>
      <c r="U197" t="s">
        <v>128</v>
      </c>
      <c r="V197">
        <v>1</v>
      </c>
      <c r="W197">
        <v>1</v>
      </c>
      <c r="X197">
        <v>1</v>
      </c>
      <c r="Y197">
        <v>1</v>
      </c>
      <c r="Z197" t="s">
        <v>2730</v>
      </c>
      <c r="AA197">
        <v>1</v>
      </c>
      <c r="AB197" t="s">
        <v>2732</v>
      </c>
      <c r="AC197" t="s">
        <v>2730</v>
      </c>
      <c r="AD197" t="s">
        <v>2730</v>
      </c>
      <c r="AE197" s="120" t="s">
        <v>2730</v>
      </c>
      <c r="AF197" t="s">
        <v>2730</v>
      </c>
      <c r="AG197" s="120" t="s">
        <v>2730</v>
      </c>
      <c r="AH197" t="s">
        <v>2730</v>
      </c>
    </row>
    <row r="198" spans="1:34">
      <c r="A198" s="149" t="str">
        <f>HYPERLINK("http://www.ofsted.gov.uk/inspection-reports/find-inspection-report/provider/ELS/135445 ","Ofsted School Webpage")</f>
        <v>Ofsted School Webpage</v>
      </c>
      <c r="B198">
        <v>135445</v>
      </c>
      <c r="C198">
        <v>8936106</v>
      </c>
      <c r="D198" t="s">
        <v>1458</v>
      </c>
      <c r="E198" t="s">
        <v>38</v>
      </c>
      <c r="F198" t="s">
        <v>184</v>
      </c>
      <c r="G198" t="s">
        <v>184</v>
      </c>
      <c r="H198" t="s">
        <v>2729</v>
      </c>
      <c r="I198" t="s">
        <v>2730</v>
      </c>
      <c r="J198" t="s">
        <v>186</v>
      </c>
      <c r="K198" t="s">
        <v>193</v>
      </c>
      <c r="L198" t="s">
        <v>193</v>
      </c>
      <c r="M198" t="s">
        <v>194</v>
      </c>
      <c r="N198" t="s">
        <v>1459</v>
      </c>
      <c r="O198" t="s">
        <v>1460</v>
      </c>
      <c r="P198" s="120">
        <v>42179</v>
      </c>
      <c r="Q198" s="120">
        <v>42181</v>
      </c>
      <c r="R198" s="120">
        <v>42249</v>
      </c>
      <c r="S198" t="s">
        <v>3119</v>
      </c>
      <c r="T198">
        <v>2</v>
      </c>
      <c r="U198" t="s">
        <v>2730</v>
      </c>
      <c r="V198">
        <v>2</v>
      </c>
      <c r="W198" t="s">
        <v>2730</v>
      </c>
      <c r="X198">
        <v>2</v>
      </c>
      <c r="Y198">
        <v>2</v>
      </c>
      <c r="Z198">
        <v>9</v>
      </c>
      <c r="AA198">
        <v>2</v>
      </c>
      <c r="AB198" t="s">
        <v>2730</v>
      </c>
      <c r="AC198" t="s">
        <v>2730</v>
      </c>
      <c r="AD198" t="s">
        <v>2730</v>
      </c>
      <c r="AE198" t="s">
        <v>2730</v>
      </c>
      <c r="AF198" t="s">
        <v>2730</v>
      </c>
      <c r="AG198" t="s">
        <v>2730</v>
      </c>
      <c r="AH198" t="s">
        <v>2730</v>
      </c>
    </row>
    <row r="199" spans="1:34">
      <c r="A199" s="149" t="str">
        <f>HYPERLINK("http://www.ofsted.gov.uk/inspection-reports/find-inspection-report/provider/ELS/135735 ","Ofsted School Webpage")</f>
        <v>Ofsted School Webpage</v>
      </c>
      <c r="B199">
        <v>135735</v>
      </c>
      <c r="C199">
        <v>9336000</v>
      </c>
      <c r="D199" t="s">
        <v>1030</v>
      </c>
      <c r="E199" t="s">
        <v>38</v>
      </c>
      <c r="F199" t="s">
        <v>184</v>
      </c>
      <c r="G199" t="s">
        <v>184</v>
      </c>
      <c r="H199" t="s">
        <v>2729</v>
      </c>
      <c r="I199" t="s">
        <v>2730</v>
      </c>
      <c r="J199" t="s">
        <v>186</v>
      </c>
      <c r="K199" t="s">
        <v>225</v>
      </c>
      <c r="L199" t="s">
        <v>225</v>
      </c>
      <c r="M199" t="s">
        <v>262</v>
      </c>
      <c r="N199" t="s">
        <v>1031</v>
      </c>
      <c r="O199">
        <v>10011269</v>
      </c>
      <c r="P199" s="120">
        <v>42395</v>
      </c>
      <c r="Q199" s="120">
        <v>42397</v>
      </c>
      <c r="R199" s="120">
        <v>42436</v>
      </c>
      <c r="S199" t="s">
        <v>196</v>
      </c>
      <c r="T199">
        <v>4</v>
      </c>
      <c r="U199" t="s">
        <v>128</v>
      </c>
      <c r="V199">
        <v>4</v>
      </c>
      <c r="W199">
        <v>3</v>
      </c>
      <c r="X199">
        <v>4</v>
      </c>
      <c r="Y199">
        <v>4</v>
      </c>
      <c r="Z199" t="s">
        <v>2730</v>
      </c>
      <c r="AA199">
        <v>4</v>
      </c>
      <c r="AB199" t="s">
        <v>2733</v>
      </c>
      <c r="AC199">
        <v>10022242</v>
      </c>
      <c r="AD199" t="s">
        <v>187</v>
      </c>
      <c r="AE199" s="120">
        <v>42648</v>
      </c>
      <c r="AF199" t="s">
        <v>2769</v>
      </c>
      <c r="AG199" s="120">
        <v>42704</v>
      </c>
      <c r="AH199" t="s">
        <v>189</v>
      </c>
    </row>
    <row r="200" spans="1:34">
      <c r="A200" s="149" t="str">
        <f>HYPERLINK("http://www.ofsted.gov.uk/inspection-reports/find-inspection-report/provider/ELS/134415 ","Ofsted School Webpage")</f>
        <v>Ofsted School Webpage</v>
      </c>
      <c r="B200">
        <v>134415</v>
      </c>
      <c r="C200">
        <v>8676035</v>
      </c>
      <c r="D200" t="s">
        <v>1032</v>
      </c>
      <c r="E200" t="s">
        <v>38</v>
      </c>
      <c r="F200" t="s">
        <v>184</v>
      </c>
      <c r="G200" t="s">
        <v>184</v>
      </c>
      <c r="H200" t="s">
        <v>2729</v>
      </c>
      <c r="I200" t="s">
        <v>2730</v>
      </c>
      <c r="J200" t="s">
        <v>186</v>
      </c>
      <c r="K200" t="s">
        <v>181</v>
      </c>
      <c r="L200" t="s">
        <v>181</v>
      </c>
      <c r="M200" t="s">
        <v>1033</v>
      </c>
      <c r="N200" t="s">
        <v>1034</v>
      </c>
      <c r="O200" t="s">
        <v>1035</v>
      </c>
      <c r="P200" s="120">
        <v>42045</v>
      </c>
      <c r="Q200" s="120">
        <v>42047</v>
      </c>
      <c r="R200" s="120">
        <v>42076</v>
      </c>
      <c r="S200" t="s">
        <v>196</v>
      </c>
      <c r="T200">
        <v>2</v>
      </c>
      <c r="U200" t="s">
        <v>2730</v>
      </c>
      <c r="V200">
        <v>2</v>
      </c>
      <c r="W200" t="s">
        <v>2730</v>
      </c>
      <c r="X200">
        <v>2</v>
      </c>
      <c r="Y200">
        <v>2</v>
      </c>
      <c r="Z200">
        <v>9</v>
      </c>
      <c r="AA200">
        <v>9</v>
      </c>
      <c r="AB200" t="s">
        <v>2730</v>
      </c>
      <c r="AC200" t="s">
        <v>2730</v>
      </c>
      <c r="AD200" t="s">
        <v>2730</v>
      </c>
      <c r="AE200" t="s">
        <v>2730</v>
      </c>
      <c r="AF200" t="s">
        <v>2730</v>
      </c>
      <c r="AG200" t="s">
        <v>2730</v>
      </c>
      <c r="AH200" t="s">
        <v>2730</v>
      </c>
    </row>
    <row r="201" spans="1:34">
      <c r="A201" s="149" t="str">
        <f>HYPERLINK("http://www.ofsted.gov.uk/inspection-reports/find-inspection-report/provider/ELS/141207 ","Ofsted School Webpage")</f>
        <v>Ofsted School Webpage</v>
      </c>
      <c r="B201">
        <v>141207</v>
      </c>
      <c r="C201">
        <v>3526009</v>
      </c>
      <c r="D201" t="s">
        <v>1036</v>
      </c>
      <c r="E201" t="s">
        <v>38</v>
      </c>
      <c r="F201" t="s">
        <v>184</v>
      </c>
      <c r="G201" t="s">
        <v>184</v>
      </c>
      <c r="H201" t="s">
        <v>2729</v>
      </c>
      <c r="I201" t="s">
        <v>2730</v>
      </c>
      <c r="J201" t="s">
        <v>186</v>
      </c>
      <c r="K201" t="s">
        <v>205</v>
      </c>
      <c r="L201" t="s">
        <v>205</v>
      </c>
      <c r="M201" t="s">
        <v>306</v>
      </c>
      <c r="N201" t="s">
        <v>1037</v>
      </c>
      <c r="O201">
        <v>10034035</v>
      </c>
      <c r="P201" s="120">
        <v>42871</v>
      </c>
      <c r="Q201" s="120">
        <v>42873</v>
      </c>
      <c r="R201" s="120">
        <v>42898</v>
      </c>
      <c r="S201" t="s">
        <v>196</v>
      </c>
      <c r="T201">
        <v>2</v>
      </c>
      <c r="U201" t="s">
        <v>128</v>
      </c>
      <c r="V201">
        <v>2</v>
      </c>
      <c r="W201">
        <v>2</v>
      </c>
      <c r="X201">
        <v>2</v>
      </c>
      <c r="Y201">
        <v>2</v>
      </c>
      <c r="Z201" t="s">
        <v>2730</v>
      </c>
      <c r="AA201" t="s">
        <v>2730</v>
      </c>
      <c r="AB201" t="s">
        <v>2732</v>
      </c>
      <c r="AC201" t="s">
        <v>2730</v>
      </c>
      <c r="AD201" t="s">
        <v>2730</v>
      </c>
      <c r="AE201" t="s">
        <v>2730</v>
      </c>
      <c r="AF201" t="s">
        <v>2730</v>
      </c>
      <c r="AG201" t="s">
        <v>2730</v>
      </c>
      <c r="AH201" t="s">
        <v>2730</v>
      </c>
    </row>
    <row r="202" spans="1:34">
      <c r="A202" s="149" t="str">
        <f>HYPERLINK("http://www.ofsted.gov.uk/inspection-reports/find-inspection-report/provider/ELS/139419 ","Ofsted School Webpage")</f>
        <v>Ofsted School Webpage</v>
      </c>
      <c r="B202">
        <v>139419</v>
      </c>
      <c r="C202">
        <v>9376024</v>
      </c>
      <c r="D202" t="s">
        <v>961</v>
      </c>
      <c r="E202" t="s">
        <v>38</v>
      </c>
      <c r="F202" t="s">
        <v>184</v>
      </c>
      <c r="G202" t="s">
        <v>184</v>
      </c>
      <c r="H202" t="s">
        <v>2729</v>
      </c>
      <c r="I202" t="s">
        <v>2730</v>
      </c>
      <c r="J202" t="s">
        <v>186</v>
      </c>
      <c r="K202" t="s">
        <v>193</v>
      </c>
      <c r="L202" t="s">
        <v>193</v>
      </c>
      <c r="M202" t="s">
        <v>377</v>
      </c>
      <c r="N202" t="s">
        <v>962</v>
      </c>
      <c r="O202" t="s">
        <v>963</v>
      </c>
      <c r="P202" s="120">
        <v>41702</v>
      </c>
      <c r="Q202" s="120">
        <v>41704</v>
      </c>
      <c r="R202" s="120">
        <v>41723</v>
      </c>
      <c r="S202" t="s">
        <v>249</v>
      </c>
      <c r="T202">
        <v>2</v>
      </c>
      <c r="U202" t="s">
        <v>2730</v>
      </c>
      <c r="V202">
        <v>1</v>
      </c>
      <c r="W202" t="s">
        <v>2730</v>
      </c>
      <c r="X202">
        <v>2</v>
      </c>
      <c r="Y202">
        <v>2</v>
      </c>
      <c r="Z202" t="s">
        <v>2730</v>
      </c>
      <c r="AA202" t="s">
        <v>2730</v>
      </c>
      <c r="AB202" t="s">
        <v>2730</v>
      </c>
      <c r="AC202" t="s">
        <v>2730</v>
      </c>
      <c r="AD202" t="s">
        <v>2730</v>
      </c>
      <c r="AE202" t="s">
        <v>2730</v>
      </c>
      <c r="AF202" t="s">
        <v>2730</v>
      </c>
      <c r="AG202" t="s">
        <v>2730</v>
      </c>
      <c r="AH202" t="s">
        <v>2730</v>
      </c>
    </row>
    <row r="203" spans="1:34">
      <c r="A203" s="149" t="str">
        <f>HYPERLINK("http://www.ofsted.gov.uk/inspection-reports/find-inspection-report/provider/ELS/137098 ","Ofsted School Webpage")</f>
        <v>Ofsted School Webpage</v>
      </c>
      <c r="B203">
        <v>137098</v>
      </c>
      <c r="C203">
        <v>8606037</v>
      </c>
      <c r="D203" t="s">
        <v>974</v>
      </c>
      <c r="E203" t="s">
        <v>38</v>
      </c>
      <c r="F203" t="s">
        <v>184</v>
      </c>
      <c r="G203" t="s">
        <v>184</v>
      </c>
      <c r="H203" t="s">
        <v>2729</v>
      </c>
      <c r="I203" t="s">
        <v>2730</v>
      </c>
      <c r="J203" t="s">
        <v>186</v>
      </c>
      <c r="K203" t="s">
        <v>193</v>
      </c>
      <c r="L203" t="s">
        <v>193</v>
      </c>
      <c r="M203" t="s">
        <v>314</v>
      </c>
      <c r="N203" t="s">
        <v>975</v>
      </c>
      <c r="O203" t="s">
        <v>976</v>
      </c>
      <c r="P203" s="120">
        <v>41044</v>
      </c>
      <c r="Q203" s="120">
        <v>41045</v>
      </c>
      <c r="R203" s="120">
        <v>41075</v>
      </c>
      <c r="S203" t="s">
        <v>249</v>
      </c>
      <c r="T203">
        <v>1</v>
      </c>
      <c r="U203" t="s">
        <v>2730</v>
      </c>
      <c r="V203" t="s">
        <v>2730</v>
      </c>
      <c r="W203" t="s">
        <v>2730</v>
      </c>
      <c r="X203">
        <v>1</v>
      </c>
      <c r="Y203">
        <v>1</v>
      </c>
      <c r="Z203">
        <v>8</v>
      </c>
      <c r="AA203" t="s">
        <v>2730</v>
      </c>
      <c r="AB203" t="s">
        <v>2730</v>
      </c>
      <c r="AC203" t="s">
        <v>2730</v>
      </c>
      <c r="AD203" t="s">
        <v>2730</v>
      </c>
      <c r="AE203" s="120" t="s">
        <v>2730</v>
      </c>
      <c r="AF203" t="s">
        <v>2730</v>
      </c>
      <c r="AG203" s="120" t="s">
        <v>2730</v>
      </c>
      <c r="AH203" t="s">
        <v>2730</v>
      </c>
    </row>
    <row r="204" spans="1:34">
      <c r="A204" s="149" t="str">
        <f>HYPERLINK("http://www.ofsted.gov.uk/inspection-reports/find-inspection-report/provider/ELS/141994 ","Ofsted School Webpage")</f>
        <v>Ofsted School Webpage</v>
      </c>
      <c r="B204">
        <v>141994</v>
      </c>
      <c r="C204">
        <v>8306043</v>
      </c>
      <c r="D204" t="s">
        <v>977</v>
      </c>
      <c r="E204" t="s">
        <v>38</v>
      </c>
      <c r="F204" t="s">
        <v>184</v>
      </c>
      <c r="G204" t="s">
        <v>184</v>
      </c>
      <c r="H204" t="s">
        <v>2729</v>
      </c>
      <c r="I204" t="s">
        <v>2730</v>
      </c>
      <c r="J204" t="s">
        <v>186</v>
      </c>
      <c r="K204" t="s">
        <v>214</v>
      </c>
      <c r="L204" t="s">
        <v>214</v>
      </c>
      <c r="M204" t="s">
        <v>364</v>
      </c>
      <c r="N204" t="s">
        <v>978</v>
      </c>
      <c r="O204">
        <v>10008629</v>
      </c>
      <c r="P204" s="120">
        <v>42451</v>
      </c>
      <c r="Q204" s="120">
        <v>42453</v>
      </c>
      <c r="R204" s="120">
        <v>42488</v>
      </c>
      <c r="S204" t="s">
        <v>249</v>
      </c>
      <c r="T204">
        <v>1</v>
      </c>
      <c r="U204" t="s">
        <v>128</v>
      </c>
      <c r="V204">
        <v>1</v>
      </c>
      <c r="W204">
        <v>1</v>
      </c>
      <c r="X204">
        <v>1</v>
      </c>
      <c r="Y204">
        <v>1</v>
      </c>
      <c r="Z204" t="s">
        <v>2730</v>
      </c>
      <c r="AA204" t="s">
        <v>2730</v>
      </c>
      <c r="AB204" t="s">
        <v>2732</v>
      </c>
      <c r="AC204" t="s">
        <v>2730</v>
      </c>
      <c r="AD204" t="s">
        <v>2730</v>
      </c>
      <c r="AE204" t="s">
        <v>2730</v>
      </c>
      <c r="AF204" t="s">
        <v>2730</v>
      </c>
      <c r="AG204" t="s">
        <v>2730</v>
      </c>
      <c r="AH204" t="s">
        <v>2730</v>
      </c>
    </row>
    <row r="205" spans="1:34">
      <c r="A205" s="149" t="str">
        <f>HYPERLINK("http://www.ofsted.gov.uk/inspection-reports/find-inspection-report/provider/ELS/135930 ","Ofsted School Webpage")</f>
        <v>Ofsted School Webpage</v>
      </c>
      <c r="B205">
        <v>135930</v>
      </c>
      <c r="C205">
        <v>9386267</v>
      </c>
      <c r="D205" t="s">
        <v>979</v>
      </c>
      <c r="E205" t="s">
        <v>38</v>
      </c>
      <c r="F205" t="s">
        <v>184</v>
      </c>
      <c r="G205" t="s">
        <v>184</v>
      </c>
      <c r="H205" t="s">
        <v>2729</v>
      </c>
      <c r="I205" t="s">
        <v>2730</v>
      </c>
      <c r="J205" t="s">
        <v>186</v>
      </c>
      <c r="K205" t="s">
        <v>181</v>
      </c>
      <c r="L205" t="s">
        <v>181</v>
      </c>
      <c r="M205" t="s">
        <v>395</v>
      </c>
      <c r="N205" t="s">
        <v>980</v>
      </c>
      <c r="O205">
        <v>10020827</v>
      </c>
      <c r="P205" s="120">
        <v>42633</v>
      </c>
      <c r="Q205" s="120">
        <v>42635</v>
      </c>
      <c r="R205" s="120">
        <v>42678</v>
      </c>
      <c r="S205" t="s">
        <v>267</v>
      </c>
      <c r="T205">
        <v>4</v>
      </c>
      <c r="U205" t="s">
        <v>129</v>
      </c>
      <c r="V205">
        <v>4</v>
      </c>
      <c r="W205">
        <v>4</v>
      </c>
      <c r="X205">
        <v>4</v>
      </c>
      <c r="Y205">
        <v>4</v>
      </c>
      <c r="Z205" t="s">
        <v>2730</v>
      </c>
      <c r="AA205">
        <v>4</v>
      </c>
      <c r="AB205" t="s">
        <v>2733</v>
      </c>
      <c r="AC205">
        <v>10033542</v>
      </c>
      <c r="AD205" t="s">
        <v>2770</v>
      </c>
      <c r="AE205" s="120">
        <v>42865</v>
      </c>
      <c r="AF205" t="s">
        <v>2769</v>
      </c>
      <c r="AG205" s="120">
        <v>42898</v>
      </c>
      <c r="AH205" t="s">
        <v>189</v>
      </c>
    </row>
    <row r="206" spans="1:34">
      <c r="A206" s="149" t="str">
        <f>HYPERLINK("http://www.ofsted.gov.uk/inspection-reports/find-inspection-report/provider/ELS/141208 ","Ofsted School Webpage")</f>
        <v>Ofsted School Webpage</v>
      </c>
      <c r="B206">
        <v>141208</v>
      </c>
      <c r="C206">
        <v>9316015</v>
      </c>
      <c r="D206" t="s">
        <v>981</v>
      </c>
      <c r="E206" t="s">
        <v>38</v>
      </c>
      <c r="F206" t="s">
        <v>184</v>
      </c>
      <c r="G206" t="s">
        <v>184</v>
      </c>
      <c r="H206" t="s">
        <v>2729</v>
      </c>
      <c r="I206" t="s">
        <v>2730</v>
      </c>
      <c r="J206" t="s">
        <v>186</v>
      </c>
      <c r="K206" t="s">
        <v>181</v>
      </c>
      <c r="L206" t="s">
        <v>181</v>
      </c>
      <c r="M206" t="s">
        <v>242</v>
      </c>
      <c r="N206" t="s">
        <v>982</v>
      </c>
      <c r="O206" t="s">
        <v>983</v>
      </c>
      <c r="P206" s="120">
        <v>42136</v>
      </c>
      <c r="Q206" s="120">
        <v>42138</v>
      </c>
      <c r="R206" s="120">
        <v>42174</v>
      </c>
      <c r="S206" t="s">
        <v>249</v>
      </c>
      <c r="T206">
        <v>2</v>
      </c>
      <c r="U206" t="s">
        <v>2730</v>
      </c>
      <c r="V206">
        <v>2</v>
      </c>
      <c r="W206" t="s">
        <v>2730</v>
      </c>
      <c r="X206">
        <v>2</v>
      </c>
      <c r="Y206">
        <v>2</v>
      </c>
      <c r="Z206">
        <v>9</v>
      </c>
      <c r="AA206">
        <v>2</v>
      </c>
      <c r="AB206" t="s">
        <v>2730</v>
      </c>
      <c r="AC206" t="s">
        <v>2730</v>
      </c>
      <c r="AD206" t="s">
        <v>2730</v>
      </c>
      <c r="AE206" s="120" t="s">
        <v>2730</v>
      </c>
      <c r="AF206" t="s">
        <v>2730</v>
      </c>
      <c r="AG206" s="120" t="s">
        <v>2730</v>
      </c>
      <c r="AH206" t="s">
        <v>2730</v>
      </c>
    </row>
    <row r="207" spans="1:34">
      <c r="A207" s="149" t="str">
        <f>HYPERLINK("http://www.ofsted.gov.uk/inspection-reports/find-inspection-report/provider/ELS/135794 ","Ofsted School Webpage")</f>
        <v>Ofsted School Webpage</v>
      </c>
      <c r="B207">
        <v>135794</v>
      </c>
      <c r="C207">
        <v>3076401</v>
      </c>
      <c r="D207" t="s">
        <v>1478</v>
      </c>
      <c r="E207" t="s">
        <v>38</v>
      </c>
      <c r="F207" t="s">
        <v>184</v>
      </c>
      <c r="G207" t="s">
        <v>184</v>
      </c>
      <c r="H207" t="s">
        <v>2729</v>
      </c>
      <c r="I207" t="s">
        <v>2730</v>
      </c>
      <c r="J207" t="s">
        <v>186</v>
      </c>
      <c r="K207" t="s">
        <v>232</v>
      </c>
      <c r="L207" t="s">
        <v>232</v>
      </c>
      <c r="M207" t="s">
        <v>631</v>
      </c>
      <c r="N207" t="s">
        <v>1479</v>
      </c>
      <c r="O207">
        <v>10012833</v>
      </c>
      <c r="P207" s="120">
        <v>42773</v>
      </c>
      <c r="Q207" s="120">
        <v>42775</v>
      </c>
      <c r="R207" s="120">
        <v>42818</v>
      </c>
      <c r="S207" t="s">
        <v>196</v>
      </c>
      <c r="T207">
        <v>1</v>
      </c>
      <c r="U207" t="s">
        <v>128</v>
      </c>
      <c r="V207">
        <v>1</v>
      </c>
      <c r="W207">
        <v>1</v>
      </c>
      <c r="X207">
        <v>1</v>
      </c>
      <c r="Y207">
        <v>1</v>
      </c>
      <c r="Z207" t="s">
        <v>2730</v>
      </c>
      <c r="AA207" t="s">
        <v>2730</v>
      </c>
      <c r="AB207" t="s">
        <v>2732</v>
      </c>
      <c r="AC207" t="s">
        <v>2730</v>
      </c>
      <c r="AD207" t="s">
        <v>2730</v>
      </c>
      <c r="AE207" t="s">
        <v>2730</v>
      </c>
      <c r="AF207" t="s">
        <v>2730</v>
      </c>
      <c r="AG207" t="s">
        <v>2730</v>
      </c>
      <c r="AH207" t="s">
        <v>2730</v>
      </c>
    </row>
    <row r="208" spans="1:34">
      <c r="A208" s="149" t="str">
        <f>HYPERLINK("http://www.ofsted.gov.uk/inspection-reports/find-inspection-report/provider/ELS/131802 ","Ofsted School Webpage")</f>
        <v>Ofsted School Webpage</v>
      </c>
      <c r="B208">
        <v>131802</v>
      </c>
      <c r="C208">
        <v>9286067</v>
      </c>
      <c r="D208" t="s">
        <v>213</v>
      </c>
      <c r="E208" t="s">
        <v>38</v>
      </c>
      <c r="F208" t="s">
        <v>184</v>
      </c>
      <c r="G208" t="s">
        <v>184</v>
      </c>
      <c r="H208" t="s">
        <v>2729</v>
      </c>
      <c r="I208" t="s">
        <v>2730</v>
      </c>
      <c r="J208" t="s">
        <v>186</v>
      </c>
      <c r="K208" t="s">
        <v>214</v>
      </c>
      <c r="L208" t="s">
        <v>214</v>
      </c>
      <c r="M208" t="s">
        <v>215</v>
      </c>
      <c r="N208" t="s">
        <v>216</v>
      </c>
      <c r="O208">
        <v>10026048</v>
      </c>
      <c r="P208" s="120">
        <v>42822</v>
      </c>
      <c r="Q208" s="120">
        <v>42824</v>
      </c>
      <c r="R208" s="120">
        <v>42857</v>
      </c>
      <c r="S208" t="s">
        <v>196</v>
      </c>
      <c r="T208">
        <v>3</v>
      </c>
      <c r="U208" t="s">
        <v>128</v>
      </c>
      <c r="V208">
        <v>3</v>
      </c>
      <c r="W208">
        <v>3</v>
      </c>
      <c r="X208">
        <v>3</v>
      </c>
      <c r="Y208">
        <v>3</v>
      </c>
      <c r="Z208" t="s">
        <v>2730</v>
      </c>
      <c r="AA208" t="s">
        <v>2730</v>
      </c>
      <c r="AB208" t="s">
        <v>2733</v>
      </c>
      <c r="AC208">
        <v>10043120</v>
      </c>
      <c r="AD208" t="s">
        <v>187</v>
      </c>
      <c r="AE208" s="120">
        <v>43013</v>
      </c>
      <c r="AF208" t="s">
        <v>2771</v>
      </c>
      <c r="AG208" s="120">
        <v>43045</v>
      </c>
      <c r="AH208" t="s">
        <v>217</v>
      </c>
    </row>
    <row r="209" spans="1:34">
      <c r="A209" s="149" t="str">
        <f>HYPERLINK("http://www.ofsted.gov.uk/inspection-reports/find-inspection-report/provider/ELS/114645 ","Ofsted School Webpage")</f>
        <v>Ofsted School Webpage</v>
      </c>
      <c r="B209">
        <v>114645</v>
      </c>
      <c r="C209">
        <v>8456028</v>
      </c>
      <c r="D209" t="s">
        <v>1039</v>
      </c>
      <c r="E209" t="s">
        <v>38</v>
      </c>
      <c r="F209" t="s">
        <v>184</v>
      </c>
      <c r="G209" t="s">
        <v>441</v>
      </c>
      <c r="H209" t="s">
        <v>2729</v>
      </c>
      <c r="I209" t="s">
        <v>2730</v>
      </c>
      <c r="J209" t="s">
        <v>186</v>
      </c>
      <c r="K209" t="s">
        <v>181</v>
      </c>
      <c r="L209" t="s">
        <v>181</v>
      </c>
      <c r="M209" t="s">
        <v>438</v>
      </c>
      <c r="N209" t="s">
        <v>1040</v>
      </c>
      <c r="O209" t="s">
        <v>1041</v>
      </c>
      <c r="P209" s="120">
        <v>41961</v>
      </c>
      <c r="Q209" s="120">
        <v>41963</v>
      </c>
      <c r="R209" s="120">
        <v>42025</v>
      </c>
      <c r="S209" t="s">
        <v>267</v>
      </c>
      <c r="T209">
        <v>3</v>
      </c>
      <c r="U209" t="s">
        <v>2730</v>
      </c>
      <c r="V209">
        <v>3</v>
      </c>
      <c r="W209" t="s">
        <v>2730</v>
      </c>
      <c r="X209">
        <v>3</v>
      </c>
      <c r="Y209">
        <v>3</v>
      </c>
      <c r="Z209">
        <v>9</v>
      </c>
      <c r="AA209">
        <v>2</v>
      </c>
      <c r="AB209" t="s">
        <v>2730</v>
      </c>
      <c r="AC209">
        <v>10025690</v>
      </c>
      <c r="AD209" t="s">
        <v>2770</v>
      </c>
      <c r="AE209" s="120">
        <v>42690</v>
      </c>
      <c r="AF209" t="s">
        <v>2769</v>
      </c>
      <c r="AG209" s="120">
        <v>42746</v>
      </c>
      <c r="AH209" t="s">
        <v>189</v>
      </c>
    </row>
    <row r="210" spans="1:34">
      <c r="A210" s="149" t="str">
        <f>HYPERLINK("http://www.ofsted.gov.uk/inspection-reports/find-inspection-report/provider/ELS/136262 ","Ofsted School Webpage")</f>
        <v>Ofsted School Webpage</v>
      </c>
      <c r="B210">
        <v>136262</v>
      </c>
      <c r="C210">
        <v>8856040</v>
      </c>
      <c r="D210" t="s">
        <v>1042</v>
      </c>
      <c r="E210" t="s">
        <v>38</v>
      </c>
      <c r="F210" t="s">
        <v>184</v>
      </c>
      <c r="G210" t="s">
        <v>184</v>
      </c>
      <c r="H210" t="s">
        <v>2729</v>
      </c>
      <c r="I210" t="s">
        <v>2730</v>
      </c>
      <c r="J210" t="s">
        <v>186</v>
      </c>
      <c r="K210" t="s">
        <v>193</v>
      </c>
      <c r="L210" t="s">
        <v>193</v>
      </c>
      <c r="M210" t="s">
        <v>891</v>
      </c>
      <c r="N210" t="s">
        <v>1043</v>
      </c>
      <c r="O210" t="s">
        <v>1044</v>
      </c>
      <c r="P210" s="120">
        <v>41912</v>
      </c>
      <c r="Q210" s="120">
        <v>41914</v>
      </c>
      <c r="R210" s="120">
        <v>41954</v>
      </c>
      <c r="S210" t="s">
        <v>196</v>
      </c>
      <c r="T210">
        <v>3</v>
      </c>
      <c r="U210" t="s">
        <v>2730</v>
      </c>
      <c r="V210">
        <v>3</v>
      </c>
      <c r="W210" t="s">
        <v>2730</v>
      </c>
      <c r="X210">
        <v>3</v>
      </c>
      <c r="Y210">
        <v>3</v>
      </c>
      <c r="Z210">
        <v>9</v>
      </c>
      <c r="AA210">
        <v>3</v>
      </c>
      <c r="AB210" t="s">
        <v>2730</v>
      </c>
      <c r="AC210" t="s">
        <v>2730</v>
      </c>
      <c r="AD210" t="s">
        <v>2730</v>
      </c>
      <c r="AE210" t="s">
        <v>2730</v>
      </c>
      <c r="AF210" t="s">
        <v>2730</v>
      </c>
      <c r="AG210" t="s">
        <v>2730</v>
      </c>
      <c r="AH210" t="s">
        <v>2730</v>
      </c>
    </row>
    <row r="211" spans="1:34">
      <c r="A211" s="149" t="str">
        <f>HYPERLINK("http://www.ofsted.gov.uk/inspection-reports/find-inspection-report/provider/ELS/126141 ","Ofsted School Webpage")</f>
        <v>Ofsted School Webpage</v>
      </c>
      <c r="B211">
        <v>126141</v>
      </c>
      <c r="C211">
        <v>9386219</v>
      </c>
      <c r="D211" t="s">
        <v>502</v>
      </c>
      <c r="E211" t="s">
        <v>38</v>
      </c>
      <c r="F211" t="s">
        <v>184</v>
      </c>
      <c r="G211" t="s">
        <v>212</v>
      </c>
      <c r="H211" t="s">
        <v>2729</v>
      </c>
      <c r="I211" t="s">
        <v>2730</v>
      </c>
      <c r="J211" t="s">
        <v>186</v>
      </c>
      <c r="K211" t="s">
        <v>181</v>
      </c>
      <c r="L211" t="s">
        <v>181</v>
      </c>
      <c r="M211" t="s">
        <v>395</v>
      </c>
      <c r="N211" t="s">
        <v>503</v>
      </c>
      <c r="O211">
        <v>10039159</v>
      </c>
      <c r="P211" s="120">
        <v>42997</v>
      </c>
      <c r="Q211" s="120">
        <v>42999</v>
      </c>
      <c r="R211" s="120">
        <v>43025</v>
      </c>
      <c r="S211" t="s">
        <v>196</v>
      </c>
      <c r="T211">
        <v>3</v>
      </c>
      <c r="U211" t="s">
        <v>128</v>
      </c>
      <c r="V211">
        <v>2</v>
      </c>
      <c r="W211">
        <v>2</v>
      </c>
      <c r="X211">
        <v>3</v>
      </c>
      <c r="Y211">
        <v>3</v>
      </c>
      <c r="Z211" t="s">
        <v>2730</v>
      </c>
      <c r="AA211">
        <v>1</v>
      </c>
      <c r="AB211" t="s">
        <v>2732</v>
      </c>
      <c r="AC211" t="s">
        <v>2730</v>
      </c>
      <c r="AD211" t="s">
        <v>2730</v>
      </c>
      <c r="AE211" t="s">
        <v>2730</v>
      </c>
      <c r="AF211" t="s">
        <v>2730</v>
      </c>
      <c r="AG211" t="s">
        <v>2730</v>
      </c>
      <c r="AH211" t="s">
        <v>2730</v>
      </c>
    </row>
    <row r="212" spans="1:34">
      <c r="A212" s="149" t="str">
        <f>HYPERLINK("http://www.ofsted.gov.uk/inspection-reports/find-inspection-report/provider/ELS/135673 ","Ofsted School Webpage")</f>
        <v>Ofsted School Webpage</v>
      </c>
      <c r="B212">
        <v>135673</v>
      </c>
      <c r="C212">
        <v>9336216</v>
      </c>
      <c r="D212" t="s">
        <v>261</v>
      </c>
      <c r="E212" t="s">
        <v>38</v>
      </c>
      <c r="F212" t="s">
        <v>184</v>
      </c>
      <c r="G212" t="s">
        <v>184</v>
      </c>
      <c r="H212" t="s">
        <v>2729</v>
      </c>
      <c r="I212" t="s">
        <v>2730</v>
      </c>
      <c r="J212" t="s">
        <v>186</v>
      </c>
      <c r="K212" t="s">
        <v>225</v>
      </c>
      <c r="L212" t="s">
        <v>225</v>
      </c>
      <c r="M212" t="s">
        <v>262</v>
      </c>
      <c r="N212" t="s">
        <v>263</v>
      </c>
      <c r="O212">
        <v>10008277</v>
      </c>
      <c r="P212" s="120">
        <v>42325</v>
      </c>
      <c r="Q212" s="120">
        <v>42327</v>
      </c>
      <c r="R212" s="120">
        <v>42405</v>
      </c>
      <c r="S212" t="s">
        <v>196</v>
      </c>
      <c r="T212">
        <v>4</v>
      </c>
      <c r="U212" t="s">
        <v>129</v>
      </c>
      <c r="V212">
        <v>4</v>
      </c>
      <c r="W212">
        <v>4</v>
      </c>
      <c r="X212">
        <v>3</v>
      </c>
      <c r="Y212">
        <v>3</v>
      </c>
      <c r="Z212" t="s">
        <v>2730</v>
      </c>
      <c r="AA212" t="s">
        <v>2730</v>
      </c>
      <c r="AB212" t="s">
        <v>2733</v>
      </c>
      <c r="AC212">
        <v>10022390</v>
      </c>
      <c r="AD212" t="s">
        <v>187</v>
      </c>
      <c r="AE212" s="120">
        <v>42676</v>
      </c>
      <c r="AF212" t="s">
        <v>2769</v>
      </c>
      <c r="AG212" s="120">
        <v>42713</v>
      </c>
      <c r="AH212" t="s">
        <v>189</v>
      </c>
    </row>
    <row r="213" spans="1:34">
      <c r="A213" s="149" t="str">
        <f>HYPERLINK("http://www.ofsted.gov.uk/inspection-reports/find-inspection-report/provider/ELS/141701 ","Ofsted School Webpage")</f>
        <v>Ofsted School Webpage</v>
      </c>
      <c r="B213">
        <v>141701</v>
      </c>
      <c r="C213">
        <v>2106007</v>
      </c>
      <c r="D213" t="s">
        <v>1216</v>
      </c>
      <c r="E213" t="s">
        <v>38</v>
      </c>
      <c r="F213" t="s">
        <v>184</v>
      </c>
      <c r="G213" t="s">
        <v>184</v>
      </c>
      <c r="H213" t="s">
        <v>2729</v>
      </c>
      <c r="I213" t="s">
        <v>2730</v>
      </c>
      <c r="J213" t="s">
        <v>186</v>
      </c>
      <c r="K213" t="s">
        <v>232</v>
      </c>
      <c r="L213" t="s">
        <v>232</v>
      </c>
      <c r="M213" t="s">
        <v>550</v>
      </c>
      <c r="N213" t="s">
        <v>1217</v>
      </c>
      <c r="O213">
        <v>10006183</v>
      </c>
      <c r="P213" s="120">
        <v>42494</v>
      </c>
      <c r="Q213" s="120">
        <v>42496</v>
      </c>
      <c r="R213" s="120">
        <v>42562</v>
      </c>
      <c r="S213" t="s">
        <v>249</v>
      </c>
      <c r="T213">
        <v>4</v>
      </c>
      <c r="U213" t="s">
        <v>128</v>
      </c>
      <c r="V213">
        <v>4</v>
      </c>
      <c r="W213">
        <v>4</v>
      </c>
      <c r="X213">
        <v>4</v>
      </c>
      <c r="Y213">
        <v>4</v>
      </c>
      <c r="Z213" t="s">
        <v>2730</v>
      </c>
      <c r="AA213">
        <v>4</v>
      </c>
      <c r="AB213" t="s">
        <v>2733</v>
      </c>
      <c r="AC213">
        <v>10034016</v>
      </c>
      <c r="AD213" t="s">
        <v>187</v>
      </c>
      <c r="AE213" s="120">
        <v>42845</v>
      </c>
      <c r="AF213" t="s">
        <v>2769</v>
      </c>
      <c r="AG213" s="120">
        <v>42874</v>
      </c>
      <c r="AH213" t="s">
        <v>189</v>
      </c>
    </row>
    <row r="214" spans="1:34">
      <c r="A214" s="149" t="str">
        <f>HYPERLINK("http://www.ofsted.gov.uk/inspection-reports/find-inspection-report/provider/ELS/138580 ","Ofsted School Webpage")</f>
        <v>Ofsted School Webpage</v>
      </c>
      <c r="B214">
        <v>138580</v>
      </c>
      <c r="C214">
        <v>8936029</v>
      </c>
      <c r="D214" t="s">
        <v>1177</v>
      </c>
      <c r="E214" t="s">
        <v>38</v>
      </c>
      <c r="F214" t="s">
        <v>184</v>
      </c>
      <c r="G214" t="s">
        <v>184</v>
      </c>
      <c r="H214" t="s">
        <v>2729</v>
      </c>
      <c r="I214" t="s">
        <v>2730</v>
      </c>
      <c r="J214" t="s">
        <v>186</v>
      </c>
      <c r="K214" t="s">
        <v>193</v>
      </c>
      <c r="L214" t="s">
        <v>193</v>
      </c>
      <c r="M214" t="s">
        <v>194</v>
      </c>
      <c r="N214" t="s">
        <v>1178</v>
      </c>
      <c r="O214" t="s">
        <v>1179</v>
      </c>
      <c r="P214" s="120">
        <v>41478</v>
      </c>
      <c r="Q214" s="120">
        <v>41479</v>
      </c>
      <c r="R214" s="120">
        <v>41499</v>
      </c>
      <c r="S214" t="s">
        <v>1180</v>
      </c>
      <c r="T214">
        <v>3</v>
      </c>
      <c r="U214" t="s">
        <v>2730</v>
      </c>
      <c r="V214">
        <v>3</v>
      </c>
      <c r="W214" t="s">
        <v>2730</v>
      </c>
      <c r="X214">
        <v>3</v>
      </c>
      <c r="Y214">
        <v>3</v>
      </c>
      <c r="Z214" t="s">
        <v>2730</v>
      </c>
      <c r="AA214" t="s">
        <v>2730</v>
      </c>
      <c r="AB214" t="s">
        <v>2730</v>
      </c>
      <c r="AC214">
        <v>10007062</v>
      </c>
      <c r="AD214" t="s">
        <v>187</v>
      </c>
      <c r="AE214" s="120">
        <v>42310</v>
      </c>
      <c r="AF214" t="s">
        <v>2772</v>
      </c>
      <c r="AG214" s="120">
        <v>42341</v>
      </c>
      <c r="AH214" t="s">
        <v>2773</v>
      </c>
    </row>
    <row r="215" spans="1:34">
      <c r="A215" s="149" t="str">
        <f>HYPERLINK("http://www.ofsted.gov.uk/inspection-reports/find-inspection-report/provider/ELS/113952 ","Ofsted School Webpage")</f>
        <v>Ofsted School Webpage</v>
      </c>
      <c r="B215">
        <v>113952</v>
      </c>
      <c r="C215">
        <v>8356004</v>
      </c>
      <c r="D215" t="s">
        <v>610</v>
      </c>
      <c r="E215" t="s">
        <v>38</v>
      </c>
      <c r="F215" t="s">
        <v>184</v>
      </c>
      <c r="G215" t="s">
        <v>184</v>
      </c>
      <c r="H215" t="s">
        <v>2729</v>
      </c>
      <c r="I215" t="s">
        <v>2730</v>
      </c>
      <c r="J215" t="s">
        <v>186</v>
      </c>
      <c r="K215" t="s">
        <v>225</v>
      </c>
      <c r="L215" t="s">
        <v>225</v>
      </c>
      <c r="M215" t="s">
        <v>611</v>
      </c>
      <c r="N215" t="s">
        <v>612</v>
      </c>
      <c r="O215" t="s">
        <v>3026</v>
      </c>
      <c r="P215" s="120">
        <v>41968</v>
      </c>
      <c r="Q215" s="120">
        <v>41970</v>
      </c>
      <c r="R215" s="120">
        <v>41997</v>
      </c>
      <c r="S215" t="s">
        <v>196</v>
      </c>
      <c r="T215">
        <v>2</v>
      </c>
      <c r="U215" t="s">
        <v>2730</v>
      </c>
      <c r="V215">
        <v>2</v>
      </c>
      <c r="W215" t="s">
        <v>2730</v>
      </c>
      <c r="X215">
        <v>2</v>
      </c>
      <c r="Y215">
        <v>2</v>
      </c>
      <c r="Z215">
        <v>9</v>
      </c>
      <c r="AA215">
        <v>2</v>
      </c>
      <c r="AB215" t="s">
        <v>2730</v>
      </c>
      <c r="AC215" t="s">
        <v>2730</v>
      </c>
      <c r="AD215" t="s">
        <v>2730</v>
      </c>
      <c r="AE215" t="s">
        <v>2730</v>
      </c>
      <c r="AF215" t="s">
        <v>2730</v>
      </c>
      <c r="AG215" t="s">
        <v>2730</v>
      </c>
      <c r="AH215" t="s">
        <v>2730</v>
      </c>
    </row>
    <row r="216" spans="1:34">
      <c r="A216" s="149" t="str">
        <f>HYPERLINK("http://www.ofsted.gov.uk/inspection-reports/find-inspection-report/provider/ELS/109353 ","Ofsted School Webpage")</f>
        <v>Ofsted School Webpage</v>
      </c>
      <c r="B216">
        <v>109353</v>
      </c>
      <c r="C216">
        <v>8036000</v>
      </c>
      <c r="D216" t="s">
        <v>613</v>
      </c>
      <c r="E216" t="s">
        <v>38</v>
      </c>
      <c r="F216" t="s">
        <v>184</v>
      </c>
      <c r="G216" t="s">
        <v>212</v>
      </c>
      <c r="H216" t="s">
        <v>2729</v>
      </c>
      <c r="I216" t="s">
        <v>2730</v>
      </c>
      <c r="J216" t="s">
        <v>186</v>
      </c>
      <c r="K216" t="s">
        <v>225</v>
      </c>
      <c r="L216" t="s">
        <v>225</v>
      </c>
      <c r="M216" t="s">
        <v>614</v>
      </c>
      <c r="N216" t="s">
        <v>615</v>
      </c>
      <c r="O216">
        <v>10026035</v>
      </c>
      <c r="P216" s="120">
        <v>42906</v>
      </c>
      <c r="Q216" s="120">
        <v>42908</v>
      </c>
      <c r="R216" s="120">
        <v>42933</v>
      </c>
      <c r="S216" t="s">
        <v>196</v>
      </c>
      <c r="T216">
        <v>2</v>
      </c>
      <c r="U216" t="s">
        <v>128</v>
      </c>
      <c r="V216">
        <v>2</v>
      </c>
      <c r="W216">
        <v>2</v>
      </c>
      <c r="X216">
        <v>2</v>
      </c>
      <c r="Y216">
        <v>2</v>
      </c>
      <c r="Z216" t="s">
        <v>2730</v>
      </c>
      <c r="AA216">
        <v>2</v>
      </c>
      <c r="AB216" t="s">
        <v>2732</v>
      </c>
      <c r="AC216" t="s">
        <v>2730</v>
      </c>
      <c r="AD216" t="s">
        <v>2730</v>
      </c>
      <c r="AE216" t="s">
        <v>2730</v>
      </c>
      <c r="AF216" t="s">
        <v>2730</v>
      </c>
      <c r="AG216" t="s">
        <v>2730</v>
      </c>
      <c r="AH216" t="s">
        <v>2730</v>
      </c>
    </row>
    <row r="217" spans="1:34">
      <c r="A217" s="149" t="str">
        <f>HYPERLINK("http://www.ofsted.gov.uk/inspection-reports/find-inspection-report/provider/ELS/135380 ","Ofsted School Webpage")</f>
        <v>Ofsted School Webpage</v>
      </c>
      <c r="B217">
        <v>135380</v>
      </c>
      <c r="C217">
        <v>8736044</v>
      </c>
      <c r="D217" t="s">
        <v>1116</v>
      </c>
      <c r="E217" t="s">
        <v>38</v>
      </c>
      <c r="F217" t="s">
        <v>184</v>
      </c>
      <c r="G217" t="s">
        <v>184</v>
      </c>
      <c r="H217" t="s">
        <v>2729</v>
      </c>
      <c r="I217" t="s">
        <v>2730</v>
      </c>
      <c r="J217" t="s">
        <v>186</v>
      </c>
      <c r="K217" t="s">
        <v>220</v>
      </c>
      <c r="L217" t="s">
        <v>220</v>
      </c>
      <c r="M217" t="s">
        <v>284</v>
      </c>
      <c r="N217" t="s">
        <v>1117</v>
      </c>
      <c r="O217" t="s">
        <v>1118</v>
      </c>
      <c r="P217" s="120">
        <v>42115</v>
      </c>
      <c r="Q217" s="120">
        <v>42117</v>
      </c>
      <c r="R217" s="120">
        <v>42158</v>
      </c>
      <c r="S217" t="s">
        <v>196</v>
      </c>
      <c r="T217">
        <v>2</v>
      </c>
      <c r="U217" t="s">
        <v>2730</v>
      </c>
      <c r="V217">
        <v>2</v>
      </c>
      <c r="W217" t="s">
        <v>2730</v>
      </c>
      <c r="X217">
        <v>2</v>
      </c>
      <c r="Y217">
        <v>2</v>
      </c>
      <c r="Z217">
        <v>9</v>
      </c>
      <c r="AA217">
        <v>9</v>
      </c>
      <c r="AB217" t="s">
        <v>2730</v>
      </c>
      <c r="AC217" t="s">
        <v>2730</v>
      </c>
      <c r="AD217" t="s">
        <v>2730</v>
      </c>
      <c r="AE217" t="s">
        <v>2730</v>
      </c>
      <c r="AF217" t="s">
        <v>2730</v>
      </c>
      <c r="AG217" t="s">
        <v>2730</v>
      </c>
      <c r="AH217" t="s">
        <v>2730</v>
      </c>
    </row>
    <row r="218" spans="1:34">
      <c r="A218" s="149" t="str">
        <f>HYPERLINK("http://www.ofsted.gov.uk/inspection-reports/find-inspection-report/provider/ELS/121246 ","Ofsted School Webpage")</f>
        <v>Ofsted School Webpage</v>
      </c>
      <c r="B218">
        <v>121246</v>
      </c>
      <c r="C218">
        <v>9266133</v>
      </c>
      <c r="D218" t="s">
        <v>500</v>
      </c>
      <c r="E218" t="s">
        <v>38</v>
      </c>
      <c r="F218" t="s">
        <v>184</v>
      </c>
      <c r="G218" t="s">
        <v>184</v>
      </c>
      <c r="H218" t="s">
        <v>2729</v>
      </c>
      <c r="I218" t="s">
        <v>2730</v>
      </c>
      <c r="J218" t="s">
        <v>186</v>
      </c>
      <c r="K218" t="s">
        <v>220</v>
      </c>
      <c r="L218" t="s">
        <v>220</v>
      </c>
      <c r="M218" t="s">
        <v>445</v>
      </c>
      <c r="N218" t="s">
        <v>501</v>
      </c>
      <c r="O218">
        <v>10006048</v>
      </c>
      <c r="P218" s="120">
        <v>42514</v>
      </c>
      <c r="Q218" s="120">
        <v>42516</v>
      </c>
      <c r="R218" s="120">
        <v>42550</v>
      </c>
      <c r="S218" t="s">
        <v>196</v>
      </c>
      <c r="T218">
        <v>2</v>
      </c>
      <c r="U218" t="s">
        <v>128</v>
      </c>
      <c r="V218">
        <v>2</v>
      </c>
      <c r="W218">
        <v>2</v>
      </c>
      <c r="X218">
        <v>2</v>
      </c>
      <c r="Y218">
        <v>2</v>
      </c>
      <c r="Z218" t="s">
        <v>2730</v>
      </c>
      <c r="AA218" t="s">
        <v>2730</v>
      </c>
      <c r="AB218" t="s">
        <v>2732</v>
      </c>
      <c r="AC218" t="s">
        <v>2730</v>
      </c>
      <c r="AD218" t="s">
        <v>2730</v>
      </c>
      <c r="AE218" s="120" t="s">
        <v>2730</v>
      </c>
      <c r="AF218" t="s">
        <v>2730</v>
      </c>
      <c r="AG218" s="120" t="s">
        <v>2730</v>
      </c>
      <c r="AH218" t="s">
        <v>2730</v>
      </c>
    </row>
    <row r="219" spans="1:34">
      <c r="A219" s="149" t="str">
        <f>HYPERLINK("http://www.ofsted.gov.uk/inspection-reports/find-inspection-report/provider/ELS/130902 ","Ofsted School Webpage")</f>
        <v>Ofsted School Webpage</v>
      </c>
      <c r="B219">
        <v>130902</v>
      </c>
      <c r="C219">
        <v>8886096</v>
      </c>
      <c r="D219" t="s">
        <v>619</v>
      </c>
      <c r="E219" t="s">
        <v>38</v>
      </c>
      <c r="F219" t="s">
        <v>184</v>
      </c>
      <c r="G219" t="s">
        <v>184</v>
      </c>
      <c r="H219" t="s">
        <v>2729</v>
      </c>
      <c r="I219" t="s">
        <v>2730</v>
      </c>
      <c r="J219" t="s">
        <v>186</v>
      </c>
      <c r="K219" t="s">
        <v>205</v>
      </c>
      <c r="L219" t="s">
        <v>205</v>
      </c>
      <c r="M219" t="s">
        <v>206</v>
      </c>
      <c r="N219" t="s">
        <v>597</v>
      </c>
      <c r="O219">
        <v>10006077</v>
      </c>
      <c r="P219" s="120">
        <v>42661</v>
      </c>
      <c r="Q219" s="120">
        <v>42663</v>
      </c>
      <c r="R219" s="120">
        <v>42696</v>
      </c>
      <c r="S219" t="s">
        <v>196</v>
      </c>
      <c r="T219">
        <v>2</v>
      </c>
      <c r="U219" t="s">
        <v>128</v>
      </c>
      <c r="V219">
        <v>2</v>
      </c>
      <c r="W219">
        <v>2</v>
      </c>
      <c r="X219">
        <v>2</v>
      </c>
      <c r="Y219">
        <v>2</v>
      </c>
      <c r="Z219" t="s">
        <v>2730</v>
      </c>
      <c r="AA219" t="s">
        <v>2730</v>
      </c>
      <c r="AB219" t="s">
        <v>2732</v>
      </c>
      <c r="AC219" t="s">
        <v>2730</v>
      </c>
      <c r="AD219" t="s">
        <v>2730</v>
      </c>
      <c r="AE219" s="120" t="s">
        <v>2730</v>
      </c>
      <c r="AF219" t="s">
        <v>2730</v>
      </c>
      <c r="AG219" s="120" t="s">
        <v>2730</v>
      </c>
      <c r="AH219" t="s">
        <v>2730</v>
      </c>
    </row>
    <row r="220" spans="1:34">
      <c r="A220" s="149" t="str">
        <f>HYPERLINK("http://www.ofsted.gov.uk/inspection-reports/find-inspection-report/provider/ELS/136003 ","Ofsted School Webpage")</f>
        <v>Ofsted School Webpage</v>
      </c>
      <c r="B220">
        <v>136003</v>
      </c>
      <c r="C220">
        <v>8886111</v>
      </c>
      <c r="D220" t="s">
        <v>204</v>
      </c>
      <c r="E220" t="s">
        <v>38</v>
      </c>
      <c r="F220" t="s">
        <v>184</v>
      </c>
      <c r="G220" t="s">
        <v>184</v>
      </c>
      <c r="H220" t="s">
        <v>2729</v>
      </c>
      <c r="I220" t="s">
        <v>2730</v>
      </c>
      <c r="J220" t="s">
        <v>186</v>
      </c>
      <c r="K220" t="s">
        <v>205</v>
      </c>
      <c r="L220" t="s">
        <v>205</v>
      </c>
      <c r="M220" t="s">
        <v>206</v>
      </c>
      <c r="N220" t="s">
        <v>207</v>
      </c>
      <c r="O220">
        <v>10026014</v>
      </c>
      <c r="P220" s="120">
        <v>42990</v>
      </c>
      <c r="Q220" s="120">
        <v>42992</v>
      </c>
      <c r="R220" s="120">
        <v>43027</v>
      </c>
      <c r="S220" t="s">
        <v>196</v>
      </c>
      <c r="T220">
        <v>1</v>
      </c>
      <c r="U220" t="s">
        <v>128</v>
      </c>
      <c r="V220">
        <v>1</v>
      </c>
      <c r="W220">
        <v>1</v>
      </c>
      <c r="X220">
        <v>1</v>
      </c>
      <c r="Y220">
        <v>1</v>
      </c>
      <c r="Z220" t="s">
        <v>2730</v>
      </c>
      <c r="AA220" t="s">
        <v>2730</v>
      </c>
      <c r="AB220" t="s">
        <v>2732</v>
      </c>
      <c r="AC220" t="s">
        <v>2730</v>
      </c>
      <c r="AD220" t="s">
        <v>2730</v>
      </c>
      <c r="AE220" s="120" t="s">
        <v>2730</v>
      </c>
      <c r="AF220" t="s">
        <v>2730</v>
      </c>
      <c r="AG220" s="120" t="s">
        <v>2730</v>
      </c>
      <c r="AH220" t="s">
        <v>2730</v>
      </c>
    </row>
    <row r="221" spans="1:34">
      <c r="A221" s="149" t="str">
        <f>HYPERLINK("http://www.ofsted.gov.uk/inspection-reports/find-inspection-report/provider/ELS/131662 ","Ofsted School Webpage")</f>
        <v>Ofsted School Webpage</v>
      </c>
      <c r="B221">
        <v>131662</v>
      </c>
      <c r="C221">
        <v>2126001</v>
      </c>
      <c r="D221" t="s">
        <v>620</v>
      </c>
      <c r="E221" t="s">
        <v>38</v>
      </c>
      <c r="F221" t="s">
        <v>184</v>
      </c>
      <c r="G221" t="s">
        <v>184</v>
      </c>
      <c r="H221" t="s">
        <v>2729</v>
      </c>
      <c r="I221" t="s">
        <v>2730</v>
      </c>
      <c r="J221" t="s">
        <v>186</v>
      </c>
      <c r="K221" t="s">
        <v>232</v>
      </c>
      <c r="L221" t="s">
        <v>232</v>
      </c>
      <c r="M221" t="s">
        <v>435</v>
      </c>
      <c r="N221" t="s">
        <v>621</v>
      </c>
      <c r="O221">
        <v>10008522</v>
      </c>
      <c r="P221" s="120">
        <v>42389</v>
      </c>
      <c r="Q221" s="120">
        <v>42391</v>
      </c>
      <c r="R221" s="120">
        <v>42440</v>
      </c>
      <c r="S221" t="s">
        <v>196</v>
      </c>
      <c r="T221">
        <v>2</v>
      </c>
      <c r="U221" t="s">
        <v>128</v>
      </c>
      <c r="V221">
        <v>2</v>
      </c>
      <c r="W221">
        <v>2</v>
      </c>
      <c r="X221">
        <v>2</v>
      </c>
      <c r="Y221">
        <v>2</v>
      </c>
      <c r="Z221">
        <v>2</v>
      </c>
      <c r="AA221" t="s">
        <v>2730</v>
      </c>
      <c r="AB221" t="s">
        <v>2732</v>
      </c>
      <c r="AC221" t="s">
        <v>2730</v>
      </c>
      <c r="AD221" t="s">
        <v>2730</v>
      </c>
      <c r="AE221" t="s">
        <v>2730</v>
      </c>
      <c r="AF221" t="s">
        <v>2730</v>
      </c>
      <c r="AG221" t="s">
        <v>2730</v>
      </c>
      <c r="AH221" t="s">
        <v>2730</v>
      </c>
    </row>
    <row r="222" spans="1:34">
      <c r="A222" s="149" t="str">
        <f>HYPERLINK("http://www.ofsted.gov.uk/inspection-reports/find-inspection-report/provider/ELS/136025 ","Ofsted School Webpage")</f>
        <v>Ofsted School Webpage</v>
      </c>
      <c r="B222">
        <v>136025</v>
      </c>
      <c r="C222">
        <v>8856038</v>
      </c>
      <c r="D222" t="s">
        <v>1899</v>
      </c>
      <c r="E222" t="s">
        <v>38</v>
      </c>
      <c r="F222" t="s">
        <v>184</v>
      </c>
      <c r="G222" t="s">
        <v>184</v>
      </c>
      <c r="H222" t="s">
        <v>2729</v>
      </c>
      <c r="I222" t="s">
        <v>2730</v>
      </c>
      <c r="J222" t="s">
        <v>186</v>
      </c>
      <c r="K222" t="s">
        <v>193</v>
      </c>
      <c r="L222" t="s">
        <v>193</v>
      </c>
      <c r="M222" t="s">
        <v>891</v>
      </c>
      <c r="N222" t="s">
        <v>1900</v>
      </c>
      <c r="O222" t="s">
        <v>1901</v>
      </c>
      <c r="P222" s="120">
        <v>41927</v>
      </c>
      <c r="Q222" s="120">
        <v>41928</v>
      </c>
      <c r="R222" s="120">
        <v>41955</v>
      </c>
      <c r="S222" t="s">
        <v>3119</v>
      </c>
      <c r="T222">
        <v>2</v>
      </c>
      <c r="U222" t="s">
        <v>2730</v>
      </c>
      <c r="V222">
        <v>2</v>
      </c>
      <c r="W222" t="s">
        <v>2730</v>
      </c>
      <c r="X222">
        <v>2</v>
      </c>
      <c r="Y222">
        <v>2</v>
      </c>
      <c r="Z222">
        <v>9</v>
      </c>
      <c r="AA222">
        <v>9</v>
      </c>
      <c r="AB222" t="s">
        <v>2730</v>
      </c>
      <c r="AC222" t="s">
        <v>2730</v>
      </c>
      <c r="AD222" t="s">
        <v>2730</v>
      </c>
      <c r="AE222" t="s">
        <v>2730</v>
      </c>
      <c r="AF222" t="s">
        <v>2730</v>
      </c>
      <c r="AG222" t="s">
        <v>2730</v>
      </c>
      <c r="AH222" t="s">
        <v>2730</v>
      </c>
    </row>
    <row r="223" spans="1:34">
      <c r="A223" s="149" t="str">
        <f>HYPERLINK("http://www.ofsted.gov.uk/inspection-reports/find-inspection-report/provider/ELS/106965 ","Ofsted School Webpage")</f>
        <v>Ofsted School Webpage</v>
      </c>
      <c r="B223">
        <v>106965</v>
      </c>
      <c r="C223">
        <v>3706004</v>
      </c>
      <c r="D223" t="s">
        <v>622</v>
      </c>
      <c r="E223" t="s">
        <v>38</v>
      </c>
      <c r="F223" t="s">
        <v>184</v>
      </c>
      <c r="G223" t="s">
        <v>184</v>
      </c>
      <c r="H223" t="s">
        <v>2729</v>
      </c>
      <c r="I223" t="s">
        <v>2730</v>
      </c>
      <c r="J223" t="s">
        <v>186</v>
      </c>
      <c r="K223" t="s">
        <v>245</v>
      </c>
      <c r="L223" t="s">
        <v>246</v>
      </c>
      <c r="M223" t="s">
        <v>566</v>
      </c>
      <c r="N223" t="s">
        <v>623</v>
      </c>
      <c r="O223" t="s">
        <v>624</v>
      </c>
      <c r="P223" s="120">
        <v>42038</v>
      </c>
      <c r="Q223" s="120">
        <v>42040</v>
      </c>
      <c r="R223" s="120">
        <v>42074</v>
      </c>
      <c r="S223" t="s">
        <v>267</v>
      </c>
      <c r="T223">
        <v>2</v>
      </c>
      <c r="U223" t="s">
        <v>2730</v>
      </c>
      <c r="V223">
        <v>2</v>
      </c>
      <c r="W223" t="s">
        <v>2730</v>
      </c>
      <c r="X223">
        <v>2</v>
      </c>
      <c r="Y223">
        <v>2</v>
      </c>
      <c r="Z223">
        <v>9</v>
      </c>
      <c r="AA223">
        <v>2</v>
      </c>
      <c r="AB223" t="s">
        <v>2730</v>
      </c>
      <c r="AC223" t="s">
        <v>2730</v>
      </c>
      <c r="AD223" t="s">
        <v>2730</v>
      </c>
      <c r="AE223" t="s">
        <v>2730</v>
      </c>
      <c r="AF223" t="s">
        <v>2730</v>
      </c>
      <c r="AG223" t="s">
        <v>2730</v>
      </c>
      <c r="AH223" t="s">
        <v>2730</v>
      </c>
    </row>
    <row r="224" spans="1:34">
      <c r="A224" s="149" t="str">
        <f>HYPERLINK("http://www.ofsted.gov.uk/inspection-reports/find-inspection-report/provider/ELS/131556 ","Ofsted School Webpage")</f>
        <v>Ofsted School Webpage</v>
      </c>
      <c r="B224">
        <v>131556</v>
      </c>
      <c r="C224">
        <v>8526009</v>
      </c>
      <c r="D224" t="s">
        <v>625</v>
      </c>
      <c r="E224" t="s">
        <v>38</v>
      </c>
      <c r="F224" t="s">
        <v>184</v>
      </c>
      <c r="G224" t="s">
        <v>184</v>
      </c>
      <c r="H224" t="s">
        <v>2729</v>
      </c>
      <c r="I224" t="s">
        <v>2730</v>
      </c>
      <c r="J224" t="s">
        <v>186</v>
      </c>
      <c r="K224" t="s">
        <v>181</v>
      </c>
      <c r="L224" t="s">
        <v>181</v>
      </c>
      <c r="M224" t="s">
        <v>476</v>
      </c>
      <c r="N224" t="s">
        <v>626</v>
      </c>
      <c r="O224">
        <v>10008862</v>
      </c>
      <c r="P224" s="120">
        <v>42696</v>
      </c>
      <c r="Q224" s="120">
        <v>42698</v>
      </c>
      <c r="R224" s="120">
        <v>42745</v>
      </c>
      <c r="S224" t="s">
        <v>196</v>
      </c>
      <c r="T224">
        <v>1</v>
      </c>
      <c r="U224" t="s">
        <v>128</v>
      </c>
      <c r="V224">
        <v>1</v>
      </c>
      <c r="W224">
        <v>1</v>
      </c>
      <c r="X224">
        <v>1</v>
      </c>
      <c r="Y224">
        <v>1</v>
      </c>
      <c r="Z224" t="s">
        <v>2730</v>
      </c>
      <c r="AA224" t="s">
        <v>2730</v>
      </c>
      <c r="AB224" t="s">
        <v>2732</v>
      </c>
      <c r="AC224" t="s">
        <v>2730</v>
      </c>
      <c r="AD224" t="s">
        <v>2730</v>
      </c>
      <c r="AE224" s="120" t="s">
        <v>2730</v>
      </c>
      <c r="AF224" t="s">
        <v>2730</v>
      </c>
      <c r="AG224" s="120" t="s">
        <v>2730</v>
      </c>
      <c r="AH224" t="s">
        <v>2730</v>
      </c>
    </row>
    <row r="225" spans="1:34">
      <c r="A225" s="149" t="str">
        <f>HYPERLINK("http://www.ofsted.gov.uk/inspection-reports/find-inspection-report/provider/ELS/131018 ","Ofsted School Webpage")</f>
        <v>Ofsted School Webpage</v>
      </c>
      <c r="B225">
        <v>131018</v>
      </c>
      <c r="C225">
        <v>8576004</v>
      </c>
      <c r="D225" t="s">
        <v>627</v>
      </c>
      <c r="E225" t="s">
        <v>38</v>
      </c>
      <c r="F225" t="s">
        <v>184</v>
      </c>
      <c r="G225" t="s">
        <v>184</v>
      </c>
      <c r="H225" t="s">
        <v>2729</v>
      </c>
      <c r="I225" t="s">
        <v>2730</v>
      </c>
      <c r="J225" t="s">
        <v>186</v>
      </c>
      <c r="K225" t="s">
        <v>214</v>
      </c>
      <c r="L225" t="s">
        <v>214</v>
      </c>
      <c r="M225" t="s">
        <v>628</v>
      </c>
      <c r="N225" t="s">
        <v>629</v>
      </c>
      <c r="O225">
        <v>10008935</v>
      </c>
      <c r="P225" s="120">
        <v>42423</v>
      </c>
      <c r="Q225" s="120">
        <v>42425</v>
      </c>
      <c r="R225" s="120">
        <v>42474</v>
      </c>
      <c r="S225" t="s">
        <v>196</v>
      </c>
      <c r="T225">
        <v>1</v>
      </c>
      <c r="U225" t="s">
        <v>128</v>
      </c>
      <c r="V225">
        <v>1</v>
      </c>
      <c r="W225">
        <v>1</v>
      </c>
      <c r="X225">
        <v>1</v>
      </c>
      <c r="Y225">
        <v>1</v>
      </c>
      <c r="Z225" t="s">
        <v>2730</v>
      </c>
      <c r="AA225">
        <v>1</v>
      </c>
      <c r="AB225" t="s">
        <v>2732</v>
      </c>
      <c r="AC225" t="s">
        <v>2730</v>
      </c>
      <c r="AD225" t="s">
        <v>2730</v>
      </c>
      <c r="AE225" t="s">
        <v>2730</v>
      </c>
      <c r="AF225" t="s">
        <v>2730</v>
      </c>
      <c r="AG225" t="s">
        <v>2730</v>
      </c>
      <c r="AH225" t="s">
        <v>2730</v>
      </c>
    </row>
    <row r="226" spans="1:34">
      <c r="A226" s="149" t="str">
        <f>HYPERLINK("http://www.ofsted.gov.uk/inspection-reports/find-inspection-report/provider/ELS/101953 ","Ofsted School Webpage")</f>
        <v>Ofsted School Webpage</v>
      </c>
      <c r="B226">
        <v>101953</v>
      </c>
      <c r="C226">
        <v>3076064</v>
      </c>
      <c r="D226" t="s">
        <v>630</v>
      </c>
      <c r="E226" t="s">
        <v>38</v>
      </c>
      <c r="F226" t="s">
        <v>184</v>
      </c>
      <c r="G226" t="s">
        <v>184</v>
      </c>
      <c r="H226" t="s">
        <v>2729</v>
      </c>
      <c r="I226" t="s">
        <v>2730</v>
      </c>
      <c r="J226" t="s">
        <v>186</v>
      </c>
      <c r="K226" t="s">
        <v>232</v>
      </c>
      <c r="L226" t="s">
        <v>232</v>
      </c>
      <c r="M226" t="s">
        <v>631</v>
      </c>
      <c r="N226" t="s">
        <v>632</v>
      </c>
      <c r="O226" t="s">
        <v>3027</v>
      </c>
      <c r="P226" s="120">
        <v>41919</v>
      </c>
      <c r="Q226" s="120">
        <v>41921</v>
      </c>
      <c r="R226" s="120">
        <v>41974</v>
      </c>
      <c r="S226" t="s">
        <v>267</v>
      </c>
      <c r="T226">
        <v>2</v>
      </c>
      <c r="U226" t="s">
        <v>2730</v>
      </c>
      <c r="V226">
        <v>2</v>
      </c>
      <c r="W226" t="s">
        <v>2730</v>
      </c>
      <c r="X226">
        <v>2</v>
      </c>
      <c r="Y226">
        <v>2</v>
      </c>
      <c r="Z226">
        <v>9</v>
      </c>
      <c r="AA226">
        <v>2</v>
      </c>
      <c r="AB226" t="s">
        <v>2730</v>
      </c>
      <c r="AC226" t="s">
        <v>2730</v>
      </c>
      <c r="AD226" t="s">
        <v>2730</v>
      </c>
      <c r="AE226" t="s">
        <v>2730</v>
      </c>
      <c r="AF226" t="s">
        <v>2730</v>
      </c>
      <c r="AG226" t="s">
        <v>2730</v>
      </c>
      <c r="AH226" t="s">
        <v>2730</v>
      </c>
    </row>
    <row r="227" spans="1:34">
      <c r="A227" s="149" t="str">
        <f>HYPERLINK("http://www.ofsted.gov.uk/inspection-reports/find-inspection-report/provider/ELS/140655 ","Ofsted School Webpage")</f>
        <v>Ofsted School Webpage</v>
      </c>
      <c r="B227">
        <v>140655</v>
      </c>
      <c r="C227">
        <v>9196053</v>
      </c>
      <c r="D227" t="s">
        <v>639</v>
      </c>
      <c r="E227" t="s">
        <v>38</v>
      </c>
      <c r="F227" t="s">
        <v>184</v>
      </c>
      <c r="G227" t="s">
        <v>184</v>
      </c>
      <c r="H227" t="s">
        <v>2729</v>
      </c>
      <c r="I227" t="s">
        <v>2730</v>
      </c>
      <c r="J227" t="s">
        <v>186</v>
      </c>
      <c r="K227" t="s">
        <v>220</v>
      </c>
      <c r="L227" t="s">
        <v>220</v>
      </c>
      <c r="M227" t="s">
        <v>822</v>
      </c>
      <c r="N227" t="s">
        <v>640</v>
      </c>
      <c r="O227" t="s">
        <v>641</v>
      </c>
      <c r="P227" s="120">
        <v>42059</v>
      </c>
      <c r="Q227" s="120">
        <v>42061</v>
      </c>
      <c r="R227" s="120">
        <v>42109</v>
      </c>
      <c r="S227" t="s">
        <v>249</v>
      </c>
      <c r="T227">
        <v>2</v>
      </c>
      <c r="U227" t="s">
        <v>2730</v>
      </c>
      <c r="V227">
        <v>2</v>
      </c>
      <c r="W227" t="s">
        <v>2730</v>
      </c>
      <c r="X227">
        <v>2</v>
      </c>
      <c r="Y227">
        <v>2</v>
      </c>
      <c r="Z227">
        <v>9</v>
      </c>
      <c r="AA227">
        <v>9</v>
      </c>
      <c r="AB227" t="s">
        <v>2730</v>
      </c>
      <c r="AC227" t="s">
        <v>2730</v>
      </c>
      <c r="AD227" t="s">
        <v>2730</v>
      </c>
      <c r="AE227" t="s">
        <v>2730</v>
      </c>
      <c r="AF227" t="s">
        <v>2730</v>
      </c>
      <c r="AG227" t="s">
        <v>2730</v>
      </c>
      <c r="AH227" t="s">
        <v>2730</v>
      </c>
    </row>
    <row r="228" spans="1:34">
      <c r="A228" s="149" t="str">
        <f>HYPERLINK("http://www.ofsted.gov.uk/inspection-reports/find-inspection-report/provider/ELS/134938 ","Ofsted School Webpage")</f>
        <v>Ofsted School Webpage</v>
      </c>
      <c r="B228">
        <v>134938</v>
      </c>
      <c r="C228">
        <v>8576005</v>
      </c>
      <c r="D228" t="s">
        <v>1631</v>
      </c>
      <c r="E228" t="s">
        <v>38</v>
      </c>
      <c r="F228" t="s">
        <v>184</v>
      </c>
      <c r="G228" t="s">
        <v>184</v>
      </c>
      <c r="H228" t="s">
        <v>2729</v>
      </c>
      <c r="I228" t="s">
        <v>2730</v>
      </c>
      <c r="J228" t="s">
        <v>186</v>
      </c>
      <c r="K228" t="s">
        <v>214</v>
      </c>
      <c r="L228" t="s">
        <v>214</v>
      </c>
      <c r="M228" t="s">
        <v>628</v>
      </c>
      <c r="N228" t="s">
        <v>1632</v>
      </c>
      <c r="O228">
        <v>10026049</v>
      </c>
      <c r="P228" s="120">
        <v>42752</v>
      </c>
      <c r="Q228" s="120">
        <v>42754</v>
      </c>
      <c r="R228" s="120">
        <v>42794</v>
      </c>
      <c r="S228" t="s">
        <v>267</v>
      </c>
      <c r="T228">
        <v>1</v>
      </c>
      <c r="U228" t="s">
        <v>128</v>
      </c>
      <c r="V228">
        <v>1</v>
      </c>
      <c r="W228">
        <v>1</v>
      </c>
      <c r="X228">
        <v>1</v>
      </c>
      <c r="Y228">
        <v>1</v>
      </c>
      <c r="Z228" t="s">
        <v>2730</v>
      </c>
      <c r="AA228">
        <v>1</v>
      </c>
      <c r="AB228" t="s">
        <v>2732</v>
      </c>
      <c r="AC228" t="s">
        <v>2730</v>
      </c>
      <c r="AD228" t="s">
        <v>2730</v>
      </c>
      <c r="AE228" t="s">
        <v>2730</v>
      </c>
      <c r="AF228" t="s">
        <v>2730</v>
      </c>
      <c r="AG228" t="s">
        <v>2730</v>
      </c>
      <c r="AH228" t="s">
        <v>2730</v>
      </c>
    </row>
    <row r="229" spans="1:34">
      <c r="A229" s="149" t="str">
        <f>HYPERLINK("http://www.ofsted.gov.uk/inspection-reports/find-inspection-report/provider/ELS/136230 ","Ofsted School Webpage")</f>
        <v>Ofsted School Webpage</v>
      </c>
      <c r="B229">
        <v>136230</v>
      </c>
      <c r="C229">
        <v>3566035</v>
      </c>
      <c r="D229" t="s">
        <v>345</v>
      </c>
      <c r="E229" t="s">
        <v>38</v>
      </c>
      <c r="F229" t="s">
        <v>184</v>
      </c>
      <c r="G229" t="s">
        <v>184</v>
      </c>
      <c r="H229" t="s">
        <v>2729</v>
      </c>
      <c r="I229" t="s">
        <v>2730</v>
      </c>
      <c r="J229" t="s">
        <v>186</v>
      </c>
      <c r="K229" t="s">
        <v>205</v>
      </c>
      <c r="L229" t="s">
        <v>205</v>
      </c>
      <c r="M229" t="s">
        <v>346</v>
      </c>
      <c r="N229" t="s">
        <v>347</v>
      </c>
      <c r="O229">
        <v>10038932</v>
      </c>
      <c r="P229" s="120">
        <v>43025</v>
      </c>
      <c r="Q229" s="120">
        <v>43027</v>
      </c>
      <c r="R229" s="120">
        <v>43053</v>
      </c>
      <c r="S229" t="s">
        <v>196</v>
      </c>
      <c r="T229">
        <v>2</v>
      </c>
      <c r="U229" t="s">
        <v>128</v>
      </c>
      <c r="V229">
        <v>2</v>
      </c>
      <c r="W229">
        <v>2</v>
      </c>
      <c r="X229">
        <v>2</v>
      </c>
      <c r="Y229">
        <v>2</v>
      </c>
      <c r="Z229" t="s">
        <v>2730</v>
      </c>
      <c r="AA229" t="s">
        <v>2730</v>
      </c>
      <c r="AB229" t="s">
        <v>2732</v>
      </c>
      <c r="AC229" t="s">
        <v>2730</v>
      </c>
      <c r="AD229" t="s">
        <v>2730</v>
      </c>
      <c r="AE229" t="s">
        <v>2730</v>
      </c>
      <c r="AF229" t="s">
        <v>2730</v>
      </c>
      <c r="AG229" t="s">
        <v>2730</v>
      </c>
      <c r="AH229" t="s">
        <v>2730</v>
      </c>
    </row>
    <row r="230" spans="1:34">
      <c r="A230" s="149" t="str">
        <f>HYPERLINK("http://www.ofsted.gov.uk/inspection-reports/find-inspection-report/provider/ELS/135278 ","Ofsted School Webpage")</f>
        <v>Ofsted School Webpage</v>
      </c>
      <c r="B230">
        <v>135278</v>
      </c>
      <c r="C230">
        <v>9336215</v>
      </c>
      <c r="D230" t="s">
        <v>1633</v>
      </c>
      <c r="E230" t="s">
        <v>38</v>
      </c>
      <c r="F230" t="s">
        <v>184</v>
      </c>
      <c r="G230" t="s">
        <v>184</v>
      </c>
      <c r="H230" t="s">
        <v>2729</v>
      </c>
      <c r="I230" t="s">
        <v>2730</v>
      </c>
      <c r="J230" t="s">
        <v>186</v>
      </c>
      <c r="K230" t="s">
        <v>225</v>
      </c>
      <c r="L230" t="s">
        <v>225</v>
      </c>
      <c r="M230" t="s">
        <v>262</v>
      </c>
      <c r="N230" t="s">
        <v>1634</v>
      </c>
      <c r="O230" t="s">
        <v>1635</v>
      </c>
      <c r="P230" s="120">
        <v>42025</v>
      </c>
      <c r="Q230" s="120">
        <v>42027</v>
      </c>
      <c r="R230" s="120">
        <v>42066</v>
      </c>
      <c r="S230" t="s">
        <v>196</v>
      </c>
      <c r="T230">
        <v>2</v>
      </c>
      <c r="U230" t="s">
        <v>2730</v>
      </c>
      <c r="V230">
        <v>2</v>
      </c>
      <c r="W230" t="s">
        <v>2730</v>
      </c>
      <c r="X230">
        <v>2</v>
      </c>
      <c r="Y230">
        <v>2</v>
      </c>
      <c r="Z230">
        <v>9</v>
      </c>
      <c r="AA230">
        <v>9</v>
      </c>
      <c r="AB230" t="s">
        <v>2730</v>
      </c>
      <c r="AC230" t="s">
        <v>2730</v>
      </c>
      <c r="AD230" t="s">
        <v>2730</v>
      </c>
      <c r="AE230" t="s">
        <v>2730</v>
      </c>
      <c r="AF230" t="s">
        <v>2730</v>
      </c>
      <c r="AG230" t="s">
        <v>2730</v>
      </c>
      <c r="AH230" t="s">
        <v>2730</v>
      </c>
    </row>
    <row r="231" spans="1:34">
      <c r="A231" s="149" t="str">
        <f>HYPERLINK("http://www.ofsted.gov.uk/inspection-reports/find-inspection-report/provider/ELS/135097 ","Ofsted School Webpage")</f>
        <v>Ofsted School Webpage</v>
      </c>
      <c r="B231">
        <v>135097</v>
      </c>
      <c r="C231">
        <v>9166081</v>
      </c>
      <c r="D231" t="s">
        <v>646</v>
      </c>
      <c r="E231" t="s">
        <v>37</v>
      </c>
      <c r="F231" t="s">
        <v>184</v>
      </c>
      <c r="G231" t="s">
        <v>223</v>
      </c>
      <c r="H231" t="s">
        <v>2729</v>
      </c>
      <c r="I231" t="s">
        <v>2730</v>
      </c>
      <c r="J231" t="s">
        <v>186</v>
      </c>
      <c r="K231" t="s">
        <v>225</v>
      </c>
      <c r="L231" t="s">
        <v>225</v>
      </c>
      <c r="M231" t="s">
        <v>265</v>
      </c>
      <c r="N231" t="s">
        <v>647</v>
      </c>
      <c r="O231" t="s">
        <v>3028</v>
      </c>
      <c r="P231" s="120">
        <v>41807</v>
      </c>
      <c r="Q231" s="120">
        <v>41809</v>
      </c>
      <c r="R231" s="120">
        <v>41828</v>
      </c>
      <c r="S231" t="s">
        <v>196</v>
      </c>
      <c r="T231">
        <v>2</v>
      </c>
      <c r="U231" t="s">
        <v>2730</v>
      </c>
      <c r="V231">
        <v>2</v>
      </c>
      <c r="W231" t="s">
        <v>2730</v>
      </c>
      <c r="X231">
        <v>2</v>
      </c>
      <c r="Y231">
        <v>2</v>
      </c>
      <c r="Z231" t="s">
        <v>2730</v>
      </c>
      <c r="AA231" t="s">
        <v>2730</v>
      </c>
      <c r="AB231" t="s">
        <v>2730</v>
      </c>
      <c r="AC231" t="s">
        <v>2730</v>
      </c>
      <c r="AD231" t="s">
        <v>2730</v>
      </c>
      <c r="AE231" t="s">
        <v>2730</v>
      </c>
      <c r="AF231" t="s">
        <v>2730</v>
      </c>
      <c r="AG231" t="s">
        <v>2730</v>
      </c>
      <c r="AH231" t="s">
        <v>2730</v>
      </c>
    </row>
    <row r="232" spans="1:34">
      <c r="A232" s="149" t="str">
        <f>HYPERLINK("http://www.ofsted.gov.uk/inspection-reports/find-inspection-report/provider/ELS/115810 ","Ofsted School Webpage")</f>
        <v>Ofsted School Webpage</v>
      </c>
      <c r="B232">
        <v>115810</v>
      </c>
      <c r="C232">
        <v>9166073</v>
      </c>
      <c r="D232" t="s">
        <v>648</v>
      </c>
      <c r="E232" t="s">
        <v>37</v>
      </c>
      <c r="F232" t="s">
        <v>184</v>
      </c>
      <c r="G232" t="s">
        <v>223</v>
      </c>
      <c r="H232" t="s">
        <v>2729</v>
      </c>
      <c r="I232" t="s">
        <v>2730</v>
      </c>
      <c r="J232" t="s">
        <v>186</v>
      </c>
      <c r="K232" t="s">
        <v>225</v>
      </c>
      <c r="L232" t="s">
        <v>225</v>
      </c>
      <c r="M232" t="s">
        <v>265</v>
      </c>
      <c r="N232" t="s">
        <v>649</v>
      </c>
      <c r="O232" t="s">
        <v>3029</v>
      </c>
      <c r="P232" s="120">
        <v>41709</v>
      </c>
      <c r="Q232" s="120">
        <v>41711</v>
      </c>
      <c r="R232" s="120">
        <v>41731</v>
      </c>
      <c r="S232" t="s">
        <v>196</v>
      </c>
      <c r="T232">
        <v>2</v>
      </c>
      <c r="U232" t="s">
        <v>2730</v>
      </c>
      <c r="V232">
        <v>2</v>
      </c>
      <c r="W232" t="s">
        <v>2730</v>
      </c>
      <c r="X232">
        <v>2</v>
      </c>
      <c r="Y232">
        <v>2</v>
      </c>
      <c r="Z232" t="s">
        <v>2730</v>
      </c>
      <c r="AA232" t="s">
        <v>2730</v>
      </c>
      <c r="AB232" t="s">
        <v>2730</v>
      </c>
      <c r="AC232" t="s">
        <v>2730</v>
      </c>
      <c r="AD232" t="s">
        <v>2730</v>
      </c>
      <c r="AE232" t="s">
        <v>2730</v>
      </c>
      <c r="AF232" t="s">
        <v>2730</v>
      </c>
      <c r="AG232" t="s">
        <v>2730</v>
      </c>
      <c r="AH232" t="s">
        <v>2730</v>
      </c>
    </row>
    <row r="233" spans="1:34">
      <c r="A233" s="149" t="str">
        <f>HYPERLINK("http://www.ofsted.gov.uk/inspection-reports/find-inspection-report/provider/ELS/134034 ","Ofsted School Webpage")</f>
        <v>Ofsted School Webpage</v>
      </c>
      <c r="B233">
        <v>134034</v>
      </c>
      <c r="C233">
        <v>3306104</v>
      </c>
      <c r="D233" t="s">
        <v>1324</v>
      </c>
      <c r="E233" t="s">
        <v>37</v>
      </c>
      <c r="F233" t="s">
        <v>184</v>
      </c>
      <c r="G233" t="s">
        <v>223</v>
      </c>
      <c r="H233" t="s">
        <v>2729</v>
      </c>
      <c r="I233" t="s">
        <v>2730</v>
      </c>
      <c r="J233" t="s">
        <v>186</v>
      </c>
      <c r="K233" t="s">
        <v>193</v>
      </c>
      <c r="L233" t="s">
        <v>193</v>
      </c>
      <c r="M233" t="s">
        <v>210</v>
      </c>
      <c r="N233" t="s">
        <v>1325</v>
      </c>
      <c r="O233" t="s">
        <v>1326</v>
      </c>
      <c r="P233" s="120">
        <v>41947</v>
      </c>
      <c r="Q233" s="120">
        <v>41949</v>
      </c>
      <c r="R233" s="120">
        <v>41969</v>
      </c>
      <c r="S233" t="s">
        <v>196</v>
      </c>
      <c r="T233">
        <v>1</v>
      </c>
      <c r="U233" t="s">
        <v>2730</v>
      </c>
      <c r="V233">
        <v>2</v>
      </c>
      <c r="W233" t="s">
        <v>2730</v>
      </c>
      <c r="X233">
        <v>1</v>
      </c>
      <c r="Y233">
        <v>1</v>
      </c>
      <c r="Z233">
        <v>9</v>
      </c>
      <c r="AA233">
        <v>9</v>
      </c>
      <c r="AB233" t="s">
        <v>2730</v>
      </c>
      <c r="AC233" t="s">
        <v>2730</v>
      </c>
      <c r="AD233" t="s">
        <v>2730</v>
      </c>
      <c r="AE233" t="s">
        <v>2730</v>
      </c>
      <c r="AF233" t="s">
        <v>2730</v>
      </c>
      <c r="AG233" t="s">
        <v>2730</v>
      </c>
      <c r="AH233" t="s">
        <v>2730</v>
      </c>
    </row>
    <row r="234" spans="1:34">
      <c r="A234" s="149" t="str">
        <f>HYPERLINK("http://www.ofsted.gov.uk/inspection-reports/find-inspection-report/provider/ELS/133449 ","Ofsted School Webpage")</f>
        <v>Ofsted School Webpage</v>
      </c>
      <c r="B234">
        <v>133449</v>
      </c>
      <c r="C234">
        <v>2046410</v>
      </c>
      <c r="D234" t="s">
        <v>1327</v>
      </c>
      <c r="E234" t="s">
        <v>37</v>
      </c>
      <c r="F234" t="s">
        <v>184</v>
      </c>
      <c r="G234" t="s">
        <v>223</v>
      </c>
      <c r="H234" t="s">
        <v>2729</v>
      </c>
      <c r="I234" t="s">
        <v>2730</v>
      </c>
      <c r="J234" t="s">
        <v>186</v>
      </c>
      <c r="K234" t="s">
        <v>232</v>
      </c>
      <c r="L234" t="s">
        <v>232</v>
      </c>
      <c r="M234" t="s">
        <v>479</v>
      </c>
      <c r="N234" t="s">
        <v>1328</v>
      </c>
      <c r="O234">
        <v>10034443</v>
      </c>
      <c r="P234" s="120">
        <v>42920</v>
      </c>
      <c r="Q234" s="120">
        <v>42922</v>
      </c>
      <c r="R234" s="120">
        <v>43011</v>
      </c>
      <c r="S234" t="s">
        <v>196</v>
      </c>
      <c r="T234">
        <v>4</v>
      </c>
      <c r="U234" t="s">
        <v>129</v>
      </c>
      <c r="V234">
        <v>4</v>
      </c>
      <c r="W234">
        <v>4</v>
      </c>
      <c r="X234">
        <v>2</v>
      </c>
      <c r="Y234">
        <v>2</v>
      </c>
      <c r="Z234" t="s">
        <v>2730</v>
      </c>
      <c r="AA234" t="s">
        <v>2730</v>
      </c>
      <c r="AB234" t="s">
        <v>2733</v>
      </c>
      <c r="AC234" t="s">
        <v>2730</v>
      </c>
      <c r="AD234" t="s">
        <v>2730</v>
      </c>
      <c r="AE234" t="s">
        <v>2730</v>
      </c>
      <c r="AF234" t="s">
        <v>2730</v>
      </c>
      <c r="AG234" t="s">
        <v>2730</v>
      </c>
      <c r="AH234" t="s">
        <v>2730</v>
      </c>
    </row>
    <row r="235" spans="1:34">
      <c r="A235" s="149" t="str">
        <f>HYPERLINK("http://www.ofsted.gov.uk/inspection-reports/find-inspection-report/provider/ELS/131261 ","Ofsted School Webpage")</f>
        <v>Ofsted School Webpage</v>
      </c>
      <c r="B235">
        <v>131261</v>
      </c>
      <c r="C235">
        <v>3026119</v>
      </c>
      <c r="D235" t="s">
        <v>1336</v>
      </c>
      <c r="E235" t="s">
        <v>37</v>
      </c>
      <c r="F235" t="s">
        <v>304</v>
      </c>
      <c r="G235" t="s">
        <v>223</v>
      </c>
      <c r="H235" t="s">
        <v>2729</v>
      </c>
      <c r="I235" t="s">
        <v>2730</v>
      </c>
      <c r="J235" t="s">
        <v>186</v>
      </c>
      <c r="K235" t="s">
        <v>232</v>
      </c>
      <c r="L235" t="s">
        <v>232</v>
      </c>
      <c r="M235" t="s">
        <v>311</v>
      </c>
      <c r="N235" t="s">
        <v>1337</v>
      </c>
      <c r="O235" t="s">
        <v>1338</v>
      </c>
      <c r="P235" s="120">
        <v>41429</v>
      </c>
      <c r="Q235" s="120">
        <v>41431</v>
      </c>
      <c r="R235" s="120">
        <v>41451</v>
      </c>
      <c r="S235" t="s">
        <v>196</v>
      </c>
      <c r="T235">
        <v>3</v>
      </c>
      <c r="U235" t="s">
        <v>2730</v>
      </c>
      <c r="V235">
        <v>3</v>
      </c>
      <c r="W235" t="s">
        <v>2730</v>
      </c>
      <c r="X235">
        <v>3</v>
      </c>
      <c r="Y235">
        <v>3</v>
      </c>
      <c r="Z235" t="s">
        <v>2730</v>
      </c>
      <c r="AA235" t="s">
        <v>2730</v>
      </c>
      <c r="AB235" t="s">
        <v>2730</v>
      </c>
      <c r="AC235" t="s">
        <v>2730</v>
      </c>
      <c r="AD235" t="s">
        <v>2730</v>
      </c>
      <c r="AE235" t="s">
        <v>2730</v>
      </c>
      <c r="AF235" t="s">
        <v>2730</v>
      </c>
      <c r="AG235" t="s">
        <v>2730</v>
      </c>
      <c r="AH235" t="s">
        <v>2730</v>
      </c>
    </row>
    <row r="236" spans="1:34">
      <c r="A236" s="149" t="str">
        <f>HYPERLINK("http://www.ofsted.gov.uk/inspection-reports/find-inspection-report/provider/ELS/135155 ","Ofsted School Webpage")</f>
        <v>Ofsted School Webpage</v>
      </c>
      <c r="B236">
        <v>135155</v>
      </c>
      <c r="C236">
        <v>3076338</v>
      </c>
      <c r="D236" t="s">
        <v>1339</v>
      </c>
      <c r="E236" t="s">
        <v>37</v>
      </c>
      <c r="F236" t="s">
        <v>184</v>
      </c>
      <c r="G236" t="s">
        <v>223</v>
      </c>
      <c r="H236" t="s">
        <v>2729</v>
      </c>
      <c r="I236" t="s">
        <v>2730</v>
      </c>
      <c r="J236" t="s">
        <v>186</v>
      </c>
      <c r="K236" t="s">
        <v>232</v>
      </c>
      <c r="L236" t="s">
        <v>232</v>
      </c>
      <c r="M236" t="s">
        <v>631</v>
      </c>
      <c r="N236" t="s">
        <v>1340</v>
      </c>
      <c r="O236" t="s">
        <v>1341</v>
      </c>
      <c r="P236" s="120">
        <v>41681</v>
      </c>
      <c r="Q236" s="120">
        <v>41683</v>
      </c>
      <c r="R236" s="120">
        <v>41701</v>
      </c>
      <c r="S236" t="s">
        <v>196</v>
      </c>
      <c r="T236">
        <v>2</v>
      </c>
      <c r="U236" t="s">
        <v>2730</v>
      </c>
      <c r="V236">
        <v>2</v>
      </c>
      <c r="W236" t="s">
        <v>2730</v>
      </c>
      <c r="X236">
        <v>2</v>
      </c>
      <c r="Y236">
        <v>2</v>
      </c>
      <c r="Z236" t="s">
        <v>2730</v>
      </c>
      <c r="AA236" t="s">
        <v>2730</v>
      </c>
      <c r="AB236" t="s">
        <v>2730</v>
      </c>
      <c r="AC236" t="s">
        <v>2730</v>
      </c>
      <c r="AD236" t="s">
        <v>2730</v>
      </c>
      <c r="AE236" t="s">
        <v>2730</v>
      </c>
      <c r="AF236" t="s">
        <v>2730</v>
      </c>
      <c r="AG236" t="s">
        <v>2730</v>
      </c>
      <c r="AH236" t="s">
        <v>2730</v>
      </c>
    </row>
    <row r="237" spans="1:34">
      <c r="A237" s="149" t="str">
        <f>HYPERLINK("http://www.ofsted.gov.uk/inspection-reports/find-inspection-report/provider/ELS/134417 ","Ofsted School Webpage")</f>
        <v>Ofsted School Webpage</v>
      </c>
      <c r="B237">
        <v>134417</v>
      </c>
      <c r="C237">
        <v>3166064</v>
      </c>
      <c r="D237" t="s">
        <v>1342</v>
      </c>
      <c r="E237" t="s">
        <v>37</v>
      </c>
      <c r="F237" t="s">
        <v>184</v>
      </c>
      <c r="G237" t="s">
        <v>223</v>
      </c>
      <c r="H237" t="s">
        <v>2729</v>
      </c>
      <c r="I237" t="s">
        <v>2730</v>
      </c>
      <c r="J237" t="s">
        <v>186</v>
      </c>
      <c r="K237" t="s">
        <v>232</v>
      </c>
      <c r="L237" t="s">
        <v>232</v>
      </c>
      <c r="M237" t="s">
        <v>505</v>
      </c>
      <c r="N237" t="s">
        <v>1343</v>
      </c>
      <c r="O237">
        <v>10007702</v>
      </c>
      <c r="P237" s="120">
        <v>42451</v>
      </c>
      <c r="Q237" s="120">
        <v>42453</v>
      </c>
      <c r="R237" s="120">
        <v>42502</v>
      </c>
      <c r="S237" t="s">
        <v>196</v>
      </c>
      <c r="T237">
        <v>2</v>
      </c>
      <c r="U237" t="s">
        <v>128</v>
      </c>
      <c r="V237">
        <v>2</v>
      </c>
      <c r="W237">
        <v>2</v>
      </c>
      <c r="X237">
        <v>2</v>
      </c>
      <c r="Y237">
        <v>2</v>
      </c>
      <c r="Z237">
        <v>1</v>
      </c>
      <c r="AA237" t="s">
        <v>2730</v>
      </c>
      <c r="AB237" t="s">
        <v>2732</v>
      </c>
      <c r="AC237" t="s">
        <v>2730</v>
      </c>
      <c r="AD237" t="s">
        <v>2730</v>
      </c>
      <c r="AE237" t="s">
        <v>2730</v>
      </c>
      <c r="AF237" t="s">
        <v>2730</v>
      </c>
      <c r="AG237" t="s">
        <v>2730</v>
      </c>
      <c r="AH237" t="s">
        <v>2730</v>
      </c>
    </row>
    <row r="238" spans="1:34">
      <c r="A238" s="149" t="str">
        <f>HYPERLINK("http://www.ofsted.gov.uk/inspection-reports/find-inspection-report/provider/ELS/136258 ","Ofsted School Webpage")</f>
        <v>Ofsted School Webpage</v>
      </c>
      <c r="B238">
        <v>136258</v>
      </c>
      <c r="C238">
        <v>3916040</v>
      </c>
      <c r="D238" t="s">
        <v>1344</v>
      </c>
      <c r="E238" t="s">
        <v>37</v>
      </c>
      <c r="F238" t="s">
        <v>1345</v>
      </c>
      <c r="G238" t="s">
        <v>223</v>
      </c>
      <c r="H238" t="s">
        <v>2729</v>
      </c>
      <c r="I238" t="s">
        <v>2730</v>
      </c>
      <c r="J238" t="s">
        <v>186</v>
      </c>
      <c r="K238" t="s">
        <v>245</v>
      </c>
      <c r="L238" t="s">
        <v>277</v>
      </c>
      <c r="M238" t="s">
        <v>1346</v>
      </c>
      <c r="N238" t="s">
        <v>1347</v>
      </c>
      <c r="O238">
        <v>10025962</v>
      </c>
      <c r="P238" s="120">
        <v>42808</v>
      </c>
      <c r="Q238" s="120">
        <v>42810</v>
      </c>
      <c r="R238" s="120">
        <v>42828</v>
      </c>
      <c r="S238" t="s">
        <v>196</v>
      </c>
      <c r="T238">
        <v>2</v>
      </c>
      <c r="U238" t="s">
        <v>128</v>
      </c>
      <c r="V238">
        <v>2</v>
      </c>
      <c r="W238">
        <v>1</v>
      </c>
      <c r="X238">
        <v>2</v>
      </c>
      <c r="Y238">
        <v>2</v>
      </c>
      <c r="Z238" t="s">
        <v>2730</v>
      </c>
      <c r="AA238" t="s">
        <v>2730</v>
      </c>
      <c r="AB238" t="s">
        <v>2732</v>
      </c>
      <c r="AC238" t="s">
        <v>2730</v>
      </c>
      <c r="AD238" t="s">
        <v>2730</v>
      </c>
      <c r="AE238" t="s">
        <v>2730</v>
      </c>
      <c r="AF238" t="s">
        <v>2730</v>
      </c>
      <c r="AG238" t="s">
        <v>2730</v>
      </c>
      <c r="AH238" t="s">
        <v>2730</v>
      </c>
    </row>
    <row r="239" spans="1:34">
      <c r="A239" s="149" t="str">
        <f>HYPERLINK("http://www.ofsted.gov.uk/inspection-reports/find-inspection-report/provider/ELS/132069 ","Ofsted School Webpage")</f>
        <v>Ofsted School Webpage</v>
      </c>
      <c r="B239">
        <v>132069</v>
      </c>
      <c r="C239">
        <v>9386258</v>
      </c>
      <c r="D239" t="s">
        <v>1069</v>
      </c>
      <c r="E239" t="s">
        <v>38</v>
      </c>
      <c r="F239" t="s">
        <v>184</v>
      </c>
      <c r="G239" t="s">
        <v>184</v>
      </c>
      <c r="H239" t="s">
        <v>2729</v>
      </c>
      <c r="I239" t="s">
        <v>2730</v>
      </c>
      <c r="J239" t="s">
        <v>186</v>
      </c>
      <c r="K239" t="s">
        <v>181</v>
      </c>
      <c r="L239" t="s">
        <v>181</v>
      </c>
      <c r="M239" t="s">
        <v>395</v>
      </c>
      <c r="N239" t="s">
        <v>1070</v>
      </c>
      <c r="O239" t="s">
        <v>3030</v>
      </c>
      <c r="P239" s="120">
        <v>41590</v>
      </c>
      <c r="Q239" s="120">
        <v>41592</v>
      </c>
      <c r="R239" s="120">
        <v>41612</v>
      </c>
      <c r="S239" t="s">
        <v>267</v>
      </c>
      <c r="T239">
        <v>1</v>
      </c>
      <c r="U239" t="s">
        <v>2730</v>
      </c>
      <c r="V239">
        <v>1</v>
      </c>
      <c r="W239" t="s">
        <v>2730</v>
      </c>
      <c r="X239">
        <v>1</v>
      </c>
      <c r="Y239">
        <v>1</v>
      </c>
      <c r="Z239" t="s">
        <v>2730</v>
      </c>
      <c r="AA239" t="s">
        <v>2730</v>
      </c>
      <c r="AB239" t="s">
        <v>2730</v>
      </c>
      <c r="AC239" t="s">
        <v>2730</v>
      </c>
      <c r="AD239" t="s">
        <v>2730</v>
      </c>
      <c r="AE239" t="s">
        <v>2730</v>
      </c>
      <c r="AF239" t="s">
        <v>2730</v>
      </c>
      <c r="AG239" t="s">
        <v>2730</v>
      </c>
      <c r="AH239" t="s">
        <v>2730</v>
      </c>
    </row>
    <row r="240" spans="1:34">
      <c r="A240" s="149" t="str">
        <f>HYPERLINK("http://www.ofsted.gov.uk/inspection-reports/find-inspection-report/provider/ELS/130367 ","Ofsted School Webpage")</f>
        <v>Ofsted School Webpage</v>
      </c>
      <c r="B240">
        <v>130367</v>
      </c>
      <c r="C240">
        <v>9096048</v>
      </c>
      <c r="D240" t="s">
        <v>1357</v>
      </c>
      <c r="E240" t="s">
        <v>38</v>
      </c>
      <c r="F240" t="s">
        <v>184</v>
      </c>
      <c r="G240" t="s">
        <v>184</v>
      </c>
      <c r="H240" t="s">
        <v>2729</v>
      </c>
      <c r="I240" t="s">
        <v>2730</v>
      </c>
      <c r="J240" t="s">
        <v>186</v>
      </c>
      <c r="K240" t="s">
        <v>205</v>
      </c>
      <c r="L240" t="s">
        <v>205</v>
      </c>
      <c r="M240" t="s">
        <v>947</v>
      </c>
      <c r="N240" t="s">
        <v>1358</v>
      </c>
      <c r="O240">
        <v>10033386</v>
      </c>
      <c r="P240" s="120">
        <v>42801</v>
      </c>
      <c r="Q240" s="120">
        <v>42803</v>
      </c>
      <c r="R240" s="120">
        <v>42828</v>
      </c>
      <c r="S240" t="s">
        <v>196</v>
      </c>
      <c r="T240">
        <v>2</v>
      </c>
      <c r="U240" t="s">
        <v>128</v>
      </c>
      <c r="V240">
        <v>2</v>
      </c>
      <c r="W240">
        <v>1</v>
      </c>
      <c r="X240">
        <v>2</v>
      </c>
      <c r="Y240">
        <v>2</v>
      </c>
      <c r="Z240" t="s">
        <v>2730</v>
      </c>
      <c r="AA240" t="s">
        <v>2730</v>
      </c>
      <c r="AB240" t="s">
        <v>2732</v>
      </c>
      <c r="AC240" t="s">
        <v>2730</v>
      </c>
      <c r="AD240" t="s">
        <v>2730</v>
      </c>
      <c r="AE240" t="s">
        <v>2730</v>
      </c>
      <c r="AF240" t="s">
        <v>2730</v>
      </c>
      <c r="AG240" t="s">
        <v>2730</v>
      </c>
      <c r="AH240" t="s">
        <v>2730</v>
      </c>
    </row>
    <row r="241" spans="1:34">
      <c r="A241" s="149" t="str">
        <f>HYPERLINK("http://www.ofsted.gov.uk/inspection-reports/find-inspection-report/provider/ELS/141607 ","Ofsted School Webpage")</f>
        <v>Ofsted School Webpage</v>
      </c>
      <c r="B241">
        <v>141607</v>
      </c>
      <c r="C241">
        <v>3086004</v>
      </c>
      <c r="D241" t="s">
        <v>1359</v>
      </c>
      <c r="E241" t="s">
        <v>38</v>
      </c>
      <c r="F241" t="s">
        <v>184</v>
      </c>
      <c r="G241" t="s">
        <v>184</v>
      </c>
      <c r="H241" t="s">
        <v>2729</v>
      </c>
      <c r="I241" t="s">
        <v>2730</v>
      </c>
      <c r="J241" t="s">
        <v>186</v>
      </c>
      <c r="K241" t="s">
        <v>232</v>
      </c>
      <c r="L241" t="s">
        <v>232</v>
      </c>
      <c r="M241" t="s">
        <v>259</v>
      </c>
      <c r="N241" t="s">
        <v>1360</v>
      </c>
      <c r="O241">
        <v>10006305</v>
      </c>
      <c r="P241" s="120">
        <v>42403</v>
      </c>
      <c r="Q241" s="120">
        <v>42405</v>
      </c>
      <c r="R241" s="120">
        <v>42443</v>
      </c>
      <c r="S241" t="s">
        <v>249</v>
      </c>
      <c r="T241">
        <v>3</v>
      </c>
      <c r="U241" t="s">
        <v>128</v>
      </c>
      <c r="V241">
        <v>3</v>
      </c>
      <c r="W241">
        <v>2</v>
      </c>
      <c r="X241">
        <v>3</v>
      </c>
      <c r="Y241">
        <v>3</v>
      </c>
      <c r="Z241" t="s">
        <v>2730</v>
      </c>
      <c r="AA241" t="s">
        <v>2730</v>
      </c>
      <c r="AB241" t="s">
        <v>2732</v>
      </c>
      <c r="AC241" t="s">
        <v>2730</v>
      </c>
      <c r="AD241" t="s">
        <v>2730</v>
      </c>
      <c r="AE241" t="s">
        <v>2730</v>
      </c>
      <c r="AF241" t="s">
        <v>2730</v>
      </c>
      <c r="AG241" t="s">
        <v>2730</v>
      </c>
      <c r="AH241" t="s">
        <v>2730</v>
      </c>
    </row>
    <row r="242" spans="1:34">
      <c r="A242" s="149" t="str">
        <f>HYPERLINK("http://www.ofsted.gov.uk/inspection-reports/find-inspection-report/provider/ELS/141008 ","Ofsted School Webpage")</f>
        <v>Ofsted School Webpage</v>
      </c>
      <c r="B242">
        <v>141008</v>
      </c>
      <c r="C242">
        <v>9376012</v>
      </c>
      <c r="D242" t="s">
        <v>1361</v>
      </c>
      <c r="E242" t="s">
        <v>38</v>
      </c>
      <c r="F242" t="s">
        <v>184</v>
      </c>
      <c r="G242" t="s">
        <v>184</v>
      </c>
      <c r="H242" t="s">
        <v>2729</v>
      </c>
      <c r="I242" t="s">
        <v>2730</v>
      </c>
      <c r="J242" t="s">
        <v>186</v>
      </c>
      <c r="K242" t="s">
        <v>193</v>
      </c>
      <c r="L242" t="s">
        <v>193</v>
      </c>
      <c r="M242" t="s">
        <v>377</v>
      </c>
      <c r="N242" t="s">
        <v>1362</v>
      </c>
      <c r="O242" t="s">
        <v>1363</v>
      </c>
      <c r="P242" s="120">
        <v>42158</v>
      </c>
      <c r="Q242" s="120">
        <v>42160</v>
      </c>
      <c r="R242" s="120">
        <v>42195</v>
      </c>
      <c r="S242" t="s">
        <v>249</v>
      </c>
      <c r="T242">
        <v>2</v>
      </c>
      <c r="U242" t="s">
        <v>2730</v>
      </c>
      <c r="V242">
        <v>2</v>
      </c>
      <c r="W242" t="s">
        <v>2730</v>
      </c>
      <c r="X242">
        <v>2</v>
      </c>
      <c r="Y242">
        <v>2</v>
      </c>
      <c r="Z242">
        <v>9</v>
      </c>
      <c r="AA242">
        <v>9</v>
      </c>
      <c r="AB242" t="s">
        <v>2730</v>
      </c>
      <c r="AC242" t="s">
        <v>2730</v>
      </c>
      <c r="AD242" t="s">
        <v>2730</v>
      </c>
      <c r="AE242" t="s">
        <v>2730</v>
      </c>
      <c r="AF242" t="s">
        <v>2730</v>
      </c>
      <c r="AG242" t="s">
        <v>2730</v>
      </c>
      <c r="AH242" t="s">
        <v>2730</v>
      </c>
    </row>
    <row r="243" spans="1:34">
      <c r="A243" s="149" t="str">
        <f>HYPERLINK("http://www.ofsted.gov.uk/inspection-reports/find-inspection-report/provider/ELS/125790 ","Ofsted School Webpage")</f>
        <v>Ofsted School Webpage</v>
      </c>
      <c r="B243">
        <v>125790</v>
      </c>
      <c r="C243">
        <v>9376092</v>
      </c>
      <c r="D243" t="s">
        <v>1364</v>
      </c>
      <c r="E243" t="s">
        <v>38</v>
      </c>
      <c r="F243" t="s">
        <v>184</v>
      </c>
      <c r="G243" t="s">
        <v>184</v>
      </c>
      <c r="H243" t="s">
        <v>2729</v>
      </c>
      <c r="I243" t="s">
        <v>2730</v>
      </c>
      <c r="J243" t="s">
        <v>186</v>
      </c>
      <c r="K243" t="s">
        <v>193</v>
      </c>
      <c r="L243" t="s">
        <v>193</v>
      </c>
      <c r="M243" t="s">
        <v>377</v>
      </c>
      <c r="N243" t="s">
        <v>1365</v>
      </c>
      <c r="O243" t="s">
        <v>1366</v>
      </c>
      <c r="P243" s="120">
        <v>42144</v>
      </c>
      <c r="Q243" s="120">
        <v>42146</v>
      </c>
      <c r="R243" s="120">
        <v>42165</v>
      </c>
      <c r="S243" t="s">
        <v>196</v>
      </c>
      <c r="T243">
        <v>2</v>
      </c>
      <c r="U243" t="s">
        <v>2730</v>
      </c>
      <c r="V243">
        <v>2</v>
      </c>
      <c r="W243" t="s">
        <v>2730</v>
      </c>
      <c r="X243">
        <v>2</v>
      </c>
      <c r="Y243">
        <v>2</v>
      </c>
      <c r="Z243">
        <v>9</v>
      </c>
      <c r="AA243">
        <v>9</v>
      </c>
      <c r="AB243" t="s">
        <v>2730</v>
      </c>
      <c r="AC243" t="s">
        <v>2730</v>
      </c>
      <c r="AD243" t="s">
        <v>2730</v>
      </c>
      <c r="AE243" t="s">
        <v>2730</v>
      </c>
      <c r="AF243" t="s">
        <v>2730</v>
      </c>
      <c r="AG243" t="s">
        <v>2730</v>
      </c>
      <c r="AH243" t="s">
        <v>2730</v>
      </c>
    </row>
    <row r="244" spans="1:34">
      <c r="A244" s="149" t="str">
        <f>HYPERLINK("http://www.ofsted.gov.uk/inspection-reports/find-inspection-report/provider/ELS/134186 ","Ofsted School Webpage")</f>
        <v>Ofsted School Webpage</v>
      </c>
      <c r="B244">
        <v>134186</v>
      </c>
      <c r="C244">
        <v>8776001</v>
      </c>
      <c r="D244" t="s">
        <v>389</v>
      </c>
      <c r="E244" t="s">
        <v>38</v>
      </c>
      <c r="F244" t="s">
        <v>184</v>
      </c>
      <c r="G244" t="s">
        <v>184</v>
      </c>
      <c r="H244" t="s">
        <v>2729</v>
      </c>
      <c r="I244" t="s">
        <v>2730</v>
      </c>
      <c r="J244" t="s">
        <v>186</v>
      </c>
      <c r="K244" t="s">
        <v>205</v>
      </c>
      <c r="L244" t="s">
        <v>205</v>
      </c>
      <c r="M244" t="s">
        <v>390</v>
      </c>
      <c r="N244" t="s">
        <v>391</v>
      </c>
      <c r="O244">
        <v>10026010</v>
      </c>
      <c r="P244" s="120">
        <v>43018</v>
      </c>
      <c r="Q244" s="120">
        <v>43020</v>
      </c>
      <c r="R244" s="120">
        <v>43061</v>
      </c>
      <c r="S244" t="s">
        <v>3119</v>
      </c>
      <c r="T244">
        <v>1</v>
      </c>
      <c r="U244" t="s">
        <v>128</v>
      </c>
      <c r="V244">
        <v>1</v>
      </c>
      <c r="W244">
        <v>1</v>
      </c>
      <c r="X244">
        <v>1</v>
      </c>
      <c r="Y244">
        <v>1</v>
      </c>
      <c r="Z244" t="s">
        <v>2730</v>
      </c>
      <c r="AA244">
        <v>1</v>
      </c>
      <c r="AB244" t="s">
        <v>2732</v>
      </c>
      <c r="AC244" t="s">
        <v>2730</v>
      </c>
      <c r="AD244" t="s">
        <v>2730</v>
      </c>
      <c r="AE244" t="s">
        <v>2730</v>
      </c>
      <c r="AF244" t="s">
        <v>2730</v>
      </c>
      <c r="AG244" t="s">
        <v>2730</v>
      </c>
      <c r="AH244" t="s">
        <v>2730</v>
      </c>
    </row>
    <row r="245" spans="1:34">
      <c r="A245" s="149" t="str">
        <f>HYPERLINK("http://www.ofsted.gov.uk/inspection-reports/find-inspection-report/provider/ELS/135303 ","Ofsted School Webpage")</f>
        <v>Ofsted School Webpage</v>
      </c>
      <c r="B245">
        <v>135303</v>
      </c>
      <c r="C245">
        <v>8886099</v>
      </c>
      <c r="D245" t="s">
        <v>1374</v>
      </c>
      <c r="E245" t="s">
        <v>38</v>
      </c>
      <c r="F245" t="s">
        <v>184</v>
      </c>
      <c r="G245" t="s">
        <v>184</v>
      </c>
      <c r="H245" t="s">
        <v>2729</v>
      </c>
      <c r="I245" t="s">
        <v>2730</v>
      </c>
      <c r="J245" t="s">
        <v>186</v>
      </c>
      <c r="K245" t="s">
        <v>205</v>
      </c>
      <c r="L245" t="s">
        <v>205</v>
      </c>
      <c r="M245" t="s">
        <v>206</v>
      </c>
      <c r="N245" t="s">
        <v>1375</v>
      </c>
      <c r="O245" t="s">
        <v>3031</v>
      </c>
      <c r="P245" s="120">
        <v>41955</v>
      </c>
      <c r="Q245" s="120">
        <v>41956</v>
      </c>
      <c r="R245" s="120">
        <v>41989</v>
      </c>
      <c r="S245" t="s">
        <v>3119</v>
      </c>
      <c r="T245">
        <v>3</v>
      </c>
      <c r="U245" t="s">
        <v>2730</v>
      </c>
      <c r="V245">
        <v>3</v>
      </c>
      <c r="W245" t="s">
        <v>2730</v>
      </c>
      <c r="X245">
        <v>2</v>
      </c>
      <c r="Y245">
        <v>2</v>
      </c>
      <c r="Z245">
        <v>9</v>
      </c>
      <c r="AA245">
        <v>9</v>
      </c>
      <c r="AB245" t="s">
        <v>2730</v>
      </c>
      <c r="AC245" t="s">
        <v>2730</v>
      </c>
      <c r="AD245" t="s">
        <v>2730</v>
      </c>
      <c r="AE245" t="s">
        <v>2730</v>
      </c>
      <c r="AF245" t="s">
        <v>2730</v>
      </c>
      <c r="AG245" t="s">
        <v>2730</v>
      </c>
      <c r="AH245" t="s">
        <v>2730</v>
      </c>
    </row>
    <row r="246" spans="1:34">
      <c r="A246" s="149" t="str">
        <f>HYPERLINK("http://www.ofsted.gov.uk/inspection-reports/find-inspection-report/provider/ELS/135252 ","Ofsted School Webpage")</f>
        <v>Ofsted School Webpage</v>
      </c>
      <c r="B246">
        <v>135252</v>
      </c>
      <c r="C246">
        <v>9356086</v>
      </c>
      <c r="D246" t="s">
        <v>1433</v>
      </c>
      <c r="E246" t="s">
        <v>38</v>
      </c>
      <c r="F246" t="s">
        <v>184</v>
      </c>
      <c r="G246" t="s">
        <v>184</v>
      </c>
      <c r="H246" t="s">
        <v>2729</v>
      </c>
      <c r="I246" t="s">
        <v>2730</v>
      </c>
      <c r="J246" t="s">
        <v>186</v>
      </c>
      <c r="K246" t="s">
        <v>220</v>
      </c>
      <c r="L246" t="s">
        <v>220</v>
      </c>
      <c r="M246" t="s">
        <v>297</v>
      </c>
      <c r="N246" t="s">
        <v>1434</v>
      </c>
      <c r="O246">
        <v>10030847</v>
      </c>
      <c r="P246" s="120">
        <v>42864</v>
      </c>
      <c r="Q246" s="120">
        <v>42866</v>
      </c>
      <c r="R246" s="120">
        <v>42907</v>
      </c>
      <c r="S246" t="s">
        <v>3119</v>
      </c>
      <c r="T246">
        <v>2</v>
      </c>
      <c r="U246" t="s">
        <v>128</v>
      </c>
      <c r="V246">
        <v>2</v>
      </c>
      <c r="W246">
        <v>1</v>
      </c>
      <c r="X246">
        <v>2</v>
      </c>
      <c r="Y246">
        <v>2</v>
      </c>
      <c r="Z246" t="s">
        <v>2730</v>
      </c>
      <c r="AA246">
        <v>2</v>
      </c>
      <c r="AB246" t="s">
        <v>2732</v>
      </c>
      <c r="AC246" t="s">
        <v>2730</v>
      </c>
      <c r="AD246" t="s">
        <v>2730</v>
      </c>
      <c r="AE246" t="s">
        <v>2730</v>
      </c>
      <c r="AF246" t="s">
        <v>2730</v>
      </c>
      <c r="AG246" t="s">
        <v>2730</v>
      </c>
      <c r="AH246" t="s">
        <v>2730</v>
      </c>
    </row>
    <row r="247" spans="1:34">
      <c r="A247" s="149" t="str">
        <f>HYPERLINK("http://www.ofsted.gov.uk/inspection-reports/find-inspection-report/provider/ELS/131960 ","Ofsted School Webpage")</f>
        <v>Ofsted School Webpage</v>
      </c>
      <c r="B247">
        <v>131960</v>
      </c>
      <c r="C247">
        <v>3816010</v>
      </c>
      <c r="D247" t="s">
        <v>3032</v>
      </c>
      <c r="E247" t="s">
        <v>38</v>
      </c>
      <c r="F247" t="s">
        <v>184</v>
      </c>
      <c r="G247" t="s">
        <v>184</v>
      </c>
      <c r="H247" t="s">
        <v>2729</v>
      </c>
      <c r="I247" t="s">
        <v>2730</v>
      </c>
      <c r="J247" t="s">
        <v>186</v>
      </c>
      <c r="K247" t="s">
        <v>245</v>
      </c>
      <c r="L247" t="s">
        <v>246</v>
      </c>
      <c r="M247" t="s">
        <v>1376</v>
      </c>
      <c r="N247" t="s">
        <v>1435</v>
      </c>
      <c r="O247">
        <v>10006061</v>
      </c>
      <c r="P247" s="120">
        <v>42514</v>
      </c>
      <c r="Q247" s="120">
        <v>42516</v>
      </c>
      <c r="R247" s="120">
        <v>42543</v>
      </c>
      <c r="S247" t="s">
        <v>196</v>
      </c>
      <c r="T247">
        <v>2</v>
      </c>
      <c r="U247" t="s">
        <v>128</v>
      </c>
      <c r="V247">
        <v>2</v>
      </c>
      <c r="W247">
        <v>2</v>
      </c>
      <c r="X247">
        <v>2</v>
      </c>
      <c r="Y247">
        <v>2</v>
      </c>
      <c r="Z247" t="s">
        <v>2730</v>
      </c>
      <c r="AA247" t="s">
        <v>2730</v>
      </c>
      <c r="AB247" t="s">
        <v>2732</v>
      </c>
      <c r="AC247" t="s">
        <v>2730</v>
      </c>
      <c r="AD247" t="s">
        <v>2730</v>
      </c>
      <c r="AE247" t="s">
        <v>2730</v>
      </c>
      <c r="AF247" t="s">
        <v>2730</v>
      </c>
      <c r="AG247" t="s">
        <v>2730</v>
      </c>
      <c r="AH247" t="s">
        <v>2730</v>
      </c>
    </row>
    <row r="248" spans="1:34">
      <c r="A248" s="149" t="str">
        <f>HYPERLINK("http://www.ofsted.gov.uk/inspection-reports/find-inspection-report/provider/ELS/131136 ","Ofsted School Webpage")</f>
        <v>Ofsted School Webpage</v>
      </c>
      <c r="B248">
        <v>131136</v>
      </c>
      <c r="C248">
        <v>3846120</v>
      </c>
      <c r="D248" t="s">
        <v>562</v>
      </c>
      <c r="E248" t="s">
        <v>38</v>
      </c>
      <c r="F248" t="s">
        <v>184</v>
      </c>
      <c r="G248" t="s">
        <v>184</v>
      </c>
      <c r="H248" t="s">
        <v>2729</v>
      </c>
      <c r="I248" t="s">
        <v>2730</v>
      </c>
      <c r="J248" t="s">
        <v>186</v>
      </c>
      <c r="K248" t="s">
        <v>245</v>
      </c>
      <c r="L248" t="s">
        <v>246</v>
      </c>
      <c r="M248" t="s">
        <v>563</v>
      </c>
      <c r="N248" t="s">
        <v>564</v>
      </c>
      <c r="O248">
        <v>10006063</v>
      </c>
      <c r="P248" s="120">
        <v>42437</v>
      </c>
      <c r="Q248" s="120">
        <v>42439</v>
      </c>
      <c r="R248" s="120">
        <v>42471</v>
      </c>
      <c r="S248" t="s">
        <v>196</v>
      </c>
      <c r="T248">
        <v>2</v>
      </c>
      <c r="U248" t="s">
        <v>128</v>
      </c>
      <c r="V248">
        <v>2</v>
      </c>
      <c r="W248">
        <v>2</v>
      </c>
      <c r="X248">
        <v>2</v>
      </c>
      <c r="Y248">
        <v>2</v>
      </c>
      <c r="Z248" t="s">
        <v>2730</v>
      </c>
      <c r="AA248" t="s">
        <v>2730</v>
      </c>
      <c r="AB248" t="s">
        <v>2732</v>
      </c>
      <c r="AC248" t="s">
        <v>2730</v>
      </c>
      <c r="AD248" t="s">
        <v>2730</v>
      </c>
      <c r="AE248" t="s">
        <v>2730</v>
      </c>
      <c r="AF248" t="s">
        <v>2730</v>
      </c>
      <c r="AG248" t="s">
        <v>2730</v>
      </c>
      <c r="AH248" t="s">
        <v>2730</v>
      </c>
    </row>
    <row r="249" spans="1:34">
      <c r="A249" s="149" t="str">
        <f>HYPERLINK("http://www.ofsted.gov.uk/inspection-reports/find-inspection-report/provider/ELS/115426 ","Ofsted School Webpage")</f>
        <v>Ofsted School Webpage</v>
      </c>
      <c r="B249">
        <v>115426</v>
      </c>
      <c r="C249">
        <v>8816032</v>
      </c>
      <c r="D249" t="s">
        <v>322</v>
      </c>
      <c r="E249" t="s">
        <v>38</v>
      </c>
      <c r="F249" t="s">
        <v>184</v>
      </c>
      <c r="G249" t="s">
        <v>184</v>
      </c>
      <c r="H249" t="s">
        <v>2729</v>
      </c>
      <c r="I249" t="s">
        <v>2730</v>
      </c>
      <c r="J249" t="s">
        <v>186</v>
      </c>
      <c r="K249" t="s">
        <v>220</v>
      </c>
      <c r="L249" t="s">
        <v>220</v>
      </c>
      <c r="M249" t="s">
        <v>323</v>
      </c>
      <c r="N249" t="s">
        <v>324</v>
      </c>
      <c r="O249">
        <v>10026061</v>
      </c>
      <c r="P249" s="120">
        <v>42773</v>
      </c>
      <c r="Q249" s="120">
        <v>42775</v>
      </c>
      <c r="R249" s="120">
        <v>42821</v>
      </c>
      <c r="S249" t="s">
        <v>267</v>
      </c>
      <c r="T249">
        <v>3</v>
      </c>
      <c r="U249" t="s">
        <v>128</v>
      </c>
      <c r="V249">
        <v>3</v>
      </c>
      <c r="W249">
        <v>3</v>
      </c>
      <c r="X249">
        <v>2</v>
      </c>
      <c r="Y249">
        <v>2</v>
      </c>
      <c r="Z249">
        <v>0</v>
      </c>
      <c r="AA249">
        <v>2</v>
      </c>
      <c r="AB249" t="s">
        <v>2733</v>
      </c>
      <c r="AC249">
        <v>10039953</v>
      </c>
      <c r="AD249" t="s">
        <v>187</v>
      </c>
      <c r="AE249" s="120">
        <v>43019</v>
      </c>
      <c r="AF249" t="s">
        <v>2771</v>
      </c>
      <c r="AG249" s="120">
        <v>43048</v>
      </c>
      <c r="AH249" t="s">
        <v>217</v>
      </c>
    </row>
    <row r="250" spans="1:34">
      <c r="A250" s="149" t="str">
        <f>HYPERLINK("http://www.ofsted.gov.uk/inspection-reports/find-inspection-report/provider/ELS/135376 ","Ofsted School Webpage")</f>
        <v>Ofsted School Webpage</v>
      </c>
      <c r="B250">
        <v>135376</v>
      </c>
      <c r="C250">
        <v>3706005</v>
      </c>
      <c r="D250" t="s">
        <v>565</v>
      </c>
      <c r="E250" t="s">
        <v>38</v>
      </c>
      <c r="F250" t="s">
        <v>184</v>
      </c>
      <c r="G250" t="s">
        <v>184</v>
      </c>
      <c r="H250" t="s">
        <v>2729</v>
      </c>
      <c r="I250" t="s">
        <v>2730</v>
      </c>
      <c r="J250" t="s">
        <v>186</v>
      </c>
      <c r="K250" t="s">
        <v>245</v>
      </c>
      <c r="L250" t="s">
        <v>246</v>
      </c>
      <c r="M250" t="s">
        <v>566</v>
      </c>
      <c r="N250" t="s">
        <v>567</v>
      </c>
      <c r="O250" t="s">
        <v>568</v>
      </c>
      <c r="P250" s="120">
        <v>42045</v>
      </c>
      <c r="Q250" s="120">
        <v>42047</v>
      </c>
      <c r="R250" s="120">
        <v>42082</v>
      </c>
      <c r="S250" t="s">
        <v>196</v>
      </c>
      <c r="T250">
        <v>2</v>
      </c>
      <c r="U250" t="s">
        <v>2730</v>
      </c>
      <c r="V250">
        <v>2</v>
      </c>
      <c r="W250" t="s">
        <v>2730</v>
      </c>
      <c r="X250">
        <v>2</v>
      </c>
      <c r="Y250">
        <v>2</v>
      </c>
      <c r="Z250">
        <v>9</v>
      </c>
      <c r="AA250">
        <v>9</v>
      </c>
      <c r="AB250" t="s">
        <v>2730</v>
      </c>
      <c r="AC250" t="s">
        <v>2730</v>
      </c>
      <c r="AD250" t="s">
        <v>2730</v>
      </c>
      <c r="AE250" t="s">
        <v>2730</v>
      </c>
      <c r="AF250" t="s">
        <v>2730</v>
      </c>
      <c r="AG250" t="s">
        <v>2730</v>
      </c>
      <c r="AH250" t="s">
        <v>2730</v>
      </c>
    </row>
    <row r="251" spans="1:34">
      <c r="A251" s="149" t="str">
        <f>HYPERLINK("http://www.ofsted.gov.uk/inspection-reports/find-inspection-report/provider/ELS/133989 ","Ofsted School Webpage")</f>
        <v>Ofsted School Webpage</v>
      </c>
      <c r="B251">
        <v>133989</v>
      </c>
      <c r="C251">
        <v>8606026</v>
      </c>
      <c r="D251" t="s">
        <v>325</v>
      </c>
      <c r="E251" t="s">
        <v>38</v>
      </c>
      <c r="F251" t="s">
        <v>184</v>
      </c>
      <c r="G251" t="s">
        <v>184</v>
      </c>
      <c r="H251" t="s">
        <v>2729</v>
      </c>
      <c r="I251" t="s">
        <v>2730</v>
      </c>
      <c r="J251" t="s">
        <v>186</v>
      </c>
      <c r="K251" t="s">
        <v>193</v>
      </c>
      <c r="L251" t="s">
        <v>193</v>
      </c>
      <c r="M251" t="s">
        <v>314</v>
      </c>
      <c r="N251" t="s">
        <v>326</v>
      </c>
      <c r="O251">
        <v>10006319</v>
      </c>
      <c r="P251" s="120">
        <v>42759</v>
      </c>
      <c r="Q251" s="120">
        <v>42761</v>
      </c>
      <c r="R251" s="120">
        <v>42816</v>
      </c>
      <c r="S251" t="s">
        <v>196</v>
      </c>
      <c r="T251">
        <v>4</v>
      </c>
      <c r="U251" t="s">
        <v>129</v>
      </c>
      <c r="V251">
        <v>4</v>
      </c>
      <c r="W251">
        <v>4</v>
      </c>
      <c r="X251">
        <v>3</v>
      </c>
      <c r="Y251">
        <v>3</v>
      </c>
      <c r="Z251" t="s">
        <v>2730</v>
      </c>
      <c r="AA251" t="s">
        <v>2730</v>
      </c>
      <c r="AB251" t="s">
        <v>2733</v>
      </c>
      <c r="AC251">
        <v>10040567</v>
      </c>
      <c r="AD251" t="s">
        <v>187</v>
      </c>
      <c r="AE251" s="120">
        <v>42998</v>
      </c>
      <c r="AF251" t="s">
        <v>2771</v>
      </c>
      <c r="AG251" s="120">
        <v>43025</v>
      </c>
      <c r="AH251" t="s">
        <v>189</v>
      </c>
    </row>
    <row r="252" spans="1:34">
      <c r="A252" s="149" t="str">
        <f>HYPERLINK("http://www.ofsted.gov.uk/inspection-reports/find-inspection-report/provider/ELS/131780 ","Ofsted School Webpage")</f>
        <v>Ofsted School Webpage</v>
      </c>
      <c r="B252">
        <v>131780</v>
      </c>
      <c r="C252">
        <v>8866084</v>
      </c>
      <c r="D252" t="s">
        <v>574</v>
      </c>
      <c r="E252" t="s">
        <v>38</v>
      </c>
      <c r="F252" t="s">
        <v>184</v>
      </c>
      <c r="G252" t="s">
        <v>184</v>
      </c>
      <c r="H252" t="s">
        <v>2729</v>
      </c>
      <c r="I252" t="s">
        <v>2730</v>
      </c>
      <c r="J252" t="s">
        <v>186</v>
      </c>
      <c r="K252" t="s">
        <v>181</v>
      </c>
      <c r="L252" t="s">
        <v>181</v>
      </c>
      <c r="M252" t="s">
        <v>182</v>
      </c>
      <c r="N252" t="s">
        <v>575</v>
      </c>
      <c r="O252">
        <v>10006331</v>
      </c>
      <c r="P252" s="120">
        <v>42913</v>
      </c>
      <c r="Q252" s="120">
        <v>42915</v>
      </c>
      <c r="R252" s="120">
        <v>42936</v>
      </c>
      <c r="S252" t="s">
        <v>196</v>
      </c>
      <c r="T252">
        <v>2</v>
      </c>
      <c r="U252" t="s">
        <v>128</v>
      </c>
      <c r="V252">
        <v>2</v>
      </c>
      <c r="W252">
        <v>2</v>
      </c>
      <c r="X252">
        <v>2</v>
      </c>
      <c r="Y252">
        <v>2</v>
      </c>
      <c r="Z252" t="s">
        <v>2730</v>
      </c>
      <c r="AA252" t="s">
        <v>2730</v>
      </c>
      <c r="AB252" t="s">
        <v>2732</v>
      </c>
      <c r="AC252" t="s">
        <v>2730</v>
      </c>
      <c r="AD252" t="s">
        <v>2730</v>
      </c>
      <c r="AE252" t="s">
        <v>2730</v>
      </c>
      <c r="AF252" t="s">
        <v>2730</v>
      </c>
      <c r="AG252" t="s">
        <v>2730</v>
      </c>
      <c r="AH252" t="s">
        <v>2730</v>
      </c>
    </row>
    <row r="253" spans="1:34">
      <c r="A253" s="149" t="str">
        <f>HYPERLINK("http://www.ofsted.gov.uk/inspection-reports/find-inspection-report/provider/ELS/136047 ","Ofsted School Webpage")</f>
        <v>Ofsted School Webpage</v>
      </c>
      <c r="B253">
        <v>136047</v>
      </c>
      <c r="C253">
        <v>8736048</v>
      </c>
      <c r="D253" t="s">
        <v>879</v>
      </c>
      <c r="E253" t="s">
        <v>38</v>
      </c>
      <c r="F253" t="s">
        <v>184</v>
      </c>
      <c r="G253" t="s">
        <v>184</v>
      </c>
      <c r="H253" t="s">
        <v>2729</v>
      </c>
      <c r="I253" t="s">
        <v>2730</v>
      </c>
      <c r="J253" t="s">
        <v>186</v>
      </c>
      <c r="K253" t="s">
        <v>220</v>
      </c>
      <c r="L253" t="s">
        <v>220</v>
      </c>
      <c r="M253" t="s">
        <v>284</v>
      </c>
      <c r="N253" t="s">
        <v>880</v>
      </c>
      <c r="O253">
        <v>10020939</v>
      </c>
      <c r="P253" s="120">
        <v>42788</v>
      </c>
      <c r="Q253" s="120">
        <v>42790</v>
      </c>
      <c r="R253" s="120">
        <v>42850</v>
      </c>
      <c r="S253" t="s">
        <v>267</v>
      </c>
      <c r="T253">
        <v>2</v>
      </c>
      <c r="U253" t="s">
        <v>128</v>
      </c>
      <c r="V253">
        <v>2</v>
      </c>
      <c r="W253">
        <v>2</v>
      </c>
      <c r="X253">
        <v>2</v>
      </c>
      <c r="Y253">
        <v>2</v>
      </c>
      <c r="Z253" t="s">
        <v>2730</v>
      </c>
      <c r="AA253">
        <v>2</v>
      </c>
      <c r="AB253" t="s">
        <v>2732</v>
      </c>
      <c r="AC253" t="s">
        <v>2730</v>
      </c>
      <c r="AD253" t="s">
        <v>2730</v>
      </c>
      <c r="AE253" s="120" t="s">
        <v>2730</v>
      </c>
      <c r="AF253" t="s">
        <v>2730</v>
      </c>
      <c r="AG253" s="120" t="s">
        <v>2730</v>
      </c>
      <c r="AH253" t="s">
        <v>2730</v>
      </c>
    </row>
    <row r="254" spans="1:34">
      <c r="A254" s="149" t="str">
        <f>HYPERLINK("http://www.ofsted.gov.uk/inspection-reports/find-inspection-report/provider/ELS/135530 ","Ofsted School Webpage")</f>
        <v>Ofsted School Webpage</v>
      </c>
      <c r="B254">
        <v>135530</v>
      </c>
      <c r="C254">
        <v>8556041</v>
      </c>
      <c r="D254" t="s">
        <v>881</v>
      </c>
      <c r="E254" t="s">
        <v>38</v>
      </c>
      <c r="F254" t="s">
        <v>184</v>
      </c>
      <c r="G254" t="s">
        <v>184</v>
      </c>
      <c r="H254" t="s">
        <v>2729</v>
      </c>
      <c r="I254" t="s">
        <v>2730</v>
      </c>
      <c r="J254" t="s">
        <v>186</v>
      </c>
      <c r="K254" t="s">
        <v>214</v>
      </c>
      <c r="L254" t="s">
        <v>214</v>
      </c>
      <c r="M254" t="s">
        <v>281</v>
      </c>
      <c r="N254" t="s">
        <v>882</v>
      </c>
      <c r="O254">
        <v>10006067</v>
      </c>
      <c r="P254" s="120">
        <v>42507</v>
      </c>
      <c r="Q254" s="120">
        <v>42509</v>
      </c>
      <c r="R254" s="120">
        <v>42534</v>
      </c>
      <c r="S254" t="s">
        <v>196</v>
      </c>
      <c r="T254">
        <v>1</v>
      </c>
      <c r="U254" t="s">
        <v>128</v>
      </c>
      <c r="V254">
        <v>1</v>
      </c>
      <c r="W254">
        <v>1</v>
      </c>
      <c r="X254">
        <v>1</v>
      </c>
      <c r="Y254">
        <v>1</v>
      </c>
      <c r="Z254" t="s">
        <v>2730</v>
      </c>
      <c r="AA254" t="s">
        <v>2730</v>
      </c>
      <c r="AB254" t="s">
        <v>2732</v>
      </c>
      <c r="AC254" t="s">
        <v>2730</v>
      </c>
      <c r="AD254" t="s">
        <v>2730</v>
      </c>
      <c r="AE254" s="120" t="s">
        <v>2730</v>
      </c>
      <c r="AF254" t="s">
        <v>2730</v>
      </c>
      <c r="AG254" s="120" t="s">
        <v>2730</v>
      </c>
      <c r="AH254" t="s">
        <v>2730</v>
      </c>
    </row>
    <row r="255" spans="1:34">
      <c r="A255" s="149" t="str">
        <f>HYPERLINK("http://www.ofsted.gov.uk/inspection-reports/find-inspection-report/provider/ELS/135512 ","Ofsted School Webpage")</f>
        <v>Ofsted School Webpage</v>
      </c>
      <c r="B255">
        <v>135512</v>
      </c>
      <c r="C255">
        <v>8766012</v>
      </c>
      <c r="D255" t="s">
        <v>883</v>
      </c>
      <c r="E255" t="s">
        <v>38</v>
      </c>
      <c r="F255" t="s">
        <v>184</v>
      </c>
      <c r="G255" t="s">
        <v>184</v>
      </c>
      <c r="H255" t="s">
        <v>2729</v>
      </c>
      <c r="I255" t="s">
        <v>2730</v>
      </c>
      <c r="J255" t="s">
        <v>186</v>
      </c>
      <c r="K255" t="s">
        <v>205</v>
      </c>
      <c r="L255" t="s">
        <v>205</v>
      </c>
      <c r="M255" t="s">
        <v>637</v>
      </c>
      <c r="N255" t="s">
        <v>884</v>
      </c>
      <c r="O255">
        <v>10006040</v>
      </c>
      <c r="P255" s="120">
        <v>42347</v>
      </c>
      <c r="Q255" s="120">
        <v>42349</v>
      </c>
      <c r="R255" s="120">
        <v>42380</v>
      </c>
      <c r="S255" t="s">
        <v>196</v>
      </c>
      <c r="T255">
        <v>2</v>
      </c>
      <c r="U255" t="s">
        <v>128</v>
      </c>
      <c r="V255">
        <v>2</v>
      </c>
      <c r="W255">
        <v>2</v>
      </c>
      <c r="X255">
        <v>2</v>
      </c>
      <c r="Y255">
        <v>2</v>
      </c>
      <c r="Z255" t="s">
        <v>2730</v>
      </c>
      <c r="AA255">
        <v>0</v>
      </c>
      <c r="AB255" t="s">
        <v>2732</v>
      </c>
      <c r="AC255" t="s">
        <v>2730</v>
      </c>
      <c r="AD255" t="s">
        <v>2730</v>
      </c>
      <c r="AE255" s="120" t="s">
        <v>2730</v>
      </c>
      <c r="AF255" t="s">
        <v>2730</v>
      </c>
      <c r="AG255" s="120" t="s">
        <v>2730</v>
      </c>
      <c r="AH255" t="s">
        <v>2730</v>
      </c>
    </row>
    <row r="256" spans="1:34">
      <c r="A256" s="149" t="str">
        <f>HYPERLINK("http://www.ofsted.gov.uk/inspection-reports/find-inspection-report/provider/ELS/135410 ","Ofsted School Webpage")</f>
        <v>Ofsted School Webpage</v>
      </c>
      <c r="B256">
        <v>135410</v>
      </c>
      <c r="C256">
        <v>9096056</v>
      </c>
      <c r="D256" t="s">
        <v>1466</v>
      </c>
      <c r="E256" t="s">
        <v>38</v>
      </c>
      <c r="F256" t="s">
        <v>184</v>
      </c>
      <c r="G256" t="s">
        <v>184</v>
      </c>
      <c r="H256" t="s">
        <v>2729</v>
      </c>
      <c r="I256" t="s">
        <v>2730</v>
      </c>
      <c r="J256" t="s">
        <v>186</v>
      </c>
      <c r="K256" t="s">
        <v>205</v>
      </c>
      <c r="L256" t="s">
        <v>205</v>
      </c>
      <c r="M256" t="s">
        <v>947</v>
      </c>
      <c r="N256" t="s">
        <v>1467</v>
      </c>
      <c r="O256" t="s">
        <v>3033</v>
      </c>
      <c r="P256" s="120">
        <v>41926</v>
      </c>
      <c r="Q256" s="120">
        <v>41928</v>
      </c>
      <c r="R256" s="120">
        <v>41962</v>
      </c>
      <c r="S256" t="s">
        <v>3119</v>
      </c>
      <c r="T256">
        <v>1</v>
      </c>
      <c r="U256" t="s">
        <v>2730</v>
      </c>
      <c r="V256">
        <v>1</v>
      </c>
      <c r="W256" t="s">
        <v>2730</v>
      </c>
      <c r="X256">
        <v>1</v>
      </c>
      <c r="Y256">
        <v>1</v>
      </c>
      <c r="Z256">
        <v>9</v>
      </c>
      <c r="AA256">
        <v>9</v>
      </c>
      <c r="AB256" t="s">
        <v>2730</v>
      </c>
      <c r="AC256" t="s">
        <v>2730</v>
      </c>
      <c r="AD256" t="s">
        <v>2730</v>
      </c>
      <c r="AE256" t="s">
        <v>2730</v>
      </c>
      <c r="AF256" t="s">
        <v>2730</v>
      </c>
      <c r="AG256" t="s">
        <v>2730</v>
      </c>
      <c r="AH256" t="s">
        <v>2730</v>
      </c>
    </row>
    <row r="257" spans="1:34">
      <c r="A257" s="149" t="str">
        <f>HYPERLINK("http://www.ofsted.gov.uk/inspection-reports/find-inspection-report/provider/ELS/101386 ","Ofsted School Webpage")</f>
        <v>Ofsted School Webpage</v>
      </c>
      <c r="B257">
        <v>101386</v>
      </c>
      <c r="C257">
        <v>3026085</v>
      </c>
      <c r="D257" t="s">
        <v>1468</v>
      </c>
      <c r="E257" t="s">
        <v>38</v>
      </c>
      <c r="F257" t="s">
        <v>184</v>
      </c>
      <c r="G257" t="s">
        <v>318</v>
      </c>
      <c r="H257" t="s">
        <v>2729</v>
      </c>
      <c r="I257" t="s">
        <v>2730</v>
      </c>
      <c r="J257" t="s">
        <v>186</v>
      </c>
      <c r="K257" t="s">
        <v>232</v>
      </c>
      <c r="L257" t="s">
        <v>232</v>
      </c>
      <c r="M257" t="s">
        <v>311</v>
      </c>
      <c r="N257" t="s">
        <v>1469</v>
      </c>
      <c r="O257" t="s">
        <v>1470</v>
      </c>
      <c r="P257" s="120">
        <v>41696</v>
      </c>
      <c r="Q257" s="120">
        <v>41698</v>
      </c>
      <c r="R257" s="120">
        <v>41731</v>
      </c>
      <c r="S257" t="s">
        <v>196</v>
      </c>
      <c r="T257">
        <v>2</v>
      </c>
      <c r="U257" t="s">
        <v>2730</v>
      </c>
      <c r="V257">
        <v>2</v>
      </c>
      <c r="W257" t="s">
        <v>2730</v>
      </c>
      <c r="X257">
        <v>2</v>
      </c>
      <c r="Y257">
        <v>2</v>
      </c>
      <c r="Z257" t="s">
        <v>2730</v>
      </c>
      <c r="AA257" t="s">
        <v>2730</v>
      </c>
      <c r="AB257" t="s">
        <v>2730</v>
      </c>
      <c r="AC257" t="s">
        <v>2730</v>
      </c>
      <c r="AD257" t="s">
        <v>2730</v>
      </c>
      <c r="AE257" t="s">
        <v>2730</v>
      </c>
      <c r="AF257" t="s">
        <v>2730</v>
      </c>
      <c r="AG257" t="s">
        <v>2730</v>
      </c>
      <c r="AH257" t="s">
        <v>2730</v>
      </c>
    </row>
    <row r="258" spans="1:34">
      <c r="A258" s="149" t="str">
        <f>HYPERLINK("http://www.ofsted.gov.uk/inspection-reports/find-inspection-report/provider/ELS/120740 ","Ofsted School Webpage")</f>
        <v>Ofsted School Webpage</v>
      </c>
      <c r="B258">
        <v>120740</v>
      </c>
      <c r="C258">
        <v>9256034</v>
      </c>
      <c r="D258" t="s">
        <v>1471</v>
      </c>
      <c r="E258" t="s">
        <v>38</v>
      </c>
      <c r="F258" t="s">
        <v>184</v>
      </c>
      <c r="G258" t="s">
        <v>184</v>
      </c>
      <c r="H258" t="s">
        <v>2729</v>
      </c>
      <c r="I258" t="s">
        <v>2730</v>
      </c>
      <c r="J258" t="s">
        <v>186</v>
      </c>
      <c r="K258" t="s">
        <v>214</v>
      </c>
      <c r="L258" t="s">
        <v>214</v>
      </c>
      <c r="M258" t="s">
        <v>684</v>
      </c>
      <c r="N258" t="s">
        <v>1472</v>
      </c>
      <c r="O258">
        <v>10006047</v>
      </c>
      <c r="P258" s="120">
        <v>42536</v>
      </c>
      <c r="Q258" s="120">
        <v>42538</v>
      </c>
      <c r="R258" s="120">
        <v>42626</v>
      </c>
      <c r="S258" t="s">
        <v>3119</v>
      </c>
      <c r="T258">
        <v>1</v>
      </c>
      <c r="U258" t="s">
        <v>128</v>
      </c>
      <c r="V258">
        <v>1</v>
      </c>
      <c r="W258">
        <v>1</v>
      </c>
      <c r="X258">
        <v>1</v>
      </c>
      <c r="Y258">
        <v>1</v>
      </c>
      <c r="Z258" t="s">
        <v>2730</v>
      </c>
      <c r="AA258">
        <v>1</v>
      </c>
      <c r="AB258" t="s">
        <v>2732</v>
      </c>
      <c r="AC258" t="s">
        <v>2730</v>
      </c>
      <c r="AD258" t="s">
        <v>2730</v>
      </c>
      <c r="AE258" t="s">
        <v>2730</v>
      </c>
      <c r="AF258" t="s">
        <v>2730</v>
      </c>
      <c r="AG258" t="s">
        <v>2730</v>
      </c>
      <c r="AH258" t="s">
        <v>2730</v>
      </c>
    </row>
    <row r="259" spans="1:34">
      <c r="A259" s="149" t="str">
        <f>HYPERLINK("http://www.ofsted.gov.uk/inspection-reports/find-inspection-report/provider/ELS/135577 ","Ofsted School Webpage")</f>
        <v>Ofsted School Webpage</v>
      </c>
      <c r="B259">
        <v>135577</v>
      </c>
      <c r="C259">
        <v>9366593</v>
      </c>
      <c r="D259" t="s">
        <v>1471</v>
      </c>
      <c r="E259" t="s">
        <v>38</v>
      </c>
      <c r="F259" t="s">
        <v>184</v>
      </c>
      <c r="G259" t="s">
        <v>184</v>
      </c>
      <c r="H259" t="s">
        <v>2729</v>
      </c>
      <c r="I259" t="s">
        <v>2730</v>
      </c>
      <c r="J259" t="s">
        <v>186</v>
      </c>
      <c r="K259" t="s">
        <v>181</v>
      </c>
      <c r="L259" t="s">
        <v>181</v>
      </c>
      <c r="M259" t="s">
        <v>582</v>
      </c>
      <c r="N259" t="s">
        <v>1473</v>
      </c>
      <c r="O259">
        <v>10006049</v>
      </c>
      <c r="P259" s="120">
        <v>42647</v>
      </c>
      <c r="Q259" s="120">
        <v>42649</v>
      </c>
      <c r="R259" s="120">
        <v>42674</v>
      </c>
      <c r="S259" t="s">
        <v>3119</v>
      </c>
      <c r="T259">
        <v>2</v>
      </c>
      <c r="U259" t="s">
        <v>128</v>
      </c>
      <c r="V259">
        <v>2</v>
      </c>
      <c r="W259">
        <v>2</v>
      </c>
      <c r="X259">
        <v>2</v>
      </c>
      <c r="Y259">
        <v>2</v>
      </c>
      <c r="Z259" t="s">
        <v>2730</v>
      </c>
      <c r="AA259">
        <v>2</v>
      </c>
      <c r="AB259" t="s">
        <v>2732</v>
      </c>
      <c r="AC259" t="s">
        <v>2730</v>
      </c>
      <c r="AD259" t="s">
        <v>2730</v>
      </c>
      <c r="AE259" t="s">
        <v>2730</v>
      </c>
      <c r="AF259" t="s">
        <v>2730</v>
      </c>
      <c r="AG259" t="s">
        <v>2730</v>
      </c>
      <c r="AH259" t="s">
        <v>2730</v>
      </c>
    </row>
    <row r="260" spans="1:34">
      <c r="A260" s="149" t="str">
        <f>HYPERLINK("http://www.ofsted.gov.uk/inspection-reports/find-inspection-report/provider/ELS/103588 ","Ofsted School Webpage")</f>
        <v>Ofsted School Webpage</v>
      </c>
      <c r="B260">
        <v>103588</v>
      </c>
      <c r="C260">
        <v>3306080</v>
      </c>
      <c r="D260" t="s">
        <v>909</v>
      </c>
      <c r="E260" t="s">
        <v>38</v>
      </c>
      <c r="F260" t="s">
        <v>184</v>
      </c>
      <c r="G260" t="s">
        <v>184</v>
      </c>
      <c r="H260" t="s">
        <v>2729</v>
      </c>
      <c r="I260" t="s">
        <v>2730</v>
      </c>
      <c r="J260" t="s">
        <v>186</v>
      </c>
      <c r="K260" t="s">
        <v>193</v>
      </c>
      <c r="L260" t="s">
        <v>193</v>
      </c>
      <c r="M260" t="s">
        <v>210</v>
      </c>
      <c r="N260" t="s">
        <v>910</v>
      </c>
      <c r="O260">
        <v>10012864</v>
      </c>
      <c r="P260" s="120">
        <v>42514</v>
      </c>
      <c r="Q260" s="120">
        <v>42516</v>
      </c>
      <c r="R260" s="120">
        <v>42569</v>
      </c>
      <c r="S260" t="s">
        <v>196</v>
      </c>
      <c r="T260">
        <v>1</v>
      </c>
      <c r="U260" t="s">
        <v>128</v>
      </c>
      <c r="V260">
        <v>1</v>
      </c>
      <c r="W260">
        <v>1</v>
      </c>
      <c r="X260">
        <v>1</v>
      </c>
      <c r="Y260">
        <v>1</v>
      </c>
      <c r="Z260">
        <v>1</v>
      </c>
      <c r="AA260" t="s">
        <v>2730</v>
      </c>
      <c r="AB260" t="s">
        <v>2732</v>
      </c>
      <c r="AC260" t="s">
        <v>2730</v>
      </c>
      <c r="AD260" t="s">
        <v>2730</v>
      </c>
      <c r="AE260" t="s">
        <v>2730</v>
      </c>
      <c r="AF260" t="s">
        <v>2730</v>
      </c>
      <c r="AG260" t="s">
        <v>2730</v>
      </c>
      <c r="AH260" t="s">
        <v>2730</v>
      </c>
    </row>
    <row r="261" spans="1:34">
      <c r="A261" s="149" t="str">
        <f>HYPERLINK("http://www.ofsted.gov.uk/inspection-reports/find-inspection-report/provider/ELS/134395 ","Ofsted School Webpage")</f>
        <v>Ofsted School Webpage</v>
      </c>
      <c r="B261">
        <v>134395</v>
      </c>
      <c r="C261">
        <v>8306027</v>
      </c>
      <c r="D261" t="s">
        <v>1415</v>
      </c>
      <c r="E261" t="s">
        <v>38</v>
      </c>
      <c r="F261" t="s">
        <v>184</v>
      </c>
      <c r="G261" t="s">
        <v>184</v>
      </c>
      <c r="H261" t="s">
        <v>2729</v>
      </c>
      <c r="I261" t="s">
        <v>2730</v>
      </c>
      <c r="J261" t="s">
        <v>186</v>
      </c>
      <c r="K261" t="s">
        <v>214</v>
      </c>
      <c r="L261" t="s">
        <v>214</v>
      </c>
      <c r="M261" t="s">
        <v>364</v>
      </c>
      <c r="N261" t="s">
        <v>1416</v>
      </c>
      <c r="O261">
        <v>10006102</v>
      </c>
      <c r="P261" s="120">
        <v>42899</v>
      </c>
      <c r="Q261" s="120">
        <v>42900</v>
      </c>
      <c r="R261" s="120">
        <v>42923</v>
      </c>
      <c r="S261" t="s">
        <v>196</v>
      </c>
      <c r="T261">
        <v>3</v>
      </c>
      <c r="U261" t="s">
        <v>128</v>
      </c>
      <c r="V261">
        <v>3</v>
      </c>
      <c r="W261">
        <v>2</v>
      </c>
      <c r="X261">
        <v>3</v>
      </c>
      <c r="Y261">
        <v>2</v>
      </c>
      <c r="Z261" t="s">
        <v>2730</v>
      </c>
      <c r="AA261" t="s">
        <v>2730</v>
      </c>
      <c r="AB261" t="s">
        <v>2733</v>
      </c>
      <c r="AC261" t="s">
        <v>2730</v>
      </c>
      <c r="AD261" t="s">
        <v>2730</v>
      </c>
      <c r="AE261" t="s">
        <v>2730</v>
      </c>
      <c r="AF261" t="s">
        <v>2730</v>
      </c>
      <c r="AG261" t="s">
        <v>2730</v>
      </c>
      <c r="AH261" t="s">
        <v>2730</v>
      </c>
    </row>
    <row r="262" spans="1:34">
      <c r="A262" s="149" t="str">
        <f>HYPERLINK("http://www.ofsted.gov.uk/inspection-reports/find-inspection-report/provider/ELS/137279 ","Ofsted School Webpage")</f>
        <v>Ofsted School Webpage</v>
      </c>
      <c r="B262">
        <v>137279</v>
      </c>
      <c r="C262">
        <v>8506089</v>
      </c>
      <c r="D262" t="s">
        <v>200</v>
      </c>
      <c r="E262" t="s">
        <v>38</v>
      </c>
      <c r="F262" t="s">
        <v>184</v>
      </c>
      <c r="G262" t="s">
        <v>184</v>
      </c>
      <c r="H262" t="s">
        <v>2729</v>
      </c>
      <c r="I262" t="s">
        <v>2730</v>
      </c>
      <c r="J262" t="s">
        <v>186</v>
      </c>
      <c r="K262" t="s">
        <v>181</v>
      </c>
      <c r="L262" t="s">
        <v>181</v>
      </c>
      <c r="M262" t="s">
        <v>201</v>
      </c>
      <c r="N262" t="s">
        <v>202</v>
      </c>
      <c r="O262">
        <v>10008605</v>
      </c>
      <c r="P262" s="120">
        <v>43004</v>
      </c>
      <c r="Q262" s="120">
        <v>43006</v>
      </c>
      <c r="R262" s="120">
        <v>43045</v>
      </c>
      <c r="S262" t="s">
        <v>196</v>
      </c>
      <c r="T262">
        <v>1</v>
      </c>
      <c r="U262" t="s">
        <v>128</v>
      </c>
      <c r="V262">
        <v>1</v>
      </c>
      <c r="W262">
        <v>1</v>
      </c>
      <c r="X262">
        <v>1</v>
      </c>
      <c r="Y262">
        <v>1</v>
      </c>
      <c r="Z262" t="s">
        <v>2730</v>
      </c>
      <c r="AA262" t="s">
        <v>2730</v>
      </c>
      <c r="AB262" t="s">
        <v>2732</v>
      </c>
      <c r="AC262" t="s">
        <v>2730</v>
      </c>
      <c r="AD262" t="s">
        <v>2730</v>
      </c>
      <c r="AE262" t="s">
        <v>2730</v>
      </c>
      <c r="AF262" t="s">
        <v>2730</v>
      </c>
      <c r="AG262" t="s">
        <v>2730</v>
      </c>
      <c r="AH262" t="s">
        <v>2730</v>
      </c>
    </row>
    <row r="263" spans="1:34">
      <c r="A263" s="149" t="str">
        <f>HYPERLINK("http://www.ofsted.gov.uk/inspection-reports/find-inspection-report/provider/ELS/131016 ","Ofsted School Webpage")</f>
        <v>Ofsted School Webpage</v>
      </c>
      <c r="B263">
        <v>131016</v>
      </c>
      <c r="C263">
        <v>9336195</v>
      </c>
      <c r="D263" t="s">
        <v>1417</v>
      </c>
      <c r="E263" t="s">
        <v>38</v>
      </c>
      <c r="F263" t="s">
        <v>184</v>
      </c>
      <c r="G263" t="s">
        <v>184</v>
      </c>
      <c r="H263" t="s">
        <v>2729</v>
      </c>
      <c r="I263" t="s">
        <v>2730</v>
      </c>
      <c r="J263" t="s">
        <v>186</v>
      </c>
      <c r="K263" t="s">
        <v>225</v>
      </c>
      <c r="L263" t="s">
        <v>225</v>
      </c>
      <c r="M263" t="s">
        <v>262</v>
      </c>
      <c r="N263" t="s">
        <v>1418</v>
      </c>
      <c r="O263">
        <v>10006135</v>
      </c>
      <c r="P263" s="120">
        <v>42332</v>
      </c>
      <c r="Q263" s="120">
        <v>42334</v>
      </c>
      <c r="R263" s="120">
        <v>42404</v>
      </c>
      <c r="S263" t="s">
        <v>196</v>
      </c>
      <c r="T263">
        <v>2</v>
      </c>
      <c r="U263" t="s">
        <v>128</v>
      </c>
      <c r="V263">
        <v>2</v>
      </c>
      <c r="W263">
        <v>2</v>
      </c>
      <c r="X263">
        <v>2</v>
      </c>
      <c r="Y263">
        <v>2</v>
      </c>
      <c r="Z263" t="s">
        <v>2730</v>
      </c>
      <c r="AA263">
        <v>1</v>
      </c>
      <c r="AB263" t="s">
        <v>2732</v>
      </c>
      <c r="AC263" t="s">
        <v>2730</v>
      </c>
      <c r="AD263" t="s">
        <v>2730</v>
      </c>
      <c r="AE263" t="s">
        <v>2730</v>
      </c>
      <c r="AF263" t="s">
        <v>2730</v>
      </c>
      <c r="AG263" t="s">
        <v>2730</v>
      </c>
      <c r="AH263" t="s">
        <v>2730</v>
      </c>
    </row>
    <row r="264" spans="1:34">
      <c r="A264" s="149" t="str">
        <f>HYPERLINK("http://www.ofsted.gov.uk/inspection-reports/find-inspection-report/provider/ELS/123621 ","Ofsted School Webpage")</f>
        <v>Ofsted School Webpage</v>
      </c>
      <c r="B264">
        <v>123621</v>
      </c>
      <c r="C264">
        <v>8946003</v>
      </c>
      <c r="D264" t="s">
        <v>1105</v>
      </c>
      <c r="E264" t="s">
        <v>38</v>
      </c>
      <c r="F264" t="s">
        <v>184</v>
      </c>
      <c r="G264" t="s">
        <v>184</v>
      </c>
      <c r="H264" t="s">
        <v>2729</v>
      </c>
      <c r="I264" t="s">
        <v>2730</v>
      </c>
      <c r="J264" t="s">
        <v>186</v>
      </c>
      <c r="K264" t="s">
        <v>193</v>
      </c>
      <c r="L264" t="s">
        <v>193</v>
      </c>
      <c r="M264" t="s">
        <v>1106</v>
      </c>
      <c r="N264" t="s">
        <v>1107</v>
      </c>
      <c r="O264">
        <v>10006120</v>
      </c>
      <c r="P264" s="120">
        <v>42340</v>
      </c>
      <c r="Q264" s="120">
        <v>42342</v>
      </c>
      <c r="R264" s="120">
        <v>42390</v>
      </c>
      <c r="S264" t="s">
        <v>3119</v>
      </c>
      <c r="T264">
        <v>1</v>
      </c>
      <c r="U264" t="s">
        <v>128</v>
      </c>
      <c r="V264">
        <v>1</v>
      </c>
      <c r="W264">
        <v>1</v>
      </c>
      <c r="X264">
        <v>1</v>
      </c>
      <c r="Y264">
        <v>1</v>
      </c>
      <c r="Z264" t="s">
        <v>2730</v>
      </c>
      <c r="AA264">
        <v>1</v>
      </c>
      <c r="AB264" t="s">
        <v>2732</v>
      </c>
      <c r="AC264" t="s">
        <v>2730</v>
      </c>
      <c r="AD264" t="s">
        <v>2730</v>
      </c>
      <c r="AE264" s="120" t="s">
        <v>2730</v>
      </c>
      <c r="AF264" t="s">
        <v>2730</v>
      </c>
      <c r="AG264" s="120" t="s">
        <v>2730</v>
      </c>
      <c r="AH264" t="s">
        <v>2730</v>
      </c>
    </row>
    <row r="265" spans="1:34">
      <c r="A265" s="149" t="str">
        <f>HYPERLINK("http://www.ofsted.gov.uk/inspection-reports/find-inspection-report/provider/ELS/114660 ","Ofsted School Webpage")</f>
        <v>Ofsted School Webpage</v>
      </c>
      <c r="B265">
        <v>114660</v>
      </c>
      <c r="C265">
        <v>8456007</v>
      </c>
      <c r="D265" t="s">
        <v>1108</v>
      </c>
      <c r="E265" t="s">
        <v>38</v>
      </c>
      <c r="F265" t="s">
        <v>212</v>
      </c>
      <c r="G265" t="s">
        <v>212</v>
      </c>
      <c r="H265" t="s">
        <v>2729</v>
      </c>
      <c r="I265" t="s">
        <v>2730</v>
      </c>
      <c r="J265" t="s">
        <v>186</v>
      </c>
      <c r="K265" t="s">
        <v>181</v>
      </c>
      <c r="L265" t="s">
        <v>181</v>
      </c>
      <c r="M265" t="s">
        <v>438</v>
      </c>
      <c r="N265" t="s">
        <v>1109</v>
      </c>
      <c r="O265">
        <v>10008896</v>
      </c>
      <c r="P265" s="120">
        <v>42395</v>
      </c>
      <c r="Q265" s="120">
        <v>42397</v>
      </c>
      <c r="R265" s="120">
        <v>42425</v>
      </c>
      <c r="S265" t="s">
        <v>196</v>
      </c>
      <c r="T265">
        <v>2</v>
      </c>
      <c r="U265" t="s">
        <v>128</v>
      </c>
      <c r="V265">
        <v>2</v>
      </c>
      <c r="W265">
        <v>1</v>
      </c>
      <c r="X265">
        <v>2</v>
      </c>
      <c r="Y265">
        <v>2</v>
      </c>
      <c r="Z265" t="s">
        <v>2730</v>
      </c>
      <c r="AA265">
        <v>2</v>
      </c>
      <c r="AB265" t="s">
        <v>2732</v>
      </c>
      <c r="AC265" t="s">
        <v>2730</v>
      </c>
      <c r="AD265" t="s">
        <v>2730</v>
      </c>
      <c r="AE265" t="s">
        <v>2730</v>
      </c>
      <c r="AF265" t="s">
        <v>2730</v>
      </c>
      <c r="AG265" t="s">
        <v>2730</v>
      </c>
      <c r="AH265" t="s">
        <v>2730</v>
      </c>
    </row>
    <row r="266" spans="1:34">
      <c r="A266" s="149" t="str">
        <f>HYPERLINK("http://www.ofsted.gov.uk/inspection-reports/find-inspection-report/provider/ELS/136245 ","Ofsted School Webpage")</f>
        <v>Ofsted School Webpage</v>
      </c>
      <c r="B266">
        <v>136245</v>
      </c>
      <c r="C266">
        <v>8606443</v>
      </c>
      <c r="D266" t="s">
        <v>1110</v>
      </c>
      <c r="E266" t="s">
        <v>38</v>
      </c>
      <c r="F266" t="s">
        <v>184</v>
      </c>
      <c r="G266" t="s">
        <v>184</v>
      </c>
      <c r="H266" t="s">
        <v>2729</v>
      </c>
      <c r="I266" t="s">
        <v>2730</v>
      </c>
      <c r="J266" t="s">
        <v>186</v>
      </c>
      <c r="K266" t="s">
        <v>193</v>
      </c>
      <c r="L266" t="s">
        <v>193</v>
      </c>
      <c r="M266" t="s">
        <v>314</v>
      </c>
      <c r="N266" t="s">
        <v>1111</v>
      </c>
      <c r="O266" t="s">
        <v>1112</v>
      </c>
      <c r="P266" s="120">
        <v>42066</v>
      </c>
      <c r="Q266" s="120">
        <v>42068</v>
      </c>
      <c r="R266" s="120">
        <v>42090</v>
      </c>
      <c r="S266" t="s">
        <v>196</v>
      </c>
      <c r="T266">
        <v>2</v>
      </c>
      <c r="U266" t="s">
        <v>2730</v>
      </c>
      <c r="V266">
        <v>2</v>
      </c>
      <c r="W266" t="s">
        <v>2730</v>
      </c>
      <c r="X266">
        <v>2</v>
      </c>
      <c r="Y266">
        <v>2</v>
      </c>
      <c r="Z266">
        <v>9</v>
      </c>
      <c r="AA266">
        <v>9</v>
      </c>
      <c r="AB266" t="s">
        <v>2730</v>
      </c>
      <c r="AC266" t="s">
        <v>2730</v>
      </c>
      <c r="AD266" t="s">
        <v>2730</v>
      </c>
      <c r="AE266" s="120" t="s">
        <v>2730</v>
      </c>
      <c r="AF266" t="s">
        <v>2730</v>
      </c>
      <c r="AG266" s="120" t="s">
        <v>2730</v>
      </c>
      <c r="AH266" t="s">
        <v>2730</v>
      </c>
    </row>
    <row r="267" spans="1:34">
      <c r="A267" s="149" t="str">
        <f>HYPERLINK("http://www.ofsted.gov.uk/inspection-reports/find-inspection-report/provider/ELS/135407 ","Ofsted School Webpage")</f>
        <v>Ofsted School Webpage</v>
      </c>
      <c r="B267">
        <v>135407</v>
      </c>
      <c r="C267">
        <v>9366590</v>
      </c>
      <c r="D267" t="s">
        <v>1113</v>
      </c>
      <c r="E267" t="s">
        <v>38</v>
      </c>
      <c r="F267" t="s">
        <v>184</v>
      </c>
      <c r="G267" t="s">
        <v>184</v>
      </c>
      <c r="H267" t="s">
        <v>2729</v>
      </c>
      <c r="I267" t="s">
        <v>2730</v>
      </c>
      <c r="J267" t="s">
        <v>186</v>
      </c>
      <c r="K267" t="s">
        <v>181</v>
      </c>
      <c r="L267" t="s">
        <v>181</v>
      </c>
      <c r="M267" t="s">
        <v>582</v>
      </c>
      <c r="N267" t="s">
        <v>1114</v>
      </c>
      <c r="O267" t="s">
        <v>1115</v>
      </c>
      <c r="P267" s="120">
        <v>42136</v>
      </c>
      <c r="Q267" s="120">
        <v>42138</v>
      </c>
      <c r="R267" s="120">
        <v>42174</v>
      </c>
      <c r="S267" t="s">
        <v>196</v>
      </c>
      <c r="T267">
        <v>2</v>
      </c>
      <c r="U267" t="s">
        <v>2730</v>
      </c>
      <c r="V267">
        <v>2</v>
      </c>
      <c r="W267" t="s">
        <v>2730</v>
      </c>
      <c r="X267">
        <v>2</v>
      </c>
      <c r="Y267">
        <v>2</v>
      </c>
      <c r="Z267">
        <v>9</v>
      </c>
      <c r="AA267">
        <v>2</v>
      </c>
      <c r="AB267" t="s">
        <v>2730</v>
      </c>
      <c r="AC267" t="s">
        <v>2730</v>
      </c>
      <c r="AD267" t="s">
        <v>2730</v>
      </c>
      <c r="AE267" t="s">
        <v>2730</v>
      </c>
      <c r="AF267" t="s">
        <v>2730</v>
      </c>
      <c r="AG267" t="s">
        <v>2730</v>
      </c>
      <c r="AH267" t="s">
        <v>2730</v>
      </c>
    </row>
    <row r="268" spans="1:34">
      <c r="A268" s="149" t="str">
        <f>HYPERLINK("http://www.ofsted.gov.uk/inspection-reports/find-inspection-report/provider/ELS/124495 ","Ofsted School Webpage")</f>
        <v>Ofsted School Webpage</v>
      </c>
      <c r="B268">
        <v>124495</v>
      </c>
      <c r="C268">
        <v>8606017</v>
      </c>
      <c r="D268" t="s">
        <v>1841</v>
      </c>
      <c r="E268" t="s">
        <v>38</v>
      </c>
      <c r="F268" t="s">
        <v>184</v>
      </c>
      <c r="G268" t="s">
        <v>184</v>
      </c>
      <c r="H268" t="s">
        <v>2729</v>
      </c>
      <c r="I268" t="s">
        <v>2730</v>
      </c>
      <c r="J268" t="s">
        <v>186</v>
      </c>
      <c r="K268" t="s">
        <v>193</v>
      </c>
      <c r="L268" t="s">
        <v>193</v>
      </c>
      <c r="M268" t="s">
        <v>314</v>
      </c>
      <c r="N268" t="s">
        <v>1842</v>
      </c>
      <c r="O268" t="s">
        <v>1843</v>
      </c>
      <c r="P268" s="120">
        <v>41555</v>
      </c>
      <c r="Q268" s="120">
        <v>41557</v>
      </c>
      <c r="R268" s="120">
        <v>41599</v>
      </c>
      <c r="S268" t="s">
        <v>267</v>
      </c>
      <c r="T268">
        <v>1</v>
      </c>
      <c r="U268" t="s">
        <v>2730</v>
      </c>
      <c r="V268">
        <v>2</v>
      </c>
      <c r="W268" t="s">
        <v>2730</v>
      </c>
      <c r="X268">
        <v>1</v>
      </c>
      <c r="Y268">
        <v>1</v>
      </c>
      <c r="Z268" t="s">
        <v>2730</v>
      </c>
      <c r="AA268" t="s">
        <v>2730</v>
      </c>
      <c r="AB268" t="s">
        <v>2730</v>
      </c>
      <c r="AC268" t="s">
        <v>2730</v>
      </c>
      <c r="AD268" t="s">
        <v>2730</v>
      </c>
      <c r="AE268" t="s">
        <v>2730</v>
      </c>
      <c r="AF268" t="s">
        <v>2730</v>
      </c>
      <c r="AG268" t="s">
        <v>2730</v>
      </c>
      <c r="AH268" t="s">
        <v>2730</v>
      </c>
    </row>
    <row r="269" spans="1:34">
      <c r="A269" s="149" t="str">
        <f>HYPERLINK("http://www.ofsted.gov.uk/inspection-reports/find-inspection-report/provider/ELS/135092 ","Ofsted School Webpage")</f>
        <v>Ofsted School Webpage</v>
      </c>
      <c r="B269">
        <v>135092</v>
      </c>
      <c r="C269">
        <v>8886095</v>
      </c>
      <c r="D269" t="s">
        <v>1564</v>
      </c>
      <c r="E269" t="s">
        <v>38</v>
      </c>
      <c r="F269" t="s">
        <v>184</v>
      </c>
      <c r="G269" t="s">
        <v>184</v>
      </c>
      <c r="H269" t="s">
        <v>2729</v>
      </c>
      <c r="I269" t="s">
        <v>2730</v>
      </c>
      <c r="J269" t="s">
        <v>186</v>
      </c>
      <c r="K269" t="s">
        <v>205</v>
      </c>
      <c r="L269" t="s">
        <v>205</v>
      </c>
      <c r="M269" t="s">
        <v>206</v>
      </c>
      <c r="N269" t="s">
        <v>1565</v>
      </c>
      <c r="O269">
        <v>10020813</v>
      </c>
      <c r="P269" s="120">
        <v>42710</v>
      </c>
      <c r="Q269" s="120">
        <v>42712</v>
      </c>
      <c r="R269" s="120">
        <v>42746</v>
      </c>
      <c r="S269" t="s">
        <v>196</v>
      </c>
      <c r="T269">
        <v>2</v>
      </c>
      <c r="U269" t="s">
        <v>128</v>
      </c>
      <c r="V269">
        <v>2</v>
      </c>
      <c r="W269">
        <v>1</v>
      </c>
      <c r="X269">
        <v>2</v>
      </c>
      <c r="Y269">
        <v>2</v>
      </c>
      <c r="Z269" t="s">
        <v>2730</v>
      </c>
      <c r="AA269">
        <v>2</v>
      </c>
      <c r="AB269" t="s">
        <v>2732</v>
      </c>
      <c r="AC269" t="s">
        <v>2730</v>
      </c>
      <c r="AD269" t="s">
        <v>2730</v>
      </c>
      <c r="AE269" t="s">
        <v>2730</v>
      </c>
      <c r="AF269" t="s">
        <v>2730</v>
      </c>
      <c r="AG269" t="s">
        <v>2730</v>
      </c>
      <c r="AH269" t="s">
        <v>2730</v>
      </c>
    </row>
    <row r="270" spans="1:34">
      <c r="A270" s="149" t="str">
        <f>HYPERLINK("http://www.ofsted.gov.uk/inspection-reports/find-inspection-report/provider/ELS/119845 ","Ofsted School Webpage")</f>
        <v>Ofsted School Webpage</v>
      </c>
      <c r="B270">
        <v>119845</v>
      </c>
      <c r="C270">
        <v>8886020</v>
      </c>
      <c r="D270" t="s">
        <v>274</v>
      </c>
      <c r="E270" t="s">
        <v>38</v>
      </c>
      <c r="F270" t="s">
        <v>184</v>
      </c>
      <c r="G270" t="s">
        <v>184</v>
      </c>
      <c r="H270" t="s">
        <v>2729</v>
      </c>
      <c r="I270" t="s">
        <v>2730</v>
      </c>
      <c r="J270" t="s">
        <v>186</v>
      </c>
      <c r="K270" t="s">
        <v>205</v>
      </c>
      <c r="L270" t="s">
        <v>205</v>
      </c>
      <c r="M270" t="s">
        <v>206</v>
      </c>
      <c r="N270" t="s">
        <v>275</v>
      </c>
      <c r="O270">
        <v>10038838</v>
      </c>
      <c r="P270" s="120">
        <v>43018</v>
      </c>
      <c r="Q270" s="120">
        <v>43020</v>
      </c>
      <c r="R270" s="120">
        <v>43068</v>
      </c>
      <c r="S270" t="s">
        <v>267</v>
      </c>
      <c r="T270">
        <v>1</v>
      </c>
      <c r="U270" t="s">
        <v>128</v>
      </c>
      <c r="V270">
        <v>1</v>
      </c>
      <c r="W270">
        <v>1</v>
      </c>
      <c r="X270">
        <v>1</v>
      </c>
      <c r="Y270">
        <v>1</v>
      </c>
      <c r="Z270" t="s">
        <v>2730</v>
      </c>
      <c r="AA270">
        <v>1</v>
      </c>
      <c r="AB270" t="s">
        <v>2732</v>
      </c>
      <c r="AC270" t="s">
        <v>2730</v>
      </c>
      <c r="AD270" t="s">
        <v>2730</v>
      </c>
      <c r="AE270" t="s">
        <v>2730</v>
      </c>
      <c r="AF270" t="s">
        <v>2730</v>
      </c>
      <c r="AG270" t="s">
        <v>2730</v>
      </c>
      <c r="AH270" t="s">
        <v>2730</v>
      </c>
    </row>
    <row r="271" spans="1:34">
      <c r="A271" s="149" t="str">
        <f>HYPERLINK("http://www.ofsted.gov.uk/inspection-reports/find-inspection-report/provider/ELS/117042 ","Ofsted School Webpage")</f>
        <v>Ofsted School Webpage</v>
      </c>
      <c r="B271">
        <v>117042</v>
      </c>
      <c r="C271">
        <v>8846006</v>
      </c>
      <c r="D271" t="s">
        <v>1566</v>
      </c>
      <c r="E271" t="s">
        <v>38</v>
      </c>
      <c r="F271" t="s">
        <v>184</v>
      </c>
      <c r="G271" t="s">
        <v>184</v>
      </c>
      <c r="H271" t="s">
        <v>2729</v>
      </c>
      <c r="I271" t="s">
        <v>2730</v>
      </c>
      <c r="J271" t="s">
        <v>186</v>
      </c>
      <c r="K271" t="s">
        <v>193</v>
      </c>
      <c r="L271" t="s">
        <v>193</v>
      </c>
      <c r="M271" t="s">
        <v>1077</v>
      </c>
      <c r="N271" t="s">
        <v>1567</v>
      </c>
      <c r="O271" t="s">
        <v>3034</v>
      </c>
      <c r="P271" s="120">
        <v>41919</v>
      </c>
      <c r="Q271" s="120">
        <v>41921</v>
      </c>
      <c r="R271" s="120">
        <v>41955</v>
      </c>
      <c r="S271" t="s">
        <v>3119</v>
      </c>
      <c r="T271">
        <v>2</v>
      </c>
      <c r="U271" t="s">
        <v>2730</v>
      </c>
      <c r="V271">
        <v>2</v>
      </c>
      <c r="W271" t="s">
        <v>2730</v>
      </c>
      <c r="X271">
        <v>2</v>
      </c>
      <c r="Y271">
        <v>2</v>
      </c>
      <c r="Z271">
        <v>9</v>
      </c>
      <c r="AA271">
        <v>2</v>
      </c>
      <c r="AB271" t="s">
        <v>2730</v>
      </c>
      <c r="AC271" t="s">
        <v>2730</v>
      </c>
      <c r="AD271" t="s">
        <v>2730</v>
      </c>
      <c r="AE271" s="120" t="s">
        <v>2730</v>
      </c>
      <c r="AF271" t="s">
        <v>2730</v>
      </c>
      <c r="AG271" s="120" t="s">
        <v>2730</v>
      </c>
      <c r="AH271" t="s">
        <v>2730</v>
      </c>
    </row>
    <row r="272" spans="1:34">
      <c r="A272" s="149" t="str">
        <f>HYPERLINK("http://www.ofsted.gov.uk/inspection-reports/find-inspection-report/provider/ELS/141007 ","Ofsted School Webpage")</f>
        <v>Ofsted School Webpage</v>
      </c>
      <c r="B272">
        <v>141007</v>
      </c>
      <c r="C272">
        <v>9376011</v>
      </c>
      <c r="D272" t="s">
        <v>1367</v>
      </c>
      <c r="E272" t="s">
        <v>38</v>
      </c>
      <c r="F272" t="s">
        <v>184</v>
      </c>
      <c r="G272" t="s">
        <v>184</v>
      </c>
      <c r="H272" t="s">
        <v>2729</v>
      </c>
      <c r="I272" t="s">
        <v>2730</v>
      </c>
      <c r="J272" t="s">
        <v>186</v>
      </c>
      <c r="K272" t="s">
        <v>193</v>
      </c>
      <c r="L272" t="s">
        <v>193</v>
      </c>
      <c r="M272" t="s">
        <v>377</v>
      </c>
      <c r="N272" t="s">
        <v>1368</v>
      </c>
      <c r="O272" t="s">
        <v>1369</v>
      </c>
      <c r="P272" s="120">
        <v>42158</v>
      </c>
      <c r="Q272" s="120">
        <v>42160</v>
      </c>
      <c r="R272" s="120">
        <v>42195</v>
      </c>
      <c r="S272" t="s">
        <v>249</v>
      </c>
      <c r="T272">
        <v>2</v>
      </c>
      <c r="U272" t="s">
        <v>2730</v>
      </c>
      <c r="V272">
        <v>2</v>
      </c>
      <c r="W272" t="s">
        <v>2730</v>
      </c>
      <c r="X272">
        <v>2</v>
      </c>
      <c r="Y272">
        <v>2</v>
      </c>
      <c r="Z272">
        <v>9</v>
      </c>
      <c r="AA272">
        <v>9</v>
      </c>
      <c r="AB272" t="s">
        <v>2730</v>
      </c>
      <c r="AC272" t="s">
        <v>2730</v>
      </c>
      <c r="AD272" t="s">
        <v>2730</v>
      </c>
      <c r="AE272" t="s">
        <v>2730</v>
      </c>
      <c r="AF272" t="s">
        <v>2730</v>
      </c>
      <c r="AG272" t="s">
        <v>2730</v>
      </c>
      <c r="AH272" t="s">
        <v>2730</v>
      </c>
    </row>
    <row r="273" spans="1:34">
      <c r="A273" s="149" t="str">
        <f>HYPERLINK("http://www.ofsted.gov.uk/inspection-reports/find-inspection-report/provider/ELS/135187 ","Ofsted School Webpage")</f>
        <v>Ofsted School Webpage</v>
      </c>
      <c r="B273">
        <v>135187</v>
      </c>
      <c r="C273">
        <v>8306034</v>
      </c>
      <c r="D273" t="s">
        <v>1136</v>
      </c>
      <c r="E273" t="s">
        <v>38</v>
      </c>
      <c r="F273" t="s">
        <v>184</v>
      </c>
      <c r="G273" t="s">
        <v>184</v>
      </c>
      <c r="H273" t="s">
        <v>2729</v>
      </c>
      <c r="I273" t="s">
        <v>2730</v>
      </c>
      <c r="J273" t="s">
        <v>186</v>
      </c>
      <c r="K273" t="s">
        <v>214</v>
      </c>
      <c r="L273" t="s">
        <v>214</v>
      </c>
      <c r="M273" t="s">
        <v>364</v>
      </c>
      <c r="N273" t="s">
        <v>1137</v>
      </c>
      <c r="O273">
        <v>10020753</v>
      </c>
      <c r="P273" s="120">
        <v>42661</v>
      </c>
      <c r="Q273" s="120">
        <v>42663</v>
      </c>
      <c r="R273" s="120">
        <v>42697</v>
      </c>
      <c r="S273" t="s">
        <v>3119</v>
      </c>
      <c r="T273">
        <v>2</v>
      </c>
      <c r="U273" t="s">
        <v>128</v>
      </c>
      <c r="V273">
        <v>2</v>
      </c>
      <c r="W273">
        <v>2</v>
      </c>
      <c r="X273">
        <v>2</v>
      </c>
      <c r="Y273">
        <v>2</v>
      </c>
      <c r="Z273" t="s">
        <v>2730</v>
      </c>
      <c r="AA273" t="s">
        <v>2730</v>
      </c>
      <c r="AB273" t="s">
        <v>2732</v>
      </c>
      <c r="AC273" t="s">
        <v>2730</v>
      </c>
      <c r="AD273" t="s">
        <v>2730</v>
      </c>
      <c r="AE273" t="s">
        <v>2730</v>
      </c>
      <c r="AF273" t="s">
        <v>2730</v>
      </c>
      <c r="AG273" t="s">
        <v>2730</v>
      </c>
      <c r="AH273" t="s">
        <v>2730</v>
      </c>
    </row>
    <row r="274" spans="1:34">
      <c r="A274" s="149" t="str">
        <f>HYPERLINK("http://www.ofsted.gov.uk/inspection-reports/find-inspection-report/provider/ELS/139559 ","Ofsted School Webpage")</f>
        <v>Ofsted School Webpage</v>
      </c>
      <c r="B274">
        <v>139559</v>
      </c>
      <c r="C274">
        <v>8556042</v>
      </c>
      <c r="D274" t="s">
        <v>1138</v>
      </c>
      <c r="E274" t="s">
        <v>38</v>
      </c>
      <c r="F274" t="s">
        <v>184</v>
      </c>
      <c r="G274" t="s">
        <v>184</v>
      </c>
      <c r="H274" t="s">
        <v>2729</v>
      </c>
      <c r="I274" t="s">
        <v>2730</v>
      </c>
      <c r="J274" t="s">
        <v>186</v>
      </c>
      <c r="K274" t="s">
        <v>214</v>
      </c>
      <c r="L274" t="s">
        <v>214</v>
      </c>
      <c r="M274" t="s">
        <v>281</v>
      </c>
      <c r="N274" t="s">
        <v>1139</v>
      </c>
      <c r="O274" t="s">
        <v>1140</v>
      </c>
      <c r="P274" s="120">
        <v>41653</v>
      </c>
      <c r="Q274" s="120">
        <v>41655</v>
      </c>
      <c r="R274" s="120">
        <v>41675</v>
      </c>
      <c r="S274" t="s">
        <v>249</v>
      </c>
      <c r="T274">
        <v>2</v>
      </c>
      <c r="U274" t="s">
        <v>2730</v>
      </c>
      <c r="V274">
        <v>2</v>
      </c>
      <c r="W274" t="s">
        <v>2730</v>
      </c>
      <c r="X274">
        <v>2</v>
      </c>
      <c r="Y274">
        <v>2</v>
      </c>
      <c r="Z274" t="s">
        <v>2730</v>
      </c>
      <c r="AA274" t="s">
        <v>2730</v>
      </c>
      <c r="AB274" t="s">
        <v>2730</v>
      </c>
      <c r="AC274" t="s">
        <v>2730</v>
      </c>
      <c r="AD274" t="s">
        <v>2730</v>
      </c>
      <c r="AE274" t="s">
        <v>2730</v>
      </c>
      <c r="AF274" t="s">
        <v>2730</v>
      </c>
      <c r="AG274" t="s">
        <v>2730</v>
      </c>
      <c r="AH274" t="s">
        <v>2730</v>
      </c>
    </row>
    <row r="275" spans="1:34">
      <c r="A275" s="149" t="str">
        <f>HYPERLINK("http://www.ofsted.gov.uk/inspection-reports/find-inspection-report/provider/ELS/106162 ","Ofsted School Webpage")</f>
        <v>Ofsted School Webpage</v>
      </c>
      <c r="B275">
        <v>106162</v>
      </c>
      <c r="C275">
        <v>3566025</v>
      </c>
      <c r="D275" t="s">
        <v>1141</v>
      </c>
      <c r="E275" t="s">
        <v>38</v>
      </c>
      <c r="F275" t="s">
        <v>184</v>
      </c>
      <c r="G275" t="s">
        <v>184</v>
      </c>
      <c r="H275" t="s">
        <v>2729</v>
      </c>
      <c r="I275" t="s">
        <v>2730</v>
      </c>
      <c r="J275" t="s">
        <v>186</v>
      </c>
      <c r="K275" t="s">
        <v>205</v>
      </c>
      <c r="L275" t="s">
        <v>205</v>
      </c>
      <c r="M275" t="s">
        <v>346</v>
      </c>
      <c r="N275" t="s">
        <v>1142</v>
      </c>
      <c r="O275">
        <v>10008861</v>
      </c>
      <c r="P275" s="120">
        <v>42542</v>
      </c>
      <c r="Q275" s="120">
        <v>42544</v>
      </c>
      <c r="R275" s="120">
        <v>42573</v>
      </c>
      <c r="S275" t="s">
        <v>3119</v>
      </c>
      <c r="T275">
        <v>2</v>
      </c>
      <c r="U275" t="s">
        <v>128</v>
      </c>
      <c r="V275">
        <v>2</v>
      </c>
      <c r="W275">
        <v>1</v>
      </c>
      <c r="X275">
        <v>2</v>
      </c>
      <c r="Y275">
        <v>2</v>
      </c>
      <c r="Z275" t="s">
        <v>2730</v>
      </c>
      <c r="AA275" t="s">
        <v>2730</v>
      </c>
      <c r="AB275" t="s">
        <v>2732</v>
      </c>
      <c r="AC275" t="s">
        <v>2730</v>
      </c>
      <c r="AD275" t="s">
        <v>2730</v>
      </c>
      <c r="AE275" t="s">
        <v>2730</v>
      </c>
      <c r="AF275" t="s">
        <v>2730</v>
      </c>
      <c r="AG275" t="s">
        <v>2730</v>
      </c>
      <c r="AH275" t="s">
        <v>2730</v>
      </c>
    </row>
    <row r="276" spans="1:34">
      <c r="A276" s="149" t="str">
        <f>HYPERLINK("http://www.ofsted.gov.uk/inspection-reports/find-inspection-report/provider/ELS/139220 ","Ofsted School Webpage")</f>
        <v>Ofsted School Webpage</v>
      </c>
      <c r="B276">
        <v>139220</v>
      </c>
      <c r="C276">
        <v>8936031</v>
      </c>
      <c r="D276" t="s">
        <v>3035</v>
      </c>
      <c r="E276" t="s">
        <v>38</v>
      </c>
      <c r="F276" t="s">
        <v>184</v>
      </c>
      <c r="G276" t="s">
        <v>184</v>
      </c>
      <c r="H276" t="s">
        <v>2729</v>
      </c>
      <c r="I276" t="s">
        <v>2730</v>
      </c>
      <c r="J276" t="s">
        <v>186</v>
      </c>
      <c r="K276" t="s">
        <v>205</v>
      </c>
      <c r="L276" t="s">
        <v>205</v>
      </c>
      <c r="M276" t="s">
        <v>194</v>
      </c>
      <c r="N276" t="s">
        <v>1016</v>
      </c>
      <c r="O276" t="s">
        <v>1436</v>
      </c>
      <c r="P276" s="120">
        <v>41570</v>
      </c>
      <c r="Q276" s="120">
        <v>41571</v>
      </c>
      <c r="R276" s="120">
        <v>41600</v>
      </c>
      <c r="S276" t="s">
        <v>249</v>
      </c>
      <c r="T276">
        <v>2</v>
      </c>
      <c r="U276" t="s">
        <v>2730</v>
      </c>
      <c r="V276">
        <v>2</v>
      </c>
      <c r="W276" t="s">
        <v>2730</v>
      </c>
      <c r="X276">
        <v>2</v>
      </c>
      <c r="Y276">
        <v>2</v>
      </c>
      <c r="Z276" t="s">
        <v>2730</v>
      </c>
      <c r="AA276" t="s">
        <v>2730</v>
      </c>
      <c r="AB276" t="s">
        <v>2730</v>
      </c>
      <c r="AC276" t="s">
        <v>2730</v>
      </c>
      <c r="AD276" t="s">
        <v>2730</v>
      </c>
      <c r="AE276" t="s">
        <v>2730</v>
      </c>
      <c r="AF276" t="s">
        <v>2730</v>
      </c>
      <c r="AG276" t="s">
        <v>2730</v>
      </c>
      <c r="AH276" t="s">
        <v>2730</v>
      </c>
    </row>
    <row r="277" spans="1:34">
      <c r="A277" s="149" t="str">
        <f>HYPERLINK("http://www.ofsted.gov.uk/inspection-reports/find-inspection-report/provider/ELS/131395 ","Ofsted School Webpage")</f>
        <v>Ofsted School Webpage</v>
      </c>
      <c r="B277">
        <v>131395</v>
      </c>
      <c r="C277">
        <v>3056078</v>
      </c>
      <c r="D277" t="s">
        <v>1437</v>
      </c>
      <c r="E277" t="s">
        <v>38</v>
      </c>
      <c r="F277" t="s">
        <v>184</v>
      </c>
      <c r="G277" t="s">
        <v>292</v>
      </c>
      <c r="H277" t="s">
        <v>2729</v>
      </c>
      <c r="I277" t="s">
        <v>2730</v>
      </c>
      <c r="J277" t="s">
        <v>186</v>
      </c>
      <c r="K277" t="s">
        <v>232</v>
      </c>
      <c r="L277" t="s">
        <v>232</v>
      </c>
      <c r="M277" t="s">
        <v>587</v>
      </c>
      <c r="N277" t="s">
        <v>1438</v>
      </c>
      <c r="O277">
        <v>10008598</v>
      </c>
      <c r="P277" s="120">
        <v>42927</v>
      </c>
      <c r="Q277" s="120">
        <v>42929</v>
      </c>
      <c r="R277" s="120">
        <v>43012</v>
      </c>
      <c r="S277" t="s">
        <v>196</v>
      </c>
      <c r="T277">
        <v>4</v>
      </c>
      <c r="U277" t="s">
        <v>129</v>
      </c>
      <c r="V277">
        <v>4</v>
      </c>
      <c r="W277">
        <v>4</v>
      </c>
      <c r="X277">
        <v>3</v>
      </c>
      <c r="Y277">
        <v>3</v>
      </c>
      <c r="Z277" t="s">
        <v>2730</v>
      </c>
      <c r="AA277" t="s">
        <v>2730</v>
      </c>
      <c r="AB277" t="s">
        <v>2733</v>
      </c>
      <c r="AC277" t="s">
        <v>2730</v>
      </c>
      <c r="AD277" t="s">
        <v>2730</v>
      </c>
      <c r="AE277" t="s">
        <v>2730</v>
      </c>
      <c r="AF277" t="s">
        <v>2730</v>
      </c>
      <c r="AG277" t="s">
        <v>2730</v>
      </c>
      <c r="AH277" t="s">
        <v>2730</v>
      </c>
    </row>
    <row r="278" spans="1:34">
      <c r="A278" s="149" t="str">
        <f>HYPERLINK("http://www.ofsted.gov.uk/inspection-reports/find-inspection-report/provider/ELS/126542 ","Ofsted School Webpage")</f>
        <v>Ofsted School Webpage</v>
      </c>
      <c r="B278">
        <v>126542</v>
      </c>
      <c r="C278">
        <v>8656024</v>
      </c>
      <c r="D278" t="s">
        <v>1439</v>
      </c>
      <c r="E278" t="s">
        <v>38</v>
      </c>
      <c r="F278" t="s">
        <v>184</v>
      </c>
      <c r="G278" t="s">
        <v>184</v>
      </c>
      <c r="H278" t="s">
        <v>2729</v>
      </c>
      <c r="I278" t="s">
        <v>2730</v>
      </c>
      <c r="J278" t="s">
        <v>186</v>
      </c>
      <c r="K278" t="s">
        <v>225</v>
      </c>
      <c r="L278" t="s">
        <v>225</v>
      </c>
      <c r="M278" t="s">
        <v>226</v>
      </c>
      <c r="N278" t="s">
        <v>1440</v>
      </c>
      <c r="O278">
        <v>10006321</v>
      </c>
      <c r="P278" s="120">
        <v>42311</v>
      </c>
      <c r="Q278" s="120">
        <v>42313</v>
      </c>
      <c r="R278" s="120">
        <v>42355</v>
      </c>
      <c r="S278" t="s">
        <v>196</v>
      </c>
      <c r="T278">
        <v>1</v>
      </c>
      <c r="U278" t="s">
        <v>128</v>
      </c>
      <c r="V278">
        <v>1</v>
      </c>
      <c r="W278">
        <v>1</v>
      </c>
      <c r="X278">
        <v>1</v>
      </c>
      <c r="Y278">
        <v>1</v>
      </c>
      <c r="Z278" t="s">
        <v>2730</v>
      </c>
      <c r="AA278" t="s">
        <v>2730</v>
      </c>
      <c r="AB278" t="s">
        <v>2732</v>
      </c>
      <c r="AC278" t="s">
        <v>2730</v>
      </c>
      <c r="AD278" t="s">
        <v>2730</v>
      </c>
      <c r="AE278" t="s">
        <v>2730</v>
      </c>
      <c r="AF278" t="s">
        <v>2730</v>
      </c>
      <c r="AG278" t="s">
        <v>2730</v>
      </c>
      <c r="AH278" t="s">
        <v>2730</v>
      </c>
    </row>
    <row r="279" spans="1:34">
      <c r="A279" s="149" t="str">
        <f>HYPERLINK("http://www.ofsted.gov.uk/inspection-reports/find-inspection-report/provider/ELS/135557 ","Ofsted School Webpage")</f>
        <v>Ofsted School Webpage</v>
      </c>
      <c r="B279">
        <v>135557</v>
      </c>
      <c r="C279">
        <v>3596009</v>
      </c>
      <c r="D279" t="s">
        <v>470</v>
      </c>
      <c r="E279" t="s">
        <v>38</v>
      </c>
      <c r="F279" t="s">
        <v>184</v>
      </c>
      <c r="G279" t="s">
        <v>184</v>
      </c>
      <c r="H279" t="s">
        <v>2729</v>
      </c>
      <c r="I279" t="s">
        <v>2730</v>
      </c>
      <c r="J279" t="s">
        <v>186</v>
      </c>
      <c r="K279" t="s">
        <v>205</v>
      </c>
      <c r="L279" t="s">
        <v>205</v>
      </c>
      <c r="M279" t="s">
        <v>471</v>
      </c>
      <c r="N279" t="s">
        <v>472</v>
      </c>
      <c r="O279">
        <v>10020749</v>
      </c>
      <c r="P279" s="120">
        <v>42689</v>
      </c>
      <c r="Q279" s="120">
        <v>42691</v>
      </c>
      <c r="R279" s="120">
        <v>42796</v>
      </c>
      <c r="S279" t="s">
        <v>196</v>
      </c>
      <c r="T279">
        <v>4</v>
      </c>
      <c r="U279" t="s">
        <v>128</v>
      </c>
      <c r="V279">
        <v>4</v>
      </c>
      <c r="W279">
        <v>4</v>
      </c>
      <c r="X279">
        <v>4</v>
      </c>
      <c r="Y279">
        <v>4</v>
      </c>
      <c r="Z279" t="s">
        <v>2730</v>
      </c>
      <c r="AA279">
        <v>4</v>
      </c>
      <c r="AB279" t="s">
        <v>2733</v>
      </c>
      <c r="AC279">
        <v>10039950</v>
      </c>
      <c r="AD279" t="s">
        <v>187</v>
      </c>
      <c r="AE279" s="120">
        <v>43012</v>
      </c>
      <c r="AF279" t="s">
        <v>2771</v>
      </c>
      <c r="AG279" s="120">
        <v>43047</v>
      </c>
      <c r="AH279" t="s">
        <v>189</v>
      </c>
    </row>
    <row r="280" spans="1:34">
      <c r="A280" s="149" t="str">
        <f>HYPERLINK("http://www.ofsted.gov.uk/inspection-reports/find-inspection-report/provider/ELS/134594 ","Ofsted School Webpage")</f>
        <v>Ofsted School Webpage</v>
      </c>
      <c r="B280">
        <v>134594</v>
      </c>
      <c r="C280">
        <v>3156081</v>
      </c>
      <c r="D280" t="s">
        <v>936</v>
      </c>
      <c r="E280" t="s">
        <v>38</v>
      </c>
      <c r="F280" t="s">
        <v>184</v>
      </c>
      <c r="G280" t="s">
        <v>184</v>
      </c>
      <c r="H280" t="s">
        <v>2729</v>
      </c>
      <c r="I280" t="s">
        <v>2730</v>
      </c>
      <c r="J280" t="s">
        <v>186</v>
      </c>
      <c r="K280" t="s">
        <v>232</v>
      </c>
      <c r="L280" t="s">
        <v>232</v>
      </c>
      <c r="M280" t="s">
        <v>236</v>
      </c>
      <c r="N280" t="s">
        <v>937</v>
      </c>
      <c r="O280">
        <v>10038170</v>
      </c>
      <c r="P280" s="120">
        <v>43053</v>
      </c>
      <c r="Q280" s="120">
        <v>43055</v>
      </c>
      <c r="R280" s="120">
        <v>43089</v>
      </c>
      <c r="S280" t="s">
        <v>196</v>
      </c>
      <c r="T280">
        <v>2</v>
      </c>
      <c r="U280" t="s">
        <v>128</v>
      </c>
      <c r="V280">
        <v>2</v>
      </c>
      <c r="W280">
        <v>2</v>
      </c>
      <c r="X280">
        <v>2</v>
      </c>
      <c r="Y280">
        <v>2</v>
      </c>
      <c r="Z280">
        <v>2</v>
      </c>
      <c r="AA280" t="s">
        <v>2730</v>
      </c>
      <c r="AB280" t="s">
        <v>2732</v>
      </c>
      <c r="AC280" t="s">
        <v>2730</v>
      </c>
      <c r="AD280" t="s">
        <v>2730</v>
      </c>
      <c r="AE280" t="s">
        <v>2730</v>
      </c>
      <c r="AF280" t="s">
        <v>2730</v>
      </c>
      <c r="AG280" t="s">
        <v>2730</v>
      </c>
      <c r="AH280" t="s">
        <v>2730</v>
      </c>
    </row>
    <row r="281" spans="1:34">
      <c r="A281" s="149" t="str">
        <f>HYPERLINK("http://www.ofsted.gov.uk/inspection-reports/find-inspection-report/provider/ELS/135801 ","Ofsted School Webpage")</f>
        <v>Ofsted School Webpage</v>
      </c>
      <c r="B281">
        <v>135801</v>
      </c>
      <c r="C281">
        <v>3196074</v>
      </c>
      <c r="D281" t="s">
        <v>938</v>
      </c>
      <c r="E281" t="s">
        <v>38</v>
      </c>
      <c r="F281" t="s">
        <v>184</v>
      </c>
      <c r="G281" t="s">
        <v>184</v>
      </c>
      <c r="H281" t="s">
        <v>2729</v>
      </c>
      <c r="I281" t="s">
        <v>2730</v>
      </c>
      <c r="J281" t="s">
        <v>186</v>
      </c>
      <c r="K281" t="s">
        <v>232</v>
      </c>
      <c r="L281" t="s">
        <v>232</v>
      </c>
      <c r="M281" t="s">
        <v>939</v>
      </c>
      <c r="N281" t="s">
        <v>940</v>
      </c>
      <c r="O281" t="s">
        <v>941</v>
      </c>
      <c r="P281" s="120">
        <v>41527</v>
      </c>
      <c r="Q281" s="120">
        <v>41529</v>
      </c>
      <c r="R281" s="120">
        <v>41549</v>
      </c>
      <c r="S281" t="s">
        <v>196</v>
      </c>
      <c r="T281">
        <v>2</v>
      </c>
      <c r="U281" t="s">
        <v>2730</v>
      </c>
      <c r="V281">
        <v>2</v>
      </c>
      <c r="W281" t="s">
        <v>2730</v>
      </c>
      <c r="X281">
        <v>2</v>
      </c>
      <c r="Y281">
        <v>2</v>
      </c>
      <c r="Z281" t="s">
        <v>2730</v>
      </c>
      <c r="AA281" t="s">
        <v>2730</v>
      </c>
      <c r="AB281" t="s">
        <v>2730</v>
      </c>
      <c r="AC281" t="s">
        <v>2730</v>
      </c>
      <c r="AD281" t="s">
        <v>2730</v>
      </c>
      <c r="AE281" s="120" t="s">
        <v>2730</v>
      </c>
      <c r="AF281" t="s">
        <v>2730</v>
      </c>
      <c r="AG281" s="120" t="s">
        <v>2730</v>
      </c>
      <c r="AH281" t="s">
        <v>2730</v>
      </c>
    </row>
    <row r="282" spans="1:34">
      <c r="A282" s="149" t="str">
        <f>HYPERLINK("http://www.ofsted.gov.uk/inspection-reports/find-inspection-report/provider/ELS/136052 ","Ofsted School Webpage")</f>
        <v>Ofsted School Webpage</v>
      </c>
      <c r="B282">
        <v>136052</v>
      </c>
      <c r="C282">
        <v>3166072</v>
      </c>
      <c r="D282" t="s">
        <v>942</v>
      </c>
      <c r="E282" t="s">
        <v>38</v>
      </c>
      <c r="F282" t="s">
        <v>184</v>
      </c>
      <c r="G282" t="s">
        <v>184</v>
      </c>
      <c r="H282" t="s">
        <v>2729</v>
      </c>
      <c r="I282" t="s">
        <v>2730</v>
      </c>
      <c r="J282" t="s">
        <v>186</v>
      </c>
      <c r="K282" t="s">
        <v>232</v>
      </c>
      <c r="L282" t="s">
        <v>232</v>
      </c>
      <c r="M282" t="s">
        <v>505</v>
      </c>
      <c r="N282" t="s">
        <v>943</v>
      </c>
      <c r="O282" t="s">
        <v>944</v>
      </c>
      <c r="P282" s="120">
        <v>41723</v>
      </c>
      <c r="Q282" s="120">
        <v>41725</v>
      </c>
      <c r="R282" s="120">
        <v>41757</v>
      </c>
      <c r="S282" t="s">
        <v>196</v>
      </c>
      <c r="T282">
        <v>1</v>
      </c>
      <c r="U282" t="s">
        <v>2730</v>
      </c>
      <c r="V282">
        <v>1</v>
      </c>
      <c r="W282" t="s">
        <v>2730</v>
      </c>
      <c r="X282">
        <v>1</v>
      </c>
      <c r="Y282">
        <v>1</v>
      </c>
      <c r="Z282" t="s">
        <v>2730</v>
      </c>
      <c r="AA282" t="s">
        <v>2730</v>
      </c>
      <c r="AB282" t="s">
        <v>2730</v>
      </c>
      <c r="AC282" t="s">
        <v>2730</v>
      </c>
      <c r="AD282" t="s">
        <v>2730</v>
      </c>
      <c r="AE282" t="s">
        <v>2730</v>
      </c>
      <c r="AF282" t="s">
        <v>2730</v>
      </c>
      <c r="AG282" t="s">
        <v>2730</v>
      </c>
      <c r="AH282" t="s">
        <v>2730</v>
      </c>
    </row>
    <row r="283" spans="1:34">
      <c r="A283" s="149" t="str">
        <f>HYPERLINK("http://www.ofsted.gov.uk/inspection-reports/find-inspection-report/provider/ELS/113026 ","Ofsted School Webpage")</f>
        <v>Ofsted School Webpage</v>
      </c>
      <c r="B283">
        <v>113026</v>
      </c>
      <c r="C283">
        <v>8306013</v>
      </c>
      <c r="D283" t="s">
        <v>945</v>
      </c>
      <c r="E283" t="s">
        <v>38</v>
      </c>
      <c r="F283" t="s">
        <v>184</v>
      </c>
      <c r="G283" t="s">
        <v>184</v>
      </c>
      <c r="H283" t="s">
        <v>2729</v>
      </c>
      <c r="I283" t="s">
        <v>2730</v>
      </c>
      <c r="J283" t="s">
        <v>186</v>
      </c>
      <c r="K283" t="s">
        <v>214</v>
      </c>
      <c r="L283" t="s">
        <v>214</v>
      </c>
      <c r="M283" t="s">
        <v>364</v>
      </c>
      <c r="N283" t="s">
        <v>946</v>
      </c>
      <c r="O283">
        <v>10006083</v>
      </c>
      <c r="P283" s="120">
        <v>42346</v>
      </c>
      <c r="Q283" s="120">
        <v>42348</v>
      </c>
      <c r="R283" s="120">
        <v>42375</v>
      </c>
      <c r="S283" t="s">
        <v>196</v>
      </c>
      <c r="T283">
        <v>2</v>
      </c>
      <c r="U283" t="s">
        <v>128</v>
      </c>
      <c r="V283">
        <v>2</v>
      </c>
      <c r="W283">
        <v>2</v>
      </c>
      <c r="X283">
        <v>2</v>
      </c>
      <c r="Y283">
        <v>2</v>
      </c>
      <c r="Z283" t="s">
        <v>2730</v>
      </c>
      <c r="AA283">
        <v>2</v>
      </c>
      <c r="AB283" t="s">
        <v>2732</v>
      </c>
      <c r="AC283" t="s">
        <v>2730</v>
      </c>
      <c r="AD283" t="s">
        <v>2730</v>
      </c>
      <c r="AE283" t="s">
        <v>2730</v>
      </c>
      <c r="AF283" t="s">
        <v>2730</v>
      </c>
      <c r="AG283" t="s">
        <v>2730</v>
      </c>
      <c r="AH283" t="s">
        <v>2730</v>
      </c>
    </row>
    <row r="284" spans="1:34">
      <c r="A284" s="149" t="str">
        <f>HYPERLINK("http://www.ofsted.gov.uk/inspection-reports/find-inspection-report/provider/ELS/133485 ","Ofsted School Webpage")</f>
        <v>Ofsted School Webpage</v>
      </c>
      <c r="B284">
        <v>133485</v>
      </c>
      <c r="C284">
        <v>8766000</v>
      </c>
      <c r="D284" t="s">
        <v>885</v>
      </c>
      <c r="E284" t="s">
        <v>38</v>
      </c>
      <c r="F284" t="s">
        <v>184</v>
      </c>
      <c r="G284" t="s">
        <v>184</v>
      </c>
      <c r="H284" t="s">
        <v>2729</v>
      </c>
      <c r="I284" t="s">
        <v>2730</v>
      </c>
      <c r="J284" t="s">
        <v>186</v>
      </c>
      <c r="K284" t="s">
        <v>205</v>
      </c>
      <c r="L284" t="s">
        <v>205</v>
      </c>
      <c r="M284" t="s">
        <v>637</v>
      </c>
      <c r="N284" t="s">
        <v>886</v>
      </c>
      <c r="O284">
        <v>10009033</v>
      </c>
      <c r="P284" s="120">
        <v>42332</v>
      </c>
      <c r="Q284" s="120">
        <v>42334</v>
      </c>
      <c r="R284" s="120">
        <v>42359</v>
      </c>
      <c r="S284" t="s">
        <v>196</v>
      </c>
      <c r="T284">
        <v>2</v>
      </c>
      <c r="U284" t="s">
        <v>128</v>
      </c>
      <c r="V284">
        <v>2</v>
      </c>
      <c r="W284">
        <v>1</v>
      </c>
      <c r="X284">
        <v>2</v>
      </c>
      <c r="Y284">
        <v>2</v>
      </c>
      <c r="Z284" t="s">
        <v>2730</v>
      </c>
      <c r="AA284" t="s">
        <v>2730</v>
      </c>
      <c r="AB284" t="s">
        <v>2732</v>
      </c>
      <c r="AC284" t="s">
        <v>2730</v>
      </c>
      <c r="AD284" t="s">
        <v>2730</v>
      </c>
      <c r="AE284" t="s">
        <v>2730</v>
      </c>
      <c r="AF284" t="s">
        <v>2730</v>
      </c>
      <c r="AG284" t="s">
        <v>2730</v>
      </c>
      <c r="AH284" t="s">
        <v>2730</v>
      </c>
    </row>
    <row r="285" spans="1:34">
      <c r="A285" s="149" t="str">
        <f>HYPERLINK("http://www.ofsted.gov.uk/inspection-reports/find-inspection-report/provider/ELS/141127 ","Ofsted School Webpage")</f>
        <v>Ofsted School Webpage</v>
      </c>
      <c r="B285">
        <v>141127</v>
      </c>
      <c r="C285">
        <v>8556033</v>
      </c>
      <c r="D285" t="s">
        <v>1392</v>
      </c>
      <c r="E285" t="s">
        <v>38</v>
      </c>
      <c r="F285" t="s">
        <v>184</v>
      </c>
      <c r="G285" t="s">
        <v>184</v>
      </c>
      <c r="H285" t="s">
        <v>2729</v>
      </c>
      <c r="I285" t="s">
        <v>2730</v>
      </c>
      <c r="J285" t="s">
        <v>186</v>
      </c>
      <c r="K285" t="s">
        <v>214</v>
      </c>
      <c r="L285" t="s">
        <v>214</v>
      </c>
      <c r="M285" t="s">
        <v>281</v>
      </c>
      <c r="N285" t="s">
        <v>1393</v>
      </c>
      <c r="O285" t="s">
        <v>1394</v>
      </c>
      <c r="P285" s="120">
        <v>42032</v>
      </c>
      <c r="Q285" s="120">
        <v>42034</v>
      </c>
      <c r="R285" s="120">
        <v>42062</v>
      </c>
      <c r="S285" t="s">
        <v>249</v>
      </c>
      <c r="T285">
        <v>2</v>
      </c>
      <c r="U285" t="s">
        <v>2730</v>
      </c>
      <c r="V285">
        <v>2</v>
      </c>
      <c r="W285" t="s">
        <v>2730</v>
      </c>
      <c r="X285">
        <v>2</v>
      </c>
      <c r="Y285">
        <v>2</v>
      </c>
      <c r="Z285">
        <v>9</v>
      </c>
      <c r="AA285">
        <v>9</v>
      </c>
      <c r="AB285" t="s">
        <v>2730</v>
      </c>
      <c r="AC285" t="s">
        <v>2730</v>
      </c>
      <c r="AD285" t="s">
        <v>2730</v>
      </c>
      <c r="AE285" s="120" t="s">
        <v>2730</v>
      </c>
      <c r="AF285" t="s">
        <v>2730</v>
      </c>
      <c r="AG285" s="120" t="s">
        <v>2730</v>
      </c>
      <c r="AH285" t="s">
        <v>2730</v>
      </c>
    </row>
    <row r="286" spans="1:34">
      <c r="A286" s="149" t="str">
        <f>HYPERLINK("http://www.ofsted.gov.uk/inspection-reports/find-inspection-report/provider/ELS/135424 ","Ofsted School Webpage")</f>
        <v>Ofsted School Webpage</v>
      </c>
      <c r="B286">
        <v>135424</v>
      </c>
      <c r="C286">
        <v>8056002</v>
      </c>
      <c r="D286" t="s">
        <v>949</v>
      </c>
      <c r="E286" t="s">
        <v>38</v>
      </c>
      <c r="F286" t="s">
        <v>184</v>
      </c>
      <c r="G286" t="s">
        <v>184</v>
      </c>
      <c r="H286" t="s">
        <v>2729</v>
      </c>
      <c r="I286" t="s">
        <v>2730</v>
      </c>
      <c r="J286" t="s">
        <v>186</v>
      </c>
      <c r="K286" t="s">
        <v>245</v>
      </c>
      <c r="L286" t="s">
        <v>277</v>
      </c>
      <c r="M286" t="s">
        <v>950</v>
      </c>
      <c r="N286" t="s">
        <v>951</v>
      </c>
      <c r="O286" t="s">
        <v>952</v>
      </c>
      <c r="P286" s="120">
        <v>42024</v>
      </c>
      <c r="Q286" s="120">
        <v>42026</v>
      </c>
      <c r="R286" s="120">
        <v>42069</v>
      </c>
      <c r="S286" t="s">
        <v>196</v>
      </c>
      <c r="T286">
        <v>2</v>
      </c>
      <c r="U286" t="s">
        <v>2730</v>
      </c>
      <c r="V286">
        <v>2</v>
      </c>
      <c r="W286" t="s">
        <v>2730</v>
      </c>
      <c r="X286">
        <v>2</v>
      </c>
      <c r="Y286">
        <v>2</v>
      </c>
      <c r="Z286">
        <v>9</v>
      </c>
      <c r="AA286">
        <v>9</v>
      </c>
      <c r="AB286" t="s">
        <v>2730</v>
      </c>
      <c r="AC286" t="s">
        <v>2730</v>
      </c>
      <c r="AD286" t="s">
        <v>2730</v>
      </c>
      <c r="AE286" t="s">
        <v>2730</v>
      </c>
      <c r="AF286" t="s">
        <v>2730</v>
      </c>
      <c r="AG286" t="s">
        <v>2730</v>
      </c>
      <c r="AH286" t="s">
        <v>2730</v>
      </c>
    </row>
    <row r="287" spans="1:34">
      <c r="A287" s="149" t="str">
        <f>HYPERLINK("http://www.ofsted.gov.uk/inspection-reports/find-inspection-report/provider/ELS/139807 ","Ofsted School Webpage")</f>
        <v>Ofsted School Webpage</v>
      </c>
      <c r="B287">
        <v>139807</v>
      </c>
      <c r="C287">
        <v>3906001</v>
      </c>
      <c r="D287" t="s">
        <v>953</v>
      </c>
      <c r="E287" t="s">
        <v>38</v>
      </c>
      <c r="F287" t="s">
        <v>184</v>
      </c>
      <c r="G287" t="s">
        <v>318</v>
      </c>
      <c r="H287" t="s">
        <v>2729</v>
      </c>
      <c r="I287" t="s">
        <v>2730</v>
      </c>
      <c r="J287" t="s">
        <v>186</v>
      </c>
      <c r="K287" t="s">
        <v>245</v>
      </c>
      <c r="L287" t="s">
        <v>277</v>
      </c>
      <c r="M287" t="s">
        <v>651</v>
      </c>
      <c r="N287" t="s">
        <v>954</v>
      </c>
      <c r="O287" t="s">
        <v>3036</v>
      </c>
      <c r="P287" s="120">
        <v>41954</v>
      </c>
      <c r="Q287" s="120">
        <v>41956</v>
      </c>
      <c r="R287" s="120">
        <v>41977</v>
      </c>
      <c r="S287" t="s">
        <v>249</v>
      </c>
      <c r="T287">
        <v>1</v>
      </c>
      <c r="U287" t="s">
        <v>2730</v>
      </c>
      <c r="V287">
        <v>1</v>
      </c>
      <c r="W287" t="s">
        <v>2730</v>
      </c>
      <c r="X287">
        <v>1</v>
      </c>
      <c r="Y287">
        <v>1</v>
      </c>
      <c r="Z287">
        <v>9</v>
      </c>
      <c r="AA287">
        <v>9</v>
      </c>
      <c r="AB287" t="s">
        <v>2730</v>
      </c>
      <c r="AC287" t="s">
        <v>2730</v>
      </c>
      <c r="AD287" t="s">
        <v>2730</v>
      </c>
      <c r="AE287" t="s">
        <v>2730</v>
      </c>
      <c r="AF287" t="s">
        <v>2730</v>
      </c>
      <c r="AG287" t="s">
        <v>2730</v>
      </c>
      <c r="AH287" t="s">
        <v>2730</v>
      </c>
    </row>
    <row r="288" spans="1:34">
      <c r="A288" s="149" t="str">
        <f>HYPERLINK("http://www.ofsted.gov.uk/inspection-reports/find-inspection-report/provider/ELS/135683 ","Ofsted School Webpage")</f>
        <v>Ofsted School Webpage</v>
      </c>
      <c r="B288">
        <v>135683</v>
      </c>
      <c r="C288">
        <v>3096002</v>
      </c>
      <c r="D288" t="s">
        <v>1402</v>
      </c>
      <c r="E288" t="s">
        <v>38</v>
      </c>
      <c r="F288" t="s">
        <v>184</v>
      </c>
      <c r="G288" t="s">
        <v>184</v>
      </c>
      <c r="H288" t="s">
        <v>2729</v>
      </c>
      <c r="I288" t="s">
        <v>2730</v>
      </c>
      <c r="J288" t="s">
        <v>186</v>
      </c>
      <c r="K288" t="s">
        <v>232</v>
      </c>
      <c r="L288" t="s">
        <v>232</v>
      </c>
      <c r="M288" t="s">
        <v>697</v>
      </c>
      <c r="N288" t="s">
        <v>1403</v>
      </c>
      <c r="O288">
        <v>10008529</v>
      </c>
      <c r="P288" s="120">
        <v>42402</v>
      </c>
      <c r="Q288" s="120">
        <v>42404</v>
      </c>
      <c r="R288" s="120">
        <v>42472</v>
      </c>
      <c r="S288" t="s">
        <v>196</v>
      </c>
      <c r="T288">
        <v>2</v>
      </c>
      <c r="U288" t="s">
        <v>128</v>
      </c>
      <c r="V288">
        <v>2</v>
      </c>
      <c r="W288">
        <v>2</v>
      </c>
      <c r="X288">
        <v>2</v>
      </c>
      <c r="Y288">
        <v>2</v>
      </c>
      <c r="Z288">
        <v>2</v>
      </c>
      <c r="AA288" t="s">
        <v>2730</v>
      </c>
      <c r="AB288" t="s">
        <v>2732</v>
      </c>
      <c r="AC288" t="s">
        <v>2730</v>
      </c>
      <c r="AD288" t="s">
        <v>2730</v>
      </c>
      <c r="AE288" t="s">
        <v>2730</v>
      </c>
      <c r="AF288" t="s">
        <v>2730</v>
      </c>
      <c r="AG288" t="s">
        <v>2730</v>
      </c>
      <c r="AH288" t="s">
        <v>2730</v>
      </c>
    </row>
    <row r="289" spans="1:34">
      <c r="A289" s="149" t="str">
        <f>HYPERLINK("http://www.ofsted.gov.uk/inspection-reports/find-inspection-report/provider/ELS/135543 ","Ofsted School Webpage")</f>
        <v>Ofsted School Webpage</v>
      </c>
      <c r="B289">
        <v>135543</v>
      </c>
      <c r="C289">
        <v>8886041</v>
      </c>
      <c r="D289" t="s">
        <v>1404</v>
      </c>
      <c r="E289" t="s">
        <v>38</v>
      </c>
      <c r="F289" t="s">
        <v>184</v>
      </c>
      <c r="G289" t="s">
        <v>184</v>
      </c>
      <c r="H289" t="s">
        <v>2729</v>
      </c>
      <c r="I289" t="s">
        <v>2730</v>
      </c>
      <c r="J289" t="s">
        <v>186</v>
      </c>
      <c r="K289" t="s">
        <v>205</v>
      </c>
      <c r="L289" t="s">
        <v>205</v>
      </c>
      <c r="M289" t="s">
        <v>206</v>
      </c>
      <c r="N289" t="s">
        <v>1052</v>
      </c>
      <c r="O289">
        <v>10006075</v>
      </c>
      <c r="P289" s="120">
        <v>42409</v>
      </c>
      <c r="Q289" s="120">
        <v>42411</v>
      </c>
      <c r="R289" s="120">
        <v>42436</v>
      </c>
      <c r="S289" t="s">
        <v>196</v>
      </c>
      <c r="T289">
        <v>2</v>
      </c>
      <c r="U289" t="s">
        <v>128</v>
      </c>
      <c r="V289">
        <v>2</v>
      </c>
      <c r="W289">
        <v>1</v>
      </c>
      <c r="X289">
        <v>2</v>
      </c>
      <c r="Y289">
        <v>2</v>
      </c>
      <c r="Z289" t="s">
        <v>2730</v>
      </c>
      <c r="AA289" t="s">
        <v>2730</v>
      </c>
      <c r="AB289" t="s">
        <v>2732</v>
      </c>
      <c r="AC289" t="s">
        <v>2730</v>
      </c>
      <c r="AD289" t="s">
        <v>2730</v>
      </c>
      <c r="AE289" t="s">
        <v>2730</v>
      </c>
      <c r="AF289" t="s">
        <v>2730</v>
      </c>
      <c r="AG289" t="s">
        <v>2730</v>
      </c>
      <c r="AH289" t="s">
        <v>2730</v>
      </c>
    </row>
    <row r="290" spans="1:34">
      <c r="A290" s="149" t="str">
        <f>HYPERLINK("http://www.ofsted.gov.uk/inspection-reports/find-inspection-report/provider/ELS/140272 ","Ofsted School Webpage")</f>
        <v>Ofsted School Webpage</v>
      </c>
      <c r="B290">
        <v>140272</v>
      </c>
      <c r="C290">
        <v>8086004</v>
      </c>
      <c r="D290" t="s">
        <v>276</v>
      </c>
      <c r="E290" t="s">
        <v>38</v>
      </c>
      <c r="F290" t="s">
        <v>184</v>
      </c>
      <c r="G290" t="s">
        <v>184</v>
      </c>
      <c r="H290" t="s">
        <v>2729</v>
      </c>
      <c r="I290" t="s">
        <v>2730</v>
      </c>
      <c r="J290" t="s">
        <v>186</v>
      </c>
      <c r="K290" t="s">
        <v>245</v>
      </c>
      <c r="L290" t="s">
        <v>277</v>
      </c>
      <c r="M290" t="s">
        <v>278</v>
      </c>
      <c r="N290" t="s">
        <v>279</v>
      </c>
      <c r="O290">
        <v>10040144</v>
      </c>
      <c r="P290" s="120">
        <v>42997</v>
      </c>
      <c r="Q290" s="120">
        <v>42999</v>
      </c>
      <c r="R290" s="120">
        <v>43025</v>
      </c>
      <c r="S290" t="s">
        <v>196</v>
      </c>
      <c r="T290">
        <v>3</v>
      </c>
      <c r="U290" t="s">
        <v>128</v>
      </c>
      <c r="V290">
        <v>3</v>
      </c>
      <c r="W290">
        <v>2</v>
      </c>
      <c r="X290">
        <v>3</v>
      </c>
      <c r="Y290">
        <v>3</v>
      </c>
      <c r="Z290" t="s">
        <v>2730</v>
      </c>
      <c r="AA290" t="s">
        <v>2730</v>
      </c>
      <c r="AB290" t="s">
        <v>2733</v>
      </c>
      <c r="AC290" t="s">
        <v>2730</v>
      </c>
      <c r="AD290" t="s">
        <v>2730</v>
      </c>
      <c r="AE290" t="s">
        <v>2730</v>
      </c>
      <c r="AF290" t="s">
        <v>2730</v>
      </c>
      <c r="AG290" t="s">
        <v>2730</v>
      </c>
      <c r="AH290" t="s">
        <v>2730</v>
      </c>
    </row>
    <row r="291" spans="1:34">
      <c r="A291" s="149" t="str">
        <f>HYPERLINK("http://www.ofsted.gov.uk/inspection-reports/find-inspection-report/provider/ELS/131721 ","Ofsted School Webpage")</f>
        <v>Ofsted School Webpage</v>
      </c>
      <c r="B291">
        <v>131721</v>
      </c>
      <c r="C291">
        <v>3066089</v>
      </c>
      <c r="D291" t="s">
        <v>1405</v>
      </c>
      <c r="E291" t="s">
        <v>38</v>
      </c>
      <c r="F291" t="s">
        <v>184</v>
      </c>
      <c r="G291" t="s">
        <v>184</v>
      </c>
      <c r="H291" t="s">
        <v>2729</v>
      </c>
      <c r="I291" t="s">
        <v>2730</v>
      </c>
      <c r="J291" t="s">
        <v>186</v>
      </c>
      <c r="K291" t="s">
        <v>232</v>
      </c>
      <c r="L291" t="s">
        <v>232</v>
      </c>
      <c r="M291" t="s">
        <v>723</v>
      </c>
      <c r="N291" t="s">
        <v>1406</v>
      </c>
      <c r="O291" t="s">
        <v>1407</v>
      </c>
      <c r="P291" s="120">
        <v>41240</v>
      </c>
      <c r="Q291" s="120">
        <v>41241</v>
      </c>
      <c r="R291" s="120">
        <v>41263</v>
      </c>
      <c r="S291" t="s">
        <v>196</v>
      </c>
      <c r="T291">
        <v>2</v>
      </c>
      <c r="U291" t="s">
        <v>2730</v>
      </c>
      <c r="V291" t="s">
        <v>2730</v>
      </c>
      <c r="W291" t="s">
        <v>2730</v>
      </c>
      <c r="X291">
        <v>3</v>
      </c>
      <c r="Y291">
        <v>2</v>
      </c>
      <c r="Z291">
        <v>8</v>
      </c>
      <c r="AA291" t="s">
        <v>2730</v>
      </c>
      <c r="AB291" t="s">
        <v>2730</v>
      </c>
      <c r="AC291" t="s">
        <v>2730</v>
      </c>
      <c r="AD291" t="s">
        <v>2730</v>
      </c>
      <c r="AE291" s="120" t="s">
        <v>2730</v>
      </c>
      <c r="AF291" t="s">
        <v>2730</v>
      </c>
      <c r="AG291" s="120" t="s">
        <v>2730</v>
      </c>
      <c r="AH291" t="s">
        <v>2730</v>
      </c>
    </row>
    <row r="292" spans="1:34">
      <c r="A292" s="149" t="str">
        <f>HYPERLINK("http://www.ofsted.gov.uk/inspection-reports/find-inspection-report/provider/ELS/136257 ","Ofsted School Webpage")</f>
        <v>Ofsted School Webpage</v>
      </c>
      <c r="B292">
        <v>136257</v>
      </c>
      <c r="C292">
        <v>3546202</v>
      </c>
      <c r="D292" t="s">
        <v>1102</v>
      </c>
      <c r="E292" t="s">
        <v>38</v>
      </c>
      <c r="F292" t="s">
        <v>184</v>
      </c>
      <c r="G292" t="s">
        <v>184</v>
      </c>
      <c r="H292" t="s">
        <v>2729</v>
      </c>
      <c r="I292" t="s">
        <v>2730</v>
      </c>
      <c r="J292" t="s">
        <v>186</v>
      </c>
      <c r="K292" t="s">
        <v>205</v>
      </c>
      <c r="L292" t="s">
        <v>205</v>
      </c>
      <c r="M292" t="s">
        <v>456</v>
      </c>
      <c r="N292" t="s">
        <v>1103</v>
      </c>
      <c r="O292">
        <v>10012779</v>
      </c>
      <c r="P292" s="120">
        <v>42479</v>
      </c>
      <c r="Q292" s="120">
        <v>42481</v>
      </c>
      <c r="R292" s="120">
        <v>42523</v>
      </c>
      <c r="S292" t="s">
        <v>1104</v>
      </c>
      <c r="T292">
        <v>2</v>
      </c>
      <c r="U292" t="s">
        <v>128</v>
      </c>
      <c r="V292">
        <v>2</v>
      </c>
      <c r="W292">
        <v>2</v>
      </c>
      <c r="X292">
        <v>2</v>
      </c>
      <c r="Y292">
        <v>2</v>
      </c>
      <c r="Z292" t="s">
        <v>2730</v>
      </c>
      <c r="AA292" t="s">
        <v>2730</v>
      </c>
      <c r="AB292" t="s">
        <v>2732</v>
      </c>
      <c r="AC292" t="s">
        <v>2730</v>
      </c>
      <c r="AD292" t="s">
        <v>2730</v>
      </c>
      <c r="AE292" t="s">
        <v>2730</v>
      </c>
      <c r="AF292" t="s">
        <v>2730</v>
      </c>
      <c r="AG292" t="s">
        <v>2730</v>
      </c>
      <c r="AH292" t="s">
        <v>2730</v>
      </c>
    </row>
    <row r="293" spans="1:34">
      <c r="A293" s="149" t="str">
        <f>HYPERLINK("http://www.ofsted.gov.uk/inspection-reports/find-inspection-report/provider/ELS/110920 ","Ofsted School Webpage")</f>
        <v>Ofsted School Webpage</v>
      </c>
      <c r="B293">
        <v>110920</v>
      </c>
      <c r="C293">
        <v>8736008</v>
      </c>
      <c r="D293" t="s">
        <v>576</v>
      </c>
      <c r="E293" t="s">
        <v>38</v>
      </c>
      <c r="F293" t="s">
        <v>184</v>
      </c>
      <c r="G293" t="s">
        <v>184</v>
      </c>
      <c r="H293" t="s">
        <v>2729</v>
      </c>
      <c r="I293" t="s">
        <v>2730</v>
      </c>
      <c r="J293" t="s">
        <v>186</v>
      </c>
      <c r="K293" t="s">
        <v>220</v>
      </c>
      <c r="L293" t="s">
        <v>220</v>
      </c>
      <c r="M293" t="s">
        <v>284</v>
      </c>
      <c r="N293" t="s">
        <v>577</v>
      </c>
      <c r="O293">
        <v>10020932</v>
      </c>
      <c r="P293" s="120">
        <v>43047</v>
      </c>
      <c r="Q293" s="120">
        <v>43049</v>
      </c>
      <c r="R293" s="120">
        <v>43082</v>
      </c>
      <c r="S293" t="s">
        <v>196</v>
      </c>
      <c r="T293">
        <v>2</v>
      </c>
      <c r="U293" t="s">
        <v>128</v>
      </c>
      <c r="V293">
        <v>2</v>
      </c>
      <c r="W293">
        <v>2</v>
      </c>
      <c r="X293">
        <v>2</v>
      </c>
      <c r="Y293">
        <v>2</v>
      </c>
      <c r="Z293" t="s">
        <v>2730</v>
      </c>
      <c r="AA293">
        <v>2</v>
      </c>
      <c r="AB293" t="s">
        <v>2732</v>
      </c>
      <c r="AC293" t="s">
        <v>2730</v>
      </c>
      <c r="AD293" t="s">
        <v>2730</v>
      </c>
      <c r="AE293" t="s">
        <v>2730</v>
      </c>
      <c r="AF293" t="s">
        <v>2730</v>
      </c>
      <c r="AG293" t="s">
        <v>2730</v>
      </c>
      <c r="AH293" t="s">
        <v>2730</v>
      </c>
    </row>
    <row r="294" spans="1:34">
      <c r="A294" s="149" t="str">
        <f>HYPERLINK("http://www.ofsted.gov.uk/inspection-reports/find-inspection-report/provider/ELS/132079 ","Ofsted School Webpage")</f>
        <v>Ofsted School Webpage</v>
      </c>
      <c r="B294">
        <v>132079</v>
      </c>
      <c r="C294">
        <v>8886046</v>
      </c>
      <c r="D294" t="s">
        <v>578</v>
      </c>
      <c r="E294" t="s">
        <v>38</v>
      </c>
      <c r="F294" t="s">
        <v>184</v>
      </c>
      <c r="G294" t="s">
        <v>184</v>
      </c>
      <c r="H294" t="s">
        <v>2729</v>
      </c>
      <c r="I294" t="s">
        <v>2730</v>
      </c>
      <c r="J294" t="s">
        <v>186</v>
      </c>
      <c r="K294" t="s">
        <v>205</v>
      </c>
      <c r="L294" t="s">
        <v>205</v>
      </c>
      <c r="M294" t="s">
        <v>206</v>
      </c>
      <c r="N294" t="s">
        <v>579</v>
      </c>
      <c r="O294">
        <v>10020809</v>
      </c>
      <c r="P294" s="120">
        <v>42633</v>
      </c>
      <c r="Q294" s="120">
        <v>42635</v>
      </c>
      <c r="R294" s="120">
        <v>42661</v>
      </c>
      <c r="S294" t="s">
        <v>3119</v>
      </c>
      <c r="T294">
        <v>2</v>
      </c>
      <c r="U294" t="s">
        <v>128</v>
      </c>
      <c r="V294">
        <v>2</v>
      </c>
      <c r="W294">
        <v>2</v>
      </c>
      <c r="X294">
        <v>2</v>
      </c>
      <c r="Y294">
        <v>2</v>
      </c>
      <c r="Z294" t="s">
        <v>2730</v>
      </c>
      <c r="AA294" t="s">
        <v>2730</v>
      </c>
      <c r="AB294" t="s">
        <v>2732</v>
      </c>
      <c r="AC294" t="s">
        <v>2730</v>
      </c>
      <c r="AD294" t="s">
        <v>2730</v>
      </c>
      <c r="AE294" t="s">
        <v>2730</v>
      </c>
      <c r="AF294" t="s">
        <v>2730</v>
      </c>
      <c r="AG294" t="s">
        <v>2730</v>
      </c>
      <c r="AH294" t="s">
        <v>2730</v>
      </c>
    </row>
    <row r="295" spans="1:34">
      <c r="A295" s="149" t="str">
        <f>HYPERLINK("http://www.ofsted.gov.uk/inspection-reports/find-inspection-report/provider/ELS/125403 ","Ofsted School Webpage")</f>
        <v>Ofsted School Webpage</v>
      </c>
      <c r="B295">
        <v>125403</v>
      </c>
      <c r="C295">
        <v>9366420</v>
      </c>
      <c r="D295" t="s">
        <v>580</v>
      </c>
      <c r="E295" t="s">
        <v>38</v>
      </c>
      <c r="F295" t="s">
        <v>581</v>
      </c>
      <c r="G295" t="s">
        <v>413</v>
      </c>
      <c r="H295" t="s">
        <v>2729</v>
      </c>
      <c r="I295" t="s">
        <v>2730</v>
      </c>
      <c r="J295" t="s">
        <v>186</v>
      </c>
      <c r="K295" t="s">
        <v>181</v>
      </c>
      <c r="L295" t="s">
        <v>181</v>
      </c>
      <c r="M295" t="s">
        <v>582</v>
      </c>
      <c r="N295" t="s">
        <v>583</v>
      </c>
      <c r="O295">
        <v>10008882</v>
      </c>
      <c r="P295" s="120">
        <v>42437</v>
      </c>
      <c r="Q295" s="120">
        <v>42439</v>
      </c>
      <c r="R295" s="120">
        <v>42486</v>
      </c>
      <c r="S295" t="s">
        <v>196</v>
      </c>
      <c r="T295">
        <v>1</v>
      </c>
      <c r="U295" t="s">
        <v>128</v>
      </c>
      <c r="V295">
        <v>1</v>
      </c>
      <c r="W295">
        <v>1</v>
      </c>
      <c r="X295">
        <v>1</v>
      </c>
      <c r="Y295">
        <v>1</v>
      </c>
      <c r="Z295" t="s">
        <v>2730</v>
      </c>
      <c r="AA295">
        <v>1</v>
      </c>
      <c r="AB295" t="s">
        <v>2732</v>
      </c>
      <c r="AC295" t="s">
        <v>2730</v>
      </c>
      <c r="AD295" t="s">
        <v>2730</v>
      </c>
      <c r="AE295" t="s">
        <v>2730</v>
      </c>
      <c r="AF295" t="s">
        <v>2730</v>
      </c>
      <c r="AG295" t="s">
        <v>2730</v>
      </c>
      <c r="AH295" t="s">
        <v>2730</v>
      </c>
    </row>
    <row r="296" spans="1:34">
      <c r="A296" s="149" t="str">
        <f>HYPERLINK("http://www.ofsted.gov.uk/inspection-reports/find-inspection-report/provider/ELS/131715 ","Ofsted School Webpage")</f>
        <v>Ofsted School Webpage</v>
      </c>
      <c r="B296">
        <v>131715</v>
      </c>
      <c r="C296">
        <v>8786060</v>
      </c>
      <c r="D296" t="s">
        <v>1823</v>
      </c>
      <c r="E296" t="s">
        <v>38</v>
      </c>
      <c r="F296" t="s">
        <v>184</v>
      </c>
      <c r="G296" t="s">
        <v>184</v>
      </c>
      <c r="H296" t="s">
        <v>2729</v>
      </c>
      <c r="I296" t="s">
        <v>2730</v>
      </c>
      <c r="J296" t="s">
        <v>186</v>
      </c>
      <c r="K296" t="s">
        <v>225</v>
      </c>
      <c r="L296" t="s">
        <v>225</v>
      </c>
      <c r="M296" t="s">
        <v>367</v>
      </c>
      <c r="N296" t="s">
        <v>1824</v>
      </c>
      <c r="O296">
        <v>10012945</v>
      </c>
      <c r="P296" s="120">
        <v>42507</v>
      </c>
      <c r="Q296" s="120">
        <v>42509</v>
      </c>
      <c r="R296" s="120">
        <v>42542</v>
      </c>
      <c r="S296" t="s">
        <v>196</v>
      </c>
      <c r="T296">
        <v>3</v>
      </c>
      <c r="U296" t="s">
        <v>128</v>
      </c>
      <c r="V296">
        <v>3</v>
      </c>
      <c r="W296">
        <v>2</v>
      </c>
      <c r="X296">
        <v>3</v>
      </c>
      <c r="Y296">
        <v>3</v>
      </c>
      <c r="Z296" t="s">
        <v>2730</v>
      </c>
      <c r="AA296">
        <v>3</v>
      </c>
      <c r="AB296" t="s">
        <v>2733</v>
      </c>
      <c r="AC296" t="s">
        <v>2730</v>
      </c>
      <c r="AD296" t="s">
        <v>2730</v>
      </c>
      <c r="AE296" t="s">
        <v>2730</v>
      </c>
      <c r="AF296" t="s">
        <v>2730</v>
      </c>
      <c r="AG296" t="s">
        <v>2730</v>
      </c>
      <c r="AH296" t="s">
        <v>2730</v>
      </c>
    </row>
    <row r="297" spans="1:34">
      <c r="A297" s="149" t="str">
        <f>HYPERLINK("http://www.ofsted.gov.uk/inspection-reports/find-inspection-report/provider/ELS/136019 ","Ofsted School Webpage")</f>
        <v>Ofsted School Webpage</v>
      </c>
      <c r="B297">
        <v>136019</v>
      </c>
      <c r="C297">
        <v>8656043</v>
      </c>
      <c r="D297" t="s">
        <v>1825</v>
      </c>
      <c r="E297" t="s">
        <v>38</v>
      </c>
      <c r="F297" t="s">
        <v>184</v>
      </c>
      <c r="G297" t="s">
        <v>184</v>
      </c>
      <c r="H297" t="s">
        <v>2729</v>
      </c>
      <c r="I297" t="s">
        <v>2730</v>
      </c>
      <c r="J297" t="s">
        <v>186</v>
      </c>
      <c r="K297" t="s">
        <v>225</v>
      </c>
      <c r="L297" t="s">
        <v>225</v>
      </c>
      <c r="M297" t="s">
        <v>226</v>
      </c>
      <c r="N297" t="s">
        <v>1826</v>
      </c>
      <c r="O297">
        <v>10033893</v>
      </c>
      <c r="P297" s="120">
        <v>42900</v>
      </c>
      <c r="Q297" s="120">
        <v>42902</v>
      </c>
      <c r="R297" s="120">
        <v>42929</v>
      </c>
      <c r="S297" t="s">
        <v>196</v>
      </c>
      <c r="T297">
        <v>2</v>
      </c>
      <c r="U297" t="s">
        <v>128</v>
      </c>
      <c r="V297">
        <v>2</v>
      </c>
      <c r="W297">
        <v>2</v>
      </c>
      <c r="X297">
        <v>2</v>
      </c>
      <c r="Y297">
        <v>2</v>
      </c>
      <c r="Z297" t="s">
        <v>2730</v>
      </c>
      <c r="AA297" t="s">
        <v>2730</v>
      </c>
      <c r="AB297" t="s">
        <v>2732</v>
      </c>
      <c r="AC297" t="s">
        <v>2730</v>
      </c>
      <c r="AD297" t="s">
        <v>2730</v>
      </c>
      <c r="AE297" t="s">
        <v>2730</v>
      </c>
      <c r="AF297" t="s">
        <v>2730</v>
      </c>
      <c r="AG297" t="s">
        <v>2730</v>
      </c>
      <c r="AH297" t="s">
        <v>2730</v>
      </c>
    </row>
    <row r="298" spans="1:34">
      <c r="A298" s="149" t="str">
        <f>HYPERLINK("http://www.ofsted.gov.uk/inspection-reports/find-inspection-report/provider/ELS/133570 ","Ofsted School Webpage")</f>
        <v>Ofsted School Webpage</v>
      </c>
      <c r="B298">
        <v>133570</v>
      </c>
      <c r="C298">
        <v>8736041</v>
      </c>
      <c r="D298" t="s">
        <v>1827</v>
      </c>
      <c r="E298" t="s">
        <v>38</v>
      </c>
      <c r="F298" t="s">
        <v>184</v>
      </c>
      <c r="G298" t="s">
        <v>184</v>
      </c>
      <c r="H298" t="s">
        <v>2729</v>
      </c>
      <c r="I298" t="s">
        <v>2730</v>
      </c>
      <c r="J298" t="s">
        <v>186</v>
      </c>
      <c r="K298" t="s">
        <v>220</v>
      </c>
      <c r="L298" t="s">
        <v>220</v>
      </c>
      <c r="M298" t="s">
        <v>284</v>
      </c>
      <c r="N298" t="s">
        <v>1828</v>
      </c>
      <c r="O298">
        <v>10006070</v>
      </c>
      <c r="P298" s="120">
        <v>42766</v>
      </c>
      <c r="Q298" s="120">
        <v>42768</v>
      </c>
      <c r="R298" s="120">
        <v>42808</v>
      </c>
      <c r="S298" t="s">
        <v>196</v>
      </c>
      <c r="T298">
        <v>3</v>
      </c>
      <c r="U298" t="s">
        <v>128</v>
      </c>
      <c r="V298">
        <v>3</v>
      </c>
      <c r="W298">
        <v>3</v>
      </c>
      <c r="X298">
        <v>3</v>
      </c>
      <c r="Y298">
        <v>3</v>
      </c>
      <c r="Z298" t="s">
        <v>2730</v>
      </c>
      <c r="AA298" t="s">
        <v>2730</v>
      </c>
      <c r="AB298" t="s">
        <v>2733</v>
      </c>
      <c r="AC298" t="s">
        <v>2730</v>
      </c>
      <c r="AD298" t="s">
        <v>2730</v>
      </c>
      <c r="AE298" t="s">
        <v>2730</v>
      </c>
      <c r="AF298" t="s">
        <v>2730</v>
      </c>
      <c r="AG298" t="s">
        <v>2730</v>
      </c>
      <c r="AH298" t="s">
        <v>2730</v>
      </c>
    </row>
    <row r="299" spans="1:34">
      <c r="A299" s="149" t="str">
        <f>HYPERLINK("http://www.ofsted.gov.uk/inspection-reports/find-inspection-report/provider/ELS/136260 ","Ofsted School Webpage")</f>
        <v>Ofsted School Webpage</v>
      </c>
      <c r="B299">
        <v>136260</v>
      </c>
      <c r="C299">
        <v>8856039</v>
      </c>
      <c r="D299" t="s">
        <v>1829</v>
      </c>
      <c r="E299" t="s">
        <v>38</v>
      </c>
      <c r="F299" t="s">
        <v>184</v>
      </c>
      <c r="G299" t="s">
        <v>184</v>
      </c>
      <c r="H299" t="s">
        <v>2729</v>
      </c>
      <c r="I299" t="s">
        <v>2730</v>
      </c>
      <c r="J299" t="s">
        <v>186</v>
      </c>
      <c r="K299" t="s">
        <v>193</v>
      </c>
      <c r="L299" t="s">
        <v>193</v>
      </c>
      <c r="M299" t="s">
        <v>891</v>
      </c>
      <c r="N299" t="s">
        <v>1830</v>
      </c>
      <c r="O299" t="s">
        <v>1831</v>
      </c>
      <c r="P299" s="120">
        <v>41913</v>
      </c>
      <c r="Q299" s="120">
        <v>41915</v>
      </c>
      <c r="R299" s="120">
        <v>41953</v>
      </c>
      <c r="S299" t="s">
        <v>3119</v>
      </c>
      <c r="T299">
        <v>3</v>
      </c>
      <c r="U299" t="s">
        <v>2730</v>
      </c>
      <c r="V299">
        <v>3</v>
      </c>
      <c r="W299" t="s">
        <v>2730</v>
      </c>
      <c r="X299">
        <v>3</v>
      </c>
      <c r="Y299">
        <v>3</v>
      </c>
      <c r="Z299">
        <v>9</v>
      </c>
      <c r="AA299">
        <v>3</v>
      </c>
      <c r="AB299" t="s">
        <v>2730</v>
      </c>
      <c r="AC299" t="s">
        <v>2730</v>
      </c>
      <c r="AD299" t="s">
        <v>2730</v>
      </c>
      <c r="AE299" t="s">
        <v>2730</v>
      </c>
      <c r="AF299" t="s">
        <v>2730</v>
      </c>
      <c r="AG299" t="s">
        <v>2730</v>
      </c>
      <c r="AH299" t="s">
        <v>2730</v>
      </c>
    </row>
    <row r="300" spans="1:34">
      <c r="A300" s="149" t="str">
        <f>HYPERLINK("http://www.ofsted.gov.uk/inspection-reports/find-inspection-report/provider/ELS/131163 ","Ofsted School Webpage")</f>
        <v>Ofsted School Webpage</v>
      </c>
      <c r="B300">
        <v>131163</v>
      </c>
      <c r="C300">
        <v>8886032</v>
      </c>
      <c r="D300" t="s">
        <v>1832</v>
      </c>
      <c r="E300" t="s">
        <v>38</v>
      </c>
      <c r="F300" t="s">
        <v>212</v>
      </c>
      <c r="G300" t="s">
        <v>212</v>
      </c>
      <c r="H300" t="s">
        <v>2729</v>
      </c>
      <c r="I300" t="s">
        <v>2730</v>
      </c>
      <c r="J300" t="s">
        <v>186</v>
      </c>
      <c r="K300" t="s">
        <v>205</v>
      </c>
      <c r="L300" t="s">
        <v>205</v>
      </c>
      <c r="M300" t="s">
        <v>206</v>
      </c>
      <c r="N300" t="s">
        <v>1833</v>
      </c>
      <c r="O300" t="s">
        <v>1834</v>
      </c>
      <c r="P300" s="120">
        <v>41310</v>
      </c>
      <c r="Q300" s="120">
        <v>41312</v>
      </c>
      <c r="R300" s="120">
        <v>41334</v>
      </c>
      <c r="S300" t="s">
        <v>196</v>
      </c>
      <c r="T300">
        <v>1</v>
      </c>
      <c r="U300" t="s">
        <v>2730</v>
      </c>
      <c r="V300">
        <v>1</v>
      </c>
      <c r="W300" t="s">
        <v>2730</v>
      </c>
      <c r="X300">
        <v>1</v>
      </c>
      <c r="Y300">
        <v>1</v>
      </c>
      <c r="Z300" t="s">
        <v>2730</v>
      </c>
      <c r="AA300" t="s">
        <v>2730</v>
      </c>
      <c r="AB300" t="s">
        <v>2730</v>
      </c>
      <c r="AC300" t="s">
        <v>2730</v>
      </c>
      <c r="AD300" t="s">
        <v>2730</v>
      </c>
      <c r="AE300" t="s">
        <v>2730</v>
      </c>
      <c r="AF300" t="s">
        <v>2730</v>
      </c>
      <c r="AG300" t="s">
        <v>2730</v>
      </c>
      <c r="AH300" t="s">
        <v>2730</v>
      </c>
    </row>
    <row r="301" spans="1:34">
      <c r="A301" s="149" t="str">
        <f>HYPERLINK("http://www.ofsted.gov.uk/inspection-reports/find-inspection-report/provider/ELS/141864 ","Ofsted School Webpage")</f>
        <v>Ofsted School Webpage</v>
      </c>
      <c r="B301">
        <v>141864</v>
      </c>
      <c r="C301">
        <v>8886059</v>
      </c>
      <c r="D301" t="s">
        <v>1835</v>
      </c>
      <c r="E301" t="s">
        <v>38</v>
      </c>
      <c r="F301" t="s">
        <v>184</v>
      </c>
      <c r="G301" t="s">
        <v>184</v>
      </c>
      <c r="H301" t="s">
        <v>2729</v>
      </c>
      <c r="I301" t="s">
        <v>2730</v>
      </c>
      <c r="J301" t="s">
        <v>186</v>
      </c>
      <c r="K301" t="s">
        <v>205</v>
      </c>
      <c r="L301" t="s">
        <v>205</v>
      </c>
      <c r="M301" t="s">
        <v>206</v>
      </c>
      <c r="N301" t="s">
        <v>1836</v>
      </c>
      <c r="O301">
        <v>10008943</v>
      </c>
      <c r="P301" s="120">
        <v>42822</v>
      </c>
      <c r="Q301" s="120">
        <v>42824</v>
      </c>
      <c r="R301" s="120">
        <v>42859</v>
      </c>
      <c r="S301" t="s">
        <v>249</v>
      </c>
      <c r="T301">
        <v>2</v>
      </c>
      <c r="U301" t="s">
        <v>128</v>
      </c>
      <c r="V301">
        <v>1</v>
      </c>
      <c r="W301">
        <v>2</v>
      </c>
      <c r="X301">
        <v>2</v>
      </c>
      <c r="Y301">
        <v>2</v>
      </c>
      <c r="Z301" t="s">
        <v>2730</v>
      </c>
      <c r="AA301" t="s">
        <v>2730</v>
      </c>
      <c r="AB301" t="s">
        <v>2732</v>
      </c>
      <c r="AC301" t="s">
        <v>2730</v>
      </c>
      <c r="AD301" t="s">
        <v>2730</v>
      </c>
      <c r="AE301" t="s">
        <v>2730</v>
      </c>
      <c r="AF301" t="s">
        <v>2730</v>
      </c>
      <c r="AG301" t="s">
        <v>2730</v>
      </c>
      <c r="AH301" t="s">
        <v>2730</v>
      </c>
    </row>
    <row r="302" spans="1:34">
      <c r="A302" s="149" t="str">
        <f>HYPERLINK("http://www.ofsted.gov.uk/inspection-reports/find-inspection-report/provider/ELS/118995 ","Ofsted School Webpage")</f>
        <v>Ofsted School Webpage</v>
      </c>
      <c r="B302">
        <v>118995</v>
      </c>
      <c r="C302">
        <v>8866047</v>
      </c>
      <c r="D302" t="s">
        <v>1837</v>
      </c>
      <c r="E302" t="s">
        <v>38</v>
      </c>
      <c r="F302" t="s">
        <v>184</v>
      </c>
      <c r="G302" t="s">
        <v>184</v>
      </c>
      <c r="H302" t="s">
        <v>2729</v>
      </c>
      <c r="I302" t="s">
        <v>2730</v>
      </c>
      <c r="J302" t="s">
        <v>186</v>
      </c>
      <c r="K302" t="s">
        <v>181</v>
      </c>
      <c r="L302" t="s">
        <v>181</v>
      </c>
      <c r="M302" t="s">
        <v>182</v>
      </c>
      <c r="N302" t="s">
        <v>1838</v>
      </c>
      <c r="O302">
        <v>10006043</v>
      </c>
      <c r="P302" s="120">
        <v>42766</v>
      </c>
      <c r="Q302" s="120">
        <v>42768</v>
      </c>
      <c r="R302" s="120">
        <v>42800</v>
      </c>
      <c r="S302" t="s">
        <v>267</v>
      </c>
      <c r="T302">
        <v>2</v>
      </c>
      <c r="U302" t="s">
        <v>128</v>
      </c>
      <c r="V302">
        <v>2</v>
      </c>
      <c r="W302">
        <v>1</v>
      </c>
      <c r="X302">
        <v>2</v>
      </c>
      <c r="Y302">
        <v>2</v>
      </c>
      <c r="Z302" t="s">
        <v>2730</v>
      </c>
      <c r="AA302">
        <v>2</v>
      </c>
      <c r="AB302" t="s">
        <v>2732</v>
      </c>
      <c r="AC302" t="s">
        <v>2730</v>
      </c>
      <c r="AD302" t="s">
        <v>2730</v>
      </c>
      <c r="AE302" t="s">
        <v>2730</v>
      </c>
      <c r="AF302" t="s">
        <v>2730</v>
      </c>
      <c r="AG302" t="s">
        <v>2730</v>
      </c>
      <c r="AH302" t="s">
        <v>2730</v>
      </c>
    </row>
    <row r="303" spans="1:34">
      <c r="A303" s="149" t="str">
        <f>HYPERLINK("http://www.ofsted.gov.uk/inspection-reports/find-inspection-report/provider/ELS/141608 ","Ofsted School Webpage")</f>
        <v>Ofsted School Webpage</v>
      </c>
      <c r="B303">
        <v>141608</v>
      </c>
      <c r="C303">
        <v>3816015</v>
      </c>
      <c r="D303" t="s">
        <v>1839</v>
      </c>
      <c r="E303" t="s">
        <v>38</v>
      </c>
      <c r="F303" t="s">
        <v>184</v>
      </c>
      <c r="G303" t="s">
        <v>184</v>
      </c>
      <c r="H303" t="s">
        <v>2729</v>
      </c>
      <c r="I303" t="s">
        <v>2730</v>
      </c>
      <c r="J303" t="s">
        <v>186</v>
      </c>
      <c r="K303" t="s">
        <v>245</v>
      </c>
      <c r="L303" t="s">
        <v>246</v>
      </c>
      <c r="M303" t="s">
        <v>1376</v>
      </c>
      <c r="N303" t="s">
        <v>1840</v>
      </c>
      <c r="O303">
        <v>10006311</v>
      </c>
      <c r="P303" s="120">
        <v>42430</v>
      </c>
      <c r="Q303" s="120">
        <v>42431</v>
      </c>
      <c r="R303" s="120">
        <v>42473</v>
      </c>
      <c r="S303" t="s">
        <v>249</v>
      </c>
      <c r="T303">
        <v>2</v>
      </c>
      <c r="U303" t="s">
        <v>128</v>
      </c>
      <c r="V303">
        <v>2</v>
      </c>
      <c r="W303">
        <v>2</v>
      </c>
      <c r="X303">
        <v>2</v>
      </c>
      <c r="Y303">
        <v>2</v>
      </c>
      <c r="Z303" t="s">
        <v>2730</v>
      </c>
      <c r="AA303" t="s">
        <v>2730</v>
      </c>
      <c r="AB303" t="s">
        <v>2732</v>
      </c>
      <c r="AC303" t="s">
        <v>2730</v>
      </c>
      <c r="AD303" t="s">
        <v>2730</v>
      </c>
      <c r="AE303" s="120" t="s">
        <v>2730</v>
      </c>
      <c r="AF303" t="s">
        <v>2730</v>
      </c>
      <c r="AG303" s="120" t="s">
        <v>2730</v>
      </c>
      <c r="AH303" t="s">
        <v>2730</v>
      </c>
    </row>
    <row r="304" spans="1:34">
      <c r="A304" s="149" t="str">
        <f>HYPERLINK("http://www.ofsted.gov.uk/inspection-reports/find-inspection-report/provider/ELS/133515 ","Ofsted School Webpage")</f>
        <v>Ofsted School Webpage</v>
      </c>
      <c r="B304">
        <v>133515</v>
      </c>
      <c r="C304">
        <v>9286069</v>
      </c>
      <c r="D304" t="s">
        <v>3037</v>
      </c>
      <c r="E304" t="s">
        <v>38</v>
      </c>
      <c r="F304" t="s">
        <v>184</v>
      </c>
      <c r="G304" t="s">
        <v>184</v>
      </c>
      <c r="H304" t="s">
        <v>2729</v>
      </c>
      <c r="I304" t="s">
        <v>2730</v>
      </c>
      <c r="J304" t="s">
        <v>186</v>
      </c>
      <c r="K304" t="s">
        <v>214</v>
      </c>
      <c r="L304" t="s">
        <v>214</v>
      </c>
      <c r="M304" t="s">
        <v>215</v>
      </c>
      <c r="N304" t="s">
        <v>3038</v>
      </c>
      <c r="O304">
        <v>10012956</v>
      </c>
      <c r="P304" s="120">
        <v>42500</v>
      </c>
      <c r="Q304" s="120">
        <v>42502</v>
      </c>
      <c r="R304" s="120">
        <v>42569</v>
      </c>
      <c r="S304" t="s">
        <v>196</v>
      </c>
      <c r="T304">
        <v>4</v>
      </c>
      <c r="U304" t="s">
        <v>129</v>
      </c>
      <c r="V304">
        <v>4</v>
      </c>
      <c r="W304">
        <v>4</v>
      </c>
      <c r="X304">
        <v>3</v>
      </c>
      <c r="Y304">
        <v>3</v>
      </c>
      <c r="Z304" t="s">
        <v>2730</v>
      </c>
      <c r="AA304" t="s">
        <v>2730</v>
      </c>
      <c r="AB304" t="s">
        <v>2733</v>
      </c>
      <c r="AC304">
        <v>10033839</v>
      </c>
      <c r="AD304" t="s">
        <v>187</v>
      </c>
      <c r="AE304" s="120">
        <v>42845</v>
      </c>
      <c r="AF304" t="s">
        <v>2769</v>
      </c>
      <c r="AG304" s="120">
        <v>42864</v>
      </c>
      <c r="AH304" t="s">
        <v>189</v>
      </c>
    </row>
    <row r="305" spans="1:34">
      <c r="A305" s="149" t="str">
        <f>HYPERLINK("http://www.ofsted.gov.uk/inspection-reports/find-inspection-report/provider/ELS/134978 ","Ofsted School Webpage")</f>
        <v>Ofsted School Webpage</v>
      </c>
      <c r="B305">
        <v>134978</v>
      </c>
      <c r="C305">
        <v>9266419</v>
      </c>
      <c r="D305" t="s">
        <v>1423</v>
      </c>
      <c r="E305" t="s">
        <v>38</v>
      </c>
      <c r="F305" t="s">
        <v>184</v>
      </c>
      <c r="G305" t="s">
        <v>184</v>
      </c>
      <c r="H305" t="s">
        <v>2729</v>
      </c>
      <c r="I305" t="s">
        <v>2730</v>
      </c>
      <c r="J305" t="s">
        <v>186</v>
      </c>
      <c r="K305" t="s">
        <v>220</v>
      </c>
      <c r="L305" t="s">
        <v>220</v>
      </c>
      <c r="M305" t="s">
        <v>445</v>
      </c>
      <c r="N305" t="s">
        <v>1424</v>
      </c>
      <c r="O305">
        <v>10008940</v>
      </c>
      <c r="P305" s="120">
        <v>42864</v>
      </c>
      <c r="Q305" s="120">
        <v>42866</v>
      </c>
      <c r="R305" s="120">
        <v>42921</v>
      </c>
      <c r="S305" t="s">
        <v>3119</v>
      </c>
      <c r="T305">
        <v>1</v>
      </c>
      <c r="U305" t="s">
        <v>128</v>
      </c>
      <c r="V305">
        <v>1</v>
      </c>
      <c r="W305">
        <v>1</v>
      </c>
      <c r="X305">
        <v>1</v>
      </c>
      <c r="Y305">
        <v>1</v>
      </c>
      <c r="Z305" t="s">
        <v>2730</v>
      </c>
      <c r="AA305" t="s">
        <v>2730</v>
      </c>
      <c r="AB305" t="s">
        <v>2732</v>
      </c>
      <c r="AC305" t="s">
        <v>2730</v>
      </c>
      <c r="AD305" t="s">
        <v>2730</v>
      </c>
      <c r="AE305" t="s">
        <v>2730</v>
      </c>
      <c r="AF305" t="s">
        <v>2730</v>
      </c>
      <c r="AG305" t="s">
        <v>2730</v>
      </c>
      <c r="AH305" t="s">
        <v>2730</v>
      </c>
    </row>
    <row r="306" spans="1:34">
      <c r="A306" s="149" t="str">
        <f>HYPERLINK("http://www.ofsted.gov.uk/inspection-reports/find-inspection-report/provider/ELS/140354 ","Ofsted School Webpage")</f>
        <v>Ofsted School Webpage</v>
      </c>
      <c r="B306">
        <v>140354</v>
      </c>
      <c r="C306">
        <v>9376008</v>
      </c>
      <c r="D306" t="s">
        <v>1425</v>
      </c>
      <c r="E306" t="s">
        <v>38</v>
      </c>
      <c r="F306" t="s">
        <v>184</v>
      </c>
      <c r="G306" t="s">
        <v>184</v>
      </c>
      <c r="H306" t="s">
        <v>2729</v>
      </c>
      <c r="I306" t="s">
        <v>2730</v>
      </c>
      <c r="J306" t="s">
        <v>186</v>
      </c>
      <c r="K306" t="s">
        <v>193</v>
      </c>
      <c r="L306" t="s">
        <v>193</v>
      </c>
      <c r="M306" t="s">
        <v>377</v>
      </c>
      <c r="N306" t="s">
        <v>1426</v>
      </c>
      <c r="O306" t="s">
        <v>1427</v>
      </c>
      <c r="P306" s="120">
        <v>41919</v>
      </c>
      <c r="Q306" s="120">
        <v>41921</v>
      </c>
      <c r="R306" s="120">
        <v>41948</v>
      </c>
      <c r="S306" t="s">
        <v>249</v>
      </c>
      <c r="T306">
        <v>2</v>
      </c>
      <c r="U306" t="s">
        <v>2730</v>
      </c>
      <c r="V306">
        <v>2</v>
      </c>
      <c r="W306" t="s">
        <v>2730</v>
      </c>
      <c r="X306">
        <v>2</v>
      </c>
      <c r="Y306">
        <v>2</v>
      </c>
      <c r="Z306">
        <v>9</v>
      </c>
      <c r="AA306">
        <v>9</v>
      </c>
      <c r="AB306" t="s">
        <v>2730</v>
      </c>
      <c r="AC306" t="s">
        <v>2730</v>
      </c>
      <c r="AD306" t="s">
        <v>2730</v>
      </c>
      <c r="AE306" t="s">
        <v>2730</v>
      </c>
      <c r="AF306" t="s">
        <v>2730</v>
      </c>
      <c r="AG306" t="s">
        <v>2730</v>
      </c>
      <c r="AH306" t="s">
        <v>2730</v>
      </c>
    </row>
    <row r="307" spans="1:34">
      <c r="A307" s="149" t="str">
        <f>HYPERLINK("http://www.ofsted.gov.uk/inspection-reports/find-inspection-report/provider/ELS/134315 ","Ofsted School Webpage")</f>
        <v>Ofsted School Webpage</v>
      </c>
      <c r="B307">
        <v>134315</v>
      </c>
      <c r="C307">
        <v>8136004</v>
      </c>
      <c r="D307" t="s">
        <v>1428</v>
      </c>
      <c r="E307" t="s">
        <v>38</v>
      </c>
      <c r="F307" t="s">
        <v>184</v>
      </c>
      <c r="G307" t="s">
        <v>184</v>
      </c>
      <c r="H307" t="s">
        <v>2729</v>
      </c>
      <c r="I307" t="s">
        <v>2730</v>
      </c>
      <c r="J307" t="s">
        <v>186</v>
      </c>
      <c r="K307" t="s">
        <v>245</v>
      </c>
      <c r="L307" t="s">
        <v>246</v>
      </c>
      <c r="M307" t="s">
        <v>1018</v>
      </c>
      <c r="N307" t="s">
        <v>1429</v>
      </c>
      <c r="O307">
        <v>10012920</v>
      </c>
      <c r="P307" s="120">
        <v>42556</v>
      </c>
      <c r="Q307" s="120">
        <v>42558</v>
      </c>
      <c r="R307" s="120">
        <v>42625</v>
      </c>
      <c r="S307" t="s">
        <v>3119</v>
      </c>
      <c r="T307">
        <v>2</v>
      </c>
      <c r="U307" t="s">
        <v>128</v>
      </c>
      <c r="V307">
        <v>2</v>
      </c>
      <c r="W307">
        <v>2</v>
      </c>
      <c r="X307">
        <v>2</v>
      </c>
      <c r="Y307">
        <v>2</v>
      </c>
      <c r="Z307" t="s">
        <v>2730</v>
      </c>
      <c r="AA307">
        <v>2</v>
      </c>
      <c r="AB307" t="s">
        <v>2732</v>
      </c>
      <c r="AC307" t="s">
        <v>2730</v>
      </c>
      <c r="AD307" t="s">
        <v>2730</v>
      </c>
      <c r="AE307" t="s">
        <v>2730</v>
      </c>
      <c r="AF307" t="s">
        <v>2730</v>
      </c>
      <c r="AG307" t="s">
        <v>2730</v>
      </c>
      <c r="AH307" t="s">
        <v>2730</v>
      </c>
    </row>
    <row r="308" spans="1:34">
      <c r="A308" s="149" t="str">
        <f>HYPERLINK("http://www.ofsted.gov.uk/inspection-reports/find-inspection-report/provider/ELS/135990 ","Ofsted School Webpage")</f>
        <v>Ofsted School Webpage</v>
      </c>
      <c r="B308">
        <v>135990</v>
      </c>
      <c r="C308">
        <v>8226014</v>
      </c>
      <c r="D308" t="s">
        <v>487</v>
      </c>
      <c r="E308" t="s">
        <v>38</v>
      </c>
      <c r="F308" t="s">
        <v>184</v>
      </c>
      <c r="G308" t="s">
        <v>184</v>
      </c>
      <c r="H308" t="s">
        <v>2729</v>
      </c>
      <c r="I308" t="s">
        <v>2730</v>
      </c>
      <c r="J308" t="s">
        <v>186</v>
      </c>
      <c r="K308" t="s">
        <v>220</v>
      </c>
      <c r="L308" t="s">
        <v>220</v>
      </c>
      <c r="M308" t="s">
        <v>333</v>
      </c>
      <c r="N308" t="s">
        <v>488</v>
      </c>
      <c r="O308">
        <v>10020928</v>
      </c>
      <c r="P308" s="120">
        <v>42647</v>
      </c>
      <c r="Q308" s="120">
        <v>42649</v>
      </c>
      <c r="R308" s="120">
        <v>42697</v>
      </c>
      <c r="S308" t="s">
        <v>3119</v>
      </c>
      <c r="T308">
        <v>3</v>
      </c>
      <c r="U308" t="s">
        <v>128</v>
      </c>
      <c r="V308">
        <v>3</v>
      </c>
      <c r="W308">
        <v>2</v>
      </c>
      <c r="X308">
        <v>3</v>
      </c>
      <c r="Y308">
        <v>3</v>
      </c>
      <c r="Z308" t="s">
        <v>2730</v>
      </c>
      <c r="AA308">
        <v>3</v>
      </c>
      <c r="AB308" t="s">
        <v>2733</v>
      </c>
      <c r="AC308">
        <v>10039487</v>
      </c>
      <c r="AD308" t="s">
        <v>187</v>
      </c>
      <c r="AE308" s="120">
        <v>43025</v>
      </c>
      <c r="AF308" t="s">
        <v>2771</v>
      </c>
      <c r="AG308" s="120">
        <v>43066</v>
      </c>
      <c r="AH308" t="s">
        <v>217</v>
      </c>
    </row>
    <row r="309" spans="1:34">
      <c r="A309" s="149" t="str">
        <f>HYPERLINK("http://www.ofsted.gov.uk/inspection-reports/find-inspection-report/provider/ELS/134781 ","Ofsted School Webpage")</f>
        <v>Ofsted School Webpage</v>
      </c>
      <c r="B309">
        <v>134781</v>
      </c>
      <c r="C309">
        <v>9096054</v>
      </c>
      <c r="D309" t="s">
        <v>1145</v>
      </c>
      <c r="E309" t="s">
        <v>38</v>
      </c>
      <c r="F309" t="s">
        <v>184</v>
      </c>
      <c r="G309" t="s">
        <v>184</v>
      </c>
      <c r="H309" t="s">
        <v>2729</v>
      </c>
      <c r="I309" t="s">
        <v>2730</v>
      </c>
      <c r="J309" t="s">
        <v>186</v>
      </c>
      <c r="K309" t="s">
        <v>205</v>
      </c>
      <c r="L309" t="s">
        <v>205</v>
      </c>
      <c r="M309" t="s">
        <v>947</v>
      </c>
      <c r="N309" t="s">
        <v>1146</v>
      </c>
      <c r="O309" t="s">
        <v>1147</v>
      </c>
      <c r="P309" s="120">
        <v>42185</v>
      </c>
      <c r="Q309" s="120">
        <v>42187</v>
      </c>
      <c r="R309" s="120">
        <v>42219</v>
      </c>
      <c r="S309" t="s">
        <v>3119</v>
      </c>
      <c r="T309">
        <v>1</v>
      </c>
      <c r="U309" t="s">
        <v>2730</v>
      </c>
      <c r="V309">
        <v>1</v>
      </c>
      <c r="W309" t="s">
        <v>2730</v>
      </c>
      <c r="X309">
        <v>1</v>
      </c>
      <c r="Y309">
        <v>1</v>
      </c>
      <c r="Z309">
        <v>9</v>
      </c>
      <c r="AA309">
        <v>1</v>
      </c>
      <c r="AB309" t="s">
        <v>2730</v>
      </c>
      <c r="AC309" t="s">
        <v>2730</v>
      </c>
      <c r="AD309" t="s">
        <v>2730</v>
      </c>
      <c r="AE309" t="s">
        <v>2730</v>
      </c>
      <c r="AF309" t="s">
        <v>2730</v>
      </c>
      <c r="AG309" t="s">
        <v>2730</v>
      </c>
      <c r="AH309" t="s">
        <v>2730</v>
      </c>
    </row>
    <row r="310" spans="1:34">
      <c r="A310" s="149" t="str">
        <f>HYPERLINK("http://www.ofsted.gov.uk/inspection-reports/find-inspection-report/provider/ELS/134179 ","Ofsted School Webpage")</f>
        <v>Ofsted School Webpage</v>
      </c>
      <c r="B310">
        <v>134179</v>
      </c>
      <c r="C310">
        <v>8736033</v>
      </c>
      <c r="D310" t="s">
        <v>1148</v>
      </c>
      <c r="E310" t="s">
        <v>38</v>
      </c>
      <c r="F310" t="s">
        <v>184</v>
      </c>
      <c r="G310" t="s">
        <v>184</v>
      </c>
      <c r="H310" t="s">
        <v>2729</v>
      </c>
      <c r="I310" t="s">
        <v>2730</v>
      </c>
      <c r="J310" t="s">
        <v>186</v>
      </c>
      <c r="K310" t="s">
        <v>220</v>
      </c>
      <c r="L310" t="s">
        <v>220</v>
      </c>
      <c r="M310" t="s">
        <v>284</v>
      </c>
      <c r="N310" t="s">
        <v>1149</v>
      </c>
      <c r="O310">
        <v>10006014</v>
      </c>
      <c r="P310" s="120">
        <v>42745</v>
      </c>
      <c r="Q310" s="120">
        <v>42747</v>
      </c>
      <c r="R310" s="120">
        <v>42793</v>
      </c>
      <c r="S310" t="s">
        <v>196</v>
      </c>
      <c r="T310">
        <v>3</v>
      </c>
      <c r="U310" t="s">
        <v>128</v>
      </c>
      <c r="V310">
        <v>2</v>
      </c>
      <c r="W310">
        <v>3</v>
      </c>
      <c r="X310">
        <v>3</v>
      </c>
      <c r="Y310">
        <v>3</v>
      </c>
      <c r="Z310" t="s">
        <v>2730</v>
      </c>
      <c r="AA310" t="s">
        <v>2730</v>
      </c>
      <c r="AB310" t="s">
        <v>2733</v>
      </c>
      <c r="AC310" t="s">
        <v>2730</v>
      </c>
      <c r="AD310" t="s">
        <v>2730</v>
      </c>
      <c r="AE310" t="s">
        <v>2730</v>
      </c>
      <c r="AF310" t="s">
        <v>2730</v>
      </c>
      <c r="AG310" t="s">
        <v>2730</v>
      </c>
      <c r="AH310" t="s">
        <v>2730</v>
      </c>
    </row>
    <row r="311" spans="1:34">
      <c r="A311" s="149" t="str">
        <f>HYPERLINK("http://www.ofsted.gov.uk/inspection-reports/find-inspection-report/provider/ELS/131237 ","Ofsted School Webpage")</f>
        <v>Ofsted School Webpage</v>
      </c>
      <c r="B311">
        <v>131237</v>
      </c>
      <c r="C311">
        <v>2106391</v>
      </c>
      <c r="D311" t="s">
        <v>549</v>
      </c>
      <c r="E311" t="s">
        <v>38</v>
      </c>
      <c r="F311" t="s">
        <v>184</v>
      </c>
      <c r="G311" t="s">
        <v>184</v>
      </c>
      <c r="H311" t="s">
        <v>2729</v>
      </c>
      <c r="I311" t="s">
        <v>2730</v>
      </c>
      <c r="J311" t="s">
        <v>186</v>
      </c>
      <c r="K311" t="s">
        <v>232</v>
      </c>
      <c r="L311" t="s">
        <v>232</v>
      </c>
      <c r="M311" t="s">
        <v>550</v>
      </c>
      <c r="N311" t="s">
        <v>551</v>
      </c>
      <c r="O311" t="s">
        <v>552</v>
      </c>
      <c r="P311" s="120">
        <v>41612</v>
      </c>
      <c r="Q311" s="120">
        <v>41614</v>
      </c>
      <c r="R311" s="120">
        <v>41649</v>
      </c>
      <c r="S311" t="s">
        <v>196</v>
      </c>
      <c r="T311">
        <v>2</v>
      </c>
      <c r="U311" t="s">
        <v>2730</v>
      </c>
      <c r="V311">
        <v>2</v>
      </c>
      <c r="W311" t="s">
        <v>2730</v>
      </c>
      <c r="X311">
        <v>2</v>
      </c>
      <c r="Y311">
        <v>2</v>
      </c>
      <c r="Z311" t="s">
        <v>2730</v>
      </c>
      <c r="AA311" t="s">
        <v>2730</v>
      </c>
      <c r="AB311" t="s">
        <v>2730</v>
      </c>
      <c r="AC311" t="s">
        <v>2730</v>
      </c>
      <c r="AD311" t="s">
        <v>2730</v>
      </c>
      <c r="AE311" s="120" t="s">
        <v>2730</v>
      </c>
      <c r="AF311" t="s">
        <v>2730</v>
      </c>
      <c r="AG311" s="120" t="s">
        <v>2730</v>
      </c>
      <c r="AH311" t="s">
        <v>2730</v>
      </c>
    </row>
    <row r="312" spans="1:34">
      <c r="A312" s="149" t="str">
        <f>HYPERLINK("http://www.ofsted.gov.uk/inspection-reports/find-inspection-report/provider/ELS/135604 ","Ofsted School Webpage")</f>
        <v>Ofsted School Webpage</v>
      </c>
      <c r="B312">
        <v>135604</v>
      </c>
      <c r="C312">
        <v>8256040</v>
      </c>
      <c r="D312" t="s">
        <v>877</v>
      </c>
      <c r="E312" t="s">
        <v>38</v>
      </c>
      <c r="F312" t="s">
        <v>184</v>
      </c>
      <c r="G312" t="s">
        <v>184</v>
      </c>
      <c r="H312" t="s">
        <v>2729</v>
      </c>
      <c r="I312" t="s">
        <v>2730</v>
      </c>
      <c r="J312" t="s">
        <v>186</v>
      </c>
      <c r="K312" t="s">
        <v>181</v>
      </c>
      <c r="L312" t="s">
        <v>181</v>
      </c>
      <c r="M312" t="s">
        <v>251</v>
      </c>
      <c r="N312" t="s">
        <v>878</v>
      </c>
      <c r="O312">
        <v>10006103</v>
      </c>
      <c r="P312" s="120">
        <v>42864</v>
      </c>
      <c r="Q312" s="120">
        <v>42866</v>
      </c>
      <c r="R312" s="120">
        <v>42887</v>
      </c>
      <c r="S312" t="s">
        <v>196</v>
      </c>
      <c r="T312">
        <v>2</v>
      </c>
      <c r="U312" t="s">
        <v>128</v>
      </c>
      <c r="V312">
        <v>2</v>
      </c>
      <c r="W312">
        <v>2</v>
      </c>
      <c r="X312">
        <v>2</v>
      </c>
      <c r="Y312">
        <v>2</v>
      </c>
      <c r="Z312" t="s">
        <v>2730</v>
      </c>
      <c r="AA312" t="s">
        <v>2730</v>
      </c>
      <c r="AB312" t="s">
        <v>2732</v>
      </c>
      <c r="AC312" t="s">
        <v>2730</v>
      </c>
      <c r="AD312" t="s">
        <v>2730</v>
      </c>
      <c r="AE312" t="s">
        <v>2730</v>
      </c>
      <c r="AF312" t="s">
        <v>2730</v>
      </c>
      <c r="AG312" t="s">
        <v>2730</v>
      </c>
      <c r="AH312" t="s">
        <v>2730</v>
      </c>
    </row>
    <row r="313" spans="1:34">
      <c r="A313" s="149" t="str">
        <f>HYPERLINK("http://www.ofsted.gov.uk/inspection-reports/find-inspection-report/provider/ELS/135555 ","Ofsted School Webpage")</f>
        <v>Ofsted School Webpage</v>
      </c>
      <c r="B313">
        <v>135555</v>
      </c>
      <c r="C313">
        <v>9096097</v>
      </c>
      <c r="D313" t="s">
        <v>1080</v>
      </c>
      <c r="E313" t="s">
        <v>38</v>
      </c>
      <c r="F313" t="s">
        <v>184</v>
      </c>
      <c r="G313" t="s">
        <v>184</v>
      </c>
      <c r="H313" t="s">
        <v>2729</v>
      </c>
      <c r="I313" t="s">
        <v>2730</v>
      </c>
      <c r="J313" t="s">
        <v>186</v>
      </c>
      <c r="K313" t="s">
        <v>205</v>
      </c>
      <c r="L313" t="s">
        <v>205</v>
      </c>
      <c r="M313" t="s">
        <v>947</v>
      </c>
      <c r="N313" t="s">
        <v>1081</v>
      </c>
      <c r="O313">
        <v>10006022</v>
      </c>
      <c r="P313" s="120">
        <v>42556</v>
      </c>
      <c r="Q313" s="120">
        <v>42558</v>
      </c>
      <c r="R313" s="120">
        <v>42671</v>
      </c>
      <c r="S313" t="s">
        <v>196</v>
      </c>
      <c r="T313">
        <v>2</v>
      </c>
      <c r="U313" t="s">
        <v>128</v>
      </c>
      <c r="V313">
        <v>2</v>
      </c>
      <c r="W313">
        <v>2</v>
      </c>
      <c r="X313">
        <v>2</v>
      </c>
      <c r="Y313">
        <v>2</v>
      </c>
      <c r="Z313" t="s">
        <v>2730</v>
      </c>
      <c r="AA313" t="s">
        <v>2730</v>
      </c>
      <c r="AB313" t="s">
        <v>2732</v>
      </c>
      <c r="AC313" t="s">
        <v>2730</v>
      </c>
      <c r="AD313" t="s">
        <v>2730</v>
      </c>
      <c r="AE313" t="s">
        <v>2730</v>
      </c>
      <c r="AF313" t="s">
        <v>2730</v>
      </c>
      <c r="AG313" t="s">
        <v>2730</v>
      </c>
      <c r="AH313" t="s">
        <v>2730</v>
      </c>
    </row>
    <row r="314" spans="1:34">
      <c r="A314" s="149" t="str">
        <f>HYPERLINK("http://www.ofsted.gov.uk/inspection-reports/find-inspection-report/provider/ELS/131751 ","Ofsted School Webpage")</f>
        <v>Ofsted School Webpage</v>
      </c>
      <c r="B314">
        <v>131751</v>
      </c>
      <c r="C314">
        <v>3536019</v>
      </c>
      <c r="D314" t="s">
        <v>1082</v>
      </c>
      <c r="E314" t="s">
        <v>38</v>
      </c>
      <c r="F314" t="s">
        <v>184</v>
      </c>
      <c r="G314" t="s">
        <v>184</v>
      </c>
      <c r="H314" t="s">
        <v>2729</v>
      </c>
      <c r="I314" t="s">
        <v>2730</v>
      </c>
      <c r="J314" t="s">
        <v>186</v>
      </c>
      <c r="K314" t="s">
        <v>205</v>
      </c>
      <c r="L314" t="s">
        <v>205</v>
      </c>
      <c r="M314" t="s">
        <v>468</v>
      </c>
      <c r="N314" t="s">
        <v>1083</v>
      </c>
      <c r="O314">
        <v>10012866</v>
      </c>
      <c r="P314" s="120">
        <v>42661</v>
      </c>
      <c r="Q314" s="120">
        <v>42663</v>
      </c>
      <c r="R314" s="120">
        <v>42695</v>
      </c>
      <c r="S314" t="s">
        <v>196</v>
      </c>
      <c r="T314">
        <v>2</v>
      </c>
      <c r="U314" t="s">
        <v>128</v>
      </c>
      <c r="V314">
        <v>2</v>
      </c>
      <c r="W314">
        <v>2</v>
      </c>
      <c r="X314">
        <v>2</v>
      </c>
      <c r="Y314">
        <v>2</v>
      </c>
      <c r="Z314" t="s">
        <v>2730</v>
      </c>
      <c r="AA314" t="s">
        <v>2730</v>
      </c>
      <c r="AB314" t="s">
        <v>2732</v>
      </c>
      <c r="AC314" t="s">
        <v>2730</v>
      </c>
      <c r="AD314" t="s">
        <v>2730</v>
      </c>
      <c r="AE314" t="s">
        <v>2730</v>
      </c>
      <c r="AF314" t="s">
        <v>2730</v>
      </c>
      <c r="AG314" t="s">
        <v>2730</v>
      </c>
      <c r="AH314" t="s">
        <v>2730</v>
      </c>
    </row>
    <row r="315" spans="1:34">
      <c r="A315" s="149" t="str">
        <f>HYPERLINK("http://www.ofsted.gov.uk/inspection-reports/find-inspection-report/provider/ELS/135637 ","Ofsted School Webpage")</f>
        <v>Ofsted School Webpage</v>
      </c>
      <c r="B315">
        <v>135637</v>
      </c>
      <c r="C315">
        <v>8016132</v>
      </c>
      <c r="D315" t="s">
        <v>450</v>
      </c>
      <c r="E315" t="s">
        <v>38</v>
      </c>
      <c r="F315" t="s">
        <v>184</v>
      </c>
      <c r="G315" t="s">
        <v>184</v>
      </c>
      <c r="H315" t="s">
        <v>2729</v>
      </c>
      <c r="I315" t="s">
        <v>2730</v>
      </c>
      <c r="J315" t="s">
        <v>186</v>
      </c>
      <c r="K315" t="s">
        <v>225</v>
      </c>
      <c r="L315" t="s">
        <v>225</v>
      </c>
      <c r="M315" t="s">
        <v>361</v>
      </c>
      <c r="N315" t="s">
        <v>451</v>
      </c>
      <c r="O315">
        <v>10033895</v>
      </c>
      <c r="P315" s="120">
        <v>43019</v>
      </c>
      <c r="Q315" s="120">
        <v>43021</v>
      </c>
      <c r="R315" s="120">
        <v>43056</v>
      </c>
      <c r="S315" t="s">
        <v>3119</v>
      </c>
      <c r="T315">
        <v>4</v>
      </c>
      <c r="U315" t="s">
        <v>129</v>
      </c>
      <c r="V315">
        <v>4</v>
      </c>
      <c r="W315">
        <v>4</v>
      </c>
      <c r="X315">
        <v>3</v>
      </c>
      <c r="Y315">
        <v>3</v>
      </c>
      <c r="Z315" t="s">
        <v>2730</v>
      </c>
      <c r="AA315" t="s">
        <v>2730</v>
      </c>
      <c r="AB315" t="s">
        <v>2733</v>
      </c>
      <c r="AC315" t="s">
        <v>2730</v>
      </c>
      <c r="AD315" t="s">
        <v>2730</v>
      </c>
      <c r="AE315" t="s">
        <v>2730</v>
      </c>
      <c r="AF315" t="s">
        <v>2730</v>
      </c>
      <c r="AG315" t="s">
        <v>2730</v>
      </c>
      <c r="AH315" t="s">
        <v>2730</v>
      </c>
    </row>
    <row r="316" spans="1:34">
      <c r="A316" s="149" t="str">
        <f>HYPERLINK("http://www.ofsted.gov.uk/inspection-reports/find-inspection-report/provider/ELS/136954 ","Ofsted School Webpage")</f>
        <v>Ofsted School Webpage</v>
      </c>
      <c r="B316">
        <v>136954</v>
      </c>
      <c r="C316">
        <v>8306003</v>
      </c>
      <c r="D316" t="s">
        <v>1461</v>
      </c>
      <c r="E316" t="s">
        <v>38</v>
      </c>
      <c r="F316" t="s">
        <v>184</v>
      </c>
      <c r="G316" t="s">
        <v>184</v>
      </c>
      <c r="H316" t="s">
        <v>2729</v>
      </c>
      <c r="I316" t="s">
        <v>2730</v>
      </c>
      <c r="J316" t="s">
        <v>186</v>
      </c>
      <c r="K316" t="s">
        <v>214</v>
      </c>
      <c r="L316" t="s">
        <v>214</v>
      </c>
      <c r="M316" t="s">
        <v>364</v>
      </c>
      <c r="N316" t="s">
        <v>1462</v>
      </c>
      <c r="O316">
        <v>10006549</v>
      </c>
      <c r="P316" s="120">
        <v>42276</v>
      </c>
      <c r="Q316" s="120">
        <v>42278</v>
      </c>
      <c r="R316" s="120">
        <v>42314</v>
      </c>
      <c r="S316" t="s">
        <v>196</v>
      </c>
      <c r="T316">
        <v>2</v>
      </c>
      <c r="U316" t="s">
        <v>128</v>
      </c>
      <c r="V316">
        <v>2</v>
      </c>
      <c r="W316">
        <v>2</v>
      </c>
      <c r="X316">
        <v>2</v>
      </c>
      <c r="Y316">
        <v>2</v>
      </c>
      <c r="Z316" t="s">
        <v>2730</v>
      </c>
      <c r="AA316">
        <v>2</v>
      </c>
      <c r="AB316" t="s">
        <v>2732</v>
      </c>
      <c r="AC316" t="s">
        <v>2730</v>
      </c>
      <c r="AD316" t="s">
        <v>2730</v>
      </c>
      <c r="AE316" t="s">
        <v>2730</v>
      </c>
      <c r="AF316" t="s">
        <v>2730</v>
      </c>
      <c r="AG316" t="s">
        <v>2730</v>
      </c>
      <c r="AH316" t="s">
        <v>2730</v>
      </c>
    </row>
    <row r="317" spans="1:34">
      <c r="A317" s="149" t="str">
        <f>HYPERLINK("http://www.ofsted.gov.uk/inspection-reports/find-inspection-report/provider/ELS/141502 ","Ofsted School Webpage")</f>
        <v>Ofsted School Webpage</v>
      </c>
      <c r="B317">
        <v>141502</v>
      </c>
      <c r="C317">
        <v>8956001</v>
      </c>
      <c r="D317" t="s">
        <v>1463</v>
      </c>
      <c r="E317" t="s">
        <v>38</v>
      </c>
      <c r="F317" t="s">
        <v>184</v>
      </c>
      <c r="G317" t="s">
        <v>184</v>
      </c>
      <c r="H317" t="s">
        <v>2729</v>
      </c>
      <c r="I317" t="s">
        <v>2730</v>
      </c>
      <c r="J317" t="s">
        <v>186</v>
      </c>
      <c r="K317" t="s">
        <v>205</v>
      </c>
      <c r="L317" t="s">
        <v>205</v>
      </c>
      <c r="M317" t="s">
        <v>850</v>
      </c>
      <c r="N317" t="s">
        <v>1320</v>
      </c>
      <c r="O317">
        <v>10006313</v>
      </c>
      <c r="P317" s="120">
        <v>42451</v>
      </c>
      <c r="Q317" s="120">
        <v>42453</v>
      </c>
      <c r="R317" s="120">
        <v>42499</v>
      </c>
      <c r="S317" t="s">
        <v>249</v>
      </c>
      <c r="T317">
        <v>2</v>
      </c>
      <c r="U317" t="s">
        <v>128</v>
      </c>
      <c r="V317">
        <v>2</v>
      </c>
      <c r="W317">
        <v>2</v>
      </c>
      <c r="X317">
        <v>2</v>
      </c>
      <c r="Y317">
        <v>2</v>
      </c>
      <c r="Z317" t="s">
        <v>2730</v>
      </c>
      <c r="AA317" t="s">
        <v>2730</v>
      </c>
      <c r="AB317" t="s">
        <v>2732</v>
      </c>
      <c r="AC317" t="s">
        <v>2730</v>
      </c>
      <c r="AD317" t="s">
        <v>2730</v>
      </c>
      <c r="AE317" s="120" t="s">
        <v>2730</v>
      </c>
      <c r="AF317" t="s">
        <v>2730</v>
      </c>
      <c r="AG317" s="120" t="s">
        <v>2730</v>
      </c>
      <c r="AH317" t="s">
        <v>2730</v>
      </c>
    </row>
    <row r="318" spans="1:34">
      <c r="A318" s="149" t="str">
        <f>HYPERLINK("http://www.ofsted.gov.uk/inspection-reports/find-inspection-report/provider/ELS/136748 ","Ofsted School Webpage")</f>
        <v>Ofsted School Webpage</v>
      </c>
      <c r="B318">
        <v>136748</v>
      </c>
      <c r="C318">
        <v>8406012</v>
      </c>
      <c r="D318" t="s">
        <v>1464</v>
      </c>
      <c r="E318" t="s">
        <v>38</v>
      </c>
      <c r="F318" t="s">
        <v>184</v>
      </c>
      <c r="G318" t="s">
        <v>184</v>
      </c>
      <c r="H318" t="s">
        <v>2729</v>
      </c>
      <c r="I318" t="s">
        <v>2730</v>
      </c>
      <c r="J318" t="s">
        <v>186</v>
      </c>
      <c r="K318" t="s">
        <v>245</v>
      </c>
      <c r="L318" t="s">
        <v>277</v>
      </c>
      <c r="M318" t="s">
        <v>1125</v>
      </c>
      <c r="N318" t="s">
        <v>1465</v>
      </c>
      <c r="O318">
        <v>10006328</v>
      </c>
      <c r="P318" s="120">
        <v>42346</v>
      </c>
      <c r="Q318" s="120">
        <v>42348</v>
      </c>
      <c r="R318" s="120">
        <v>42387</v>
      </c>
      <c r="S318" t="s">
        <v>196</v>
      </c>
      <c r="T318">
        <v>2</v>
      </c>
      <c r="U318" t="s">
        <v>128</v>
      </c>
      <c r="V318">
        <v>2</v>
      </c>
      <c r="W318">
        <v>1</v>
      </c>
      <c r="X318">
        <v>2</v>
      </c>
      <c r="Y318">
        <v>2</v>
      </c>
      <c r="Z318" t="s">
        <v>2730</v>
      </c>
      <c r="AA318">
        <v>2</v>
      </c>
      <c r="AB318" t="s">
        <v>2732</v>
      </c>
      <c r="AC318" t="s">
        <v>2730</v>
      </c>
      <c r="AD318" t="s">
        <v>2730</v>
      </c>
      <c r="AE318" t="s">
        <v>2730</v>
      </c>
      <c r="AF318" t="s">
        <v>2730</v>
      </c>
      <c r="AG318" t="s">
        <v>2730</v>
      </c>
      <c r="AH318" t="s">
        <v>2730</v>
      </c>
    </row>
    <row r="319" spans="1:34">
      <c r="A319" s="149" t="str">
        <f>HYPERLINK("http://www.ofsted.gov.uk/inspection-reports/find-inspection-report/provider/ELS/116565 ","Ofsted School Webpage")</f>
        <v>Ofsted School Webpage</v>
      </c>
      <c r="B319">
        <v>116565</v>
      </c>
      <c r="C319">
        <v>8506031</v>
      </c>
      <c r="D319" t="s">
        <v>1395</v>
      </c>
      <c r="E319" t="s">
        <v>38</v>
      </c>
      <c r="F319" t="s">
        <v>184</v>
      </c>
      <c r="G319" t="s">
        <v>184</v>
      </c>
      <c r="H319" t="s">
        <v>2729</v>
      </c>
      <c r="I319" t="s">
        <v>2730</v>
      </c>
      <c r="J319" t="s">
        <v>186</v>
      </c>
      <c r="K319" t="s">
        <v>181</v>
      </c>
      <c r="L319" t="s">
        <v>181</v>
      </c>
      <c r="M319" t="s">
        <v>201</v>
      </c>
      <c r="N319" t="s">
        <v>1396</v>
      </c>
      <c r="O319">
        <v>10008897</v>
      </c>
      <c r="P319" s="120">
        <v>42906</v>
      </c>
      <c r="Q319" s="120">
        <v>42908</v>
      </c>
      <c r="R319" s="120">
        <v>42947</v>
      </c>
      <c r="S319" t="s">
        <v>196</v>
      </c>
      <c r="T319">
        <v>1</v>
      </c>
      <c r="U319" t="s">
        <v>128</v>
      </c>
      <c r="V319">
        <v>1</v>
      </c>
      <c r="W319">
        <v>1</v>
      </c>
      <c r="X319">
        <v>1</v>
      </c>
      <c r="Y319">
        <v>1</v>
      </c>
      <c r="Z319" t="s">
        <v>2730</v>
      </c>
      <c r="AA319">
        <v>1</v>
      </c>
      <c r="AB319" t="s">
        <v>2732</v>
      </c>
      <c r="AC319" t="s">
        <v>2730</v>
      </c>
      <c r="AD319" t="s">
        <v>2730</v>
      </c>
      <c r="AE319" t="s">
        <v>2730</v>
      </c>
      <c r="AF319" t="s">
        <v>2730</v>
      </c>
      <c r="AG319" t="s">
        <v>2730</v>
      </c>
      <c r="AH319" t="s">
        <v>2730</v>
      </c>
    </row>
    <row r="320" spans="1:34">
      <c r="A320" s="149" t="str">
        <f>HYPERLINK("http://www.ofsted.gov.uk/inspection-reports/find-inspection-report/provider/ELS/129571 ","Ofsted School Webpage")</f>
        <v>Ofsted School Webpage</v>
      </c>
      <c r="B320">
        <v>129571</v>
      </c>
      <c r="C320">
        <v>8886089</v>
      </c>
      <c r="D320" t="s">
        <v>1408</v>
      </c>
      <c r="E320" t="s">
        <v>38</v>
      </c>
      <c r="F320" t="s">
        <v>184</v>
      </c>
      <c r="G320" t="s">
        <v>184</v>
      </c>
      <c r="H320" t="s">
        <v>2729</v>
      </c>
      <c r="I320" t="s">
        <v>2730</v>
      </c>
      <c r="J320" t="s">
        <v>186</v>
      </c>
      <c r="K320" t="s">
        <v>205</v>
      </c>
      <c r="L320" t="s">
        <v>205</v>
      </c>
      <c r="M320" t="s">
        <v>206</v>
      </c>
      <c r="N320" t="s">
        <v>1409</v>
      </c>
      <c r="O320">
        <v>10006076</v>
      </c>
      <c r="P320" s="120">
        <v>42661</v>
      </c>
      <c r="Q320" s="120">
        <v>42663</v>
      </c>
      <c r="R320" s="120">
        <v>42705</v>
      </c>
      <c r="S320" t="s">
        <v>196</v>
      </c>
      <c r="T320">
        <v>3</v>
      </c>
      <c r="U320" t="s">
        <v>128</v>
      </c>
      <c r="V320">
        <v>3</v>
      </c>
      <c r="W320">
        <v>2</v>
      </c>
      <c r="X320">
        <v>3</v>
      </c>
      <c r="Y320">
        <v>3</v>
      </c>
      <c r="Z320" t="s">
        <v>2730</v>
      </c>
      <c r="AA320" t="s">
        <v>2730</v>
      </c>
      <c r="AB320" t="s">
        <v>2732</v>
      </c>
      <c r="AC320" t="s">
        <v>2730</v>
      </c>
      <c r="AD320" t="s">
        <v>2730</v>
      </c>
      <c r="AE320" t="s">
        <v>2730</v>
      </c>
      <c r="AF320" t="s">
        <v>2730</v>
      </c>
      <c r="AG320" t="s">
        <v>2730</v>
      </c>
      <c r="AH320" t="s">
        <v>2730</v>
      </c>
    </row>
    <row r="321" spans="1:34">
      <c r="A321" s="149" t="str">
        <f>HYPERLINK("http://www.ofsted.gov.uk/inspection-reports/find-inspection-report/provider/ELS/119013 ","Ofsted School Webpage")</f>
        <v>Ofsted School Webpage</v>
      </c>
      <c r="B321">
        <v>119013</v>
      </c>
      <c r="C321">
        <v>8866063</v>
      </c>
      <c r="D321" t="s">
        <v>1410</v>
      </c>
      <c r="E321" t="s">
        <v>38</v>
      </c>
      <c r="F321" t="s">
        <v>184</v>
      </c>
      <c r="G321" t="s">
        <v>184</v>
      </c>
      <c r="H321" t="s">
        <v>2729</v>
      </c>
      <c r="I321" t="s">
        <v>2730</v>
      </c>
      <c r="J321" t="s">
        <v>186</v>
      </c>
      <c r="K321" t="s">
        <v>181</v>
      </c>
      <c r="L321" t="s">
        <v>181</v>
      </c>
      <c r="M321" t="s">
        <v>182</v>
      </c>
      <c r="N321" t="s">
        <v>1411</v>
      </c>
      <c r="O321" t="s">
        <v>1412</v>
      </c>
      <c r="P321" s="120">
        <v>41044</v>
      </c>
      <c r="Q321" s="120">
        <v>41045</v>
      </c>
      <c r="R321" s="120">
        <v>41066</v>
      </c>
      <c r="S321" t="s">
        <v>196</v>
      </c>
      <c r="T321">
        <v>2</v>
      </c>
      <c r="U321" t="s">
        <v>2730</v>
      </c>
      <c r="V321" t="s">
        <v>2730</v>
      </c>
      <c r="W321" t="s">
        <v>2730</v>
      </c>
      <c r="X321">
        <v>2</v>
      </c>
      <c r="Y321">
        <v>2</v>
      </c>
      <c r="Z321">
        <v>8</v>
      </c>
      <c r="AA321" t="s">
        <v>2730</v>
      </c>
      <c r="AB321" t="s">
        <v>2730</v>
      </c>
      <c r="AC321" t="s">
        <v>2730</v>
      </c>
      <c r="AD321" t="s">
        <v>2730</v>
      </c>
      <c r="AE321" t="s">
        <v>2730</v>
      </c>
      <c r="AF321" t="s">
        <v>2730</v>
      </c>
      <c r="AG321" t="s">
        <v>2730</v>
      </c>
      <c r="AH321" t="s">
        <v>2730</v>
      </c>
    </row>
    <row r="322" spans="1:34">
      <c r="A322" s="149" t="str">
        <f>HYPERLINK("http://www.ofsted.gov.uk/inspection-reports/find-inspection-report/provider/ELS/137808 ","Ofsted School Webpage")</f>
        <v>Ofsted School Webpage</v>
      </c>
      <c r="B322">
        <v>137808</v>
      </c>
      <c r="C322">
        <v>2046003</v>
      </c>
      <c r="D322" t="s">
        <v>1413</v>
      </c>
      <c r="E322" t="s">
        <v>38</v>
      </c>
      <c r="F322" t="s">
        <v>184</v>
      </c>
      <c r="G322" t="s">
        <v>184</v>
      </c>
      <c r="H322" t="s">
        <v>2729</v>
      </c>
      <c r="I322" t="s">
        <v>2730</v>
      </c>
      <c r="J322" t="s">
        <v>186</v>
      </c>
      <c r="K322" t="s">
        <v>232</v>
      </c>
      <c r="L322" t="s">
        <v>232</v>
      </c>
      <c r="M322" t="s">
        <v>479</v>
      </c>
      <c r="N322" t="s">
        <v>1414</v>
      </c>
      <c r="O322">
        <v>10006055</v>
      </c>
      <c r="P322" s="120">
        <v>42339</v>
      </c>
      <c r="Q322" s="120">
        <v>42341</v>
      </c>
      <c r="R322" s="120">
        <v>42380</v>
      </c>
      <c r="S322" t="s">
        <v>196</v>
      </c>
      <c r="T322">
        <v>1</v>
      </c>
      <c r="U322" t="s">
        <v>128</v>
      </c>
      <c r="V322">
        <v>1</v>
      </c>
      <c r="W322">
        <v>1</v>
      </c>
      <c r="X322">
        <v>1</v>
      </c>
      <c r="Y322">
        <v>1</v>
      </c>
      <c r="Z322" t="s">
        <v>2730</v>
      </c>
      <c r="AA322" t="s">
        <v>2730</v>
      </c>
      <c r="AB322" t="s">
        <v>2732</v>
      </c>
      <c r="AC322" t="s">
        <v>2730</v>
      </c>
      <c r="AD322" t="s">
        <v>2730</v>
      </c>
      <c r="AE322" t="s">
        <v>2730</v>
      </c>
      <c r="AF322" t="s">
        <v>2730</v>
      </c>
      <c r="AG322" t="s">
        <v>2730</v>
      </c>
      <c r="AH322" t="s">
        <v>2730</v>
      </c>
    </row>
    <row r="323" spans="1:34">
      <c r="A323" s="149" t="str">
        <f>HYPERLINK("http://www.ofsted.gov.uk/inspection-reports/find-inspection-report/provider/ELS/134438 ","Ofsted School Webpage")</f>
        <v>Ofsted School Webpage</v>
      </c>
      <c r="B323">
        <v>134438</v>
      </c>
      <c r="C323">
        <v>8556020</v>
      </c>
      <c r="D323" t="s">
        <v>280</v>
      </c>
      <c r="E323" t="s">
        <v>38</v>
      </c>
      <c r="F323" t="s">
        <v>184</v>
      </c>
      <c r="G323" t="s">
        <v>184</v>
      </c>
      <c r="H323" t="s">
        <v>2729</v>
      </c>
      <c r="I323" t="s">
        <v>2730</v>
      </c>
      <c r="J323" t="s">
        <v>186</v>
      </c>
      <c r="K323" t="s">
        <v>214</v>
      </c>
      <c r="L323" t="s">
        <v>214</v>
      </c>
      <c r="M323" t="s">
        <v>281</v>
      </c>
      <c r="N323" t="s">
        <v>282</v>
      </c>
      <c r="O323">
        <v>10040612</v>
      </c>
      <c r="P323" s="120">
        <v>42990</v>
      </c>
      <c r="Q323" s="120">
        <v>42992</v>
      </c>
      <c r="R323" s="120">
        <v>43020</v>
      </c>
      <c r="S323" t="s">
        <v>196</v>
      </c>
      <c r="T323">
        <v>3</v>
      </c>
      <c r="U323" t="s">
        <v>128</v>
      </c>
      <c r="V323">
        <v>3</v>
      </c>
      <c r="W323">
        <v>2</v>
      </c>
      <c r="X323">
        <v>3</v>
      </c>
      <c r="Y323">
        <v>3</v>
      </c>
      <c r="Z323" t="s">
        <v>2730</v>
      </c>
      <c r="AA323">
        <v>2</v>
      </c>
      <c r="AB323" t="s">
        <v>2733</v>
      </c>
      <c r="AC323" t="s">
        <v>2730</v>
      </c>
      <c r="AD323" t="s">
        <v>2730</v>
      </c>
      <c r="AE323" t="s">
        <v>2730</v>
      </c>
      <c r="AF323" t="s">
        <v>2730</v>
      </c>
      <c r="AG323" t="s">
        <v>2730</v>
      </c>
      <c r="AH323" t="s">
        <v>2730</v>
      </c>
    </row>
    <row r="324" spans="1:34">
      <c r="A324" s="149" t="str">
        <f>HYPERLINK("http://www.ofsted.gov.uk/inspection-reports/find-inspection-report/provider/ELS/104839 ","Ofsted School Webpage")</f>
        <v>Ofsted School Webpage</v>
      </c>
      <c r="B324">
        <v>104839</v>
      </c>
      <c r="C324">
        <v>3426004</v>
      </c>
      <c r="D324" t="s">
        <v>1045</v>
      </c>
      <c r="E324" t="s">
        <v>38</v>
      </c>
      <c r="F324" t="s">
        <v>184</v>
      </c>
      <c r="G324" t="s">
        <v>184</v>
      </c>
      <c r="H324" t="s">
        <v>2729</v>
      </c>
      <c r="I324" t="s">
        <v>2730</v>
      </c>
      <c r="J324" t="s">
        <v>186</v>
      </c>
      <c r="K324" t="s">
        <v>205</v>
      </c>
      <c r="L324" t="s">
        <v>205</v>
      </c>
      <c r="M324" t="s">
        <v>819</v>
      </c>
      <c r="N324" t="s">
        <v>1046</v>
      </c>
      <c r="O324">
        <v>10008860</v>
      </c>
      <c r="P324" s="120">
        <v>42920</v>
      </c>
      <c r="Q324" s="120">
        <v>42922</v>
      </c>
      <c r="R324" s="120">
        <v>42989</v>
      </c>
      <c r="S324" t="s">
        <v>3119</v>
      </c>
      <c r="T324">
        <v>2</v>
      </c>
      <c r="U324" t="s">
        <v>128</v>
      </c>
      <c r="V324">
        <v>2</v>
      </c>
      <c r="W324">
        <v>2</v>
      </c>
      <c r="X324">
        <v>2</v>
      </c>
      <c r="Y324">
        <v>2</v>
      </c>
      <c r="Z324" t="s">
        <v>2730</v>
      </c>
      <c r="AA324">
        <v>2</v>
      </c>
      <c r="AB324" t="s">
        <v>2732</v>
      </c>
      <c r="AC324" t="s">
        <v>2730</v>
      </c>
      <c r="AD324" t="s">
        <v>2730</v>
      </c>
      <c r="AE324" s="120" t="s">
        <v>2730</v>
      </c>
      <c r="AF324" t="s">
        <v>2730</v>
      </c>
      <c r="AG324" s="120" t="s">
        <v>2730</v>
      </c>
      <c r="AH324" t="s">
        <v>2730</v>
      </c>
    </row>
    <row r="325" spans="1:34">
      <c r="A325" s="149" t="str">
        <f>HYPERLINK("http://www.ofsted.gov.uk/inspection-reports/find-inspection-report/provider/ELS/140942 ","Ofsted School Webpage")</f>
        <v>Ofsted School Webpage</v>
      </c>
      <c r="B325">
        <v>140942</v>
      </c>
      <c r="C325">
        <v>9086003</v>
      </c>
      <c r="D325" t="s">
        <v>1047</v>
      </c>
      <c r="E325" t="s">
        <v>38</v>
      </c>
      <c r="F325" t="s">
        <v>184</v>
      </c>
      <c r="G325" t="s">
        <v>184</v>
      </c>
      <c r="H325" t="s">
        <v>2729</v>
      </c>
      <c r="I325" t="s">
        <v>2730</v>
      </c>
      <c r="J325" t="s">
        <v>186</v>
      </c>
      <c r="K325" t="s">
        <v>225</v>
      </c>
      <c r="L325" t="s">
        <v>225</v>
      </c>
      <c r="M325" t="s">
        <v>1048</v>
      </c>
      <c r="N325" t="s">
        <v>1049</v>
      </c>
      <c r="O325" t="s">
        <v>1050</v>
      </c>
      <c r="P325" s="120">
        <v>42080</v>
      </c>
      <c r="Q325" s="120">
        <v>42082</v>
      </c>
      <c r="R325" s="120">
        <v>42144</v>
      </c>
      <c r="S325" t="s">
        <v>249</v>
      </c>
      <c r="T325">
        <v>2</v>
      </c>
      <c r="U325" t="s">
        <v>2730</v>
      </c>
      <c r="V325">
        <v>2</v>
      </c>
      <c r="W325" t="s">
        <v>2730</v>
      </c>
      <c r="X325">
        <v>2</v>
      </c>
      <c r="Y325">
        <v>2</v>
      </c>
      <c r="Z325">
        <v>9</v>
      </c>
      <c r="AA325">
        <v>9</v>
      </c>
      <c r="AB325" t="s">
        <v>2730</v>
      </c>
      <c r="AC325" t="s">
        <v>2730</v>
      </c>
      <c r="AD325" t="s">
        <v>2730</v>
      </c>
      <c r="AE325" t="s">
        <v>2730</v>
      </c>
      <c r="AF325" t="s">
        <v>2730</v>
      </c>
      <c r="AG325" t="s">
        <v>2730</v>
      </c>
      <c r="AH325" t="s">
        <v>2730</v>
      </c>
    </row>
    <row r="326" spans="1:34">
      <c r="A326" s="149" t="str">
        <f>HYPERLINK("http://www.ofsted.gov.uk/inspection-reports/find-inspection-report/provider/ELS/131666 ","Ofsted School Webpage")</f>
        <v>Ofsted School Webpage</v>
      </c>
      <c r="B326">
        <v>131666</v>
      </c>
      <c r="C326">
        <v>8886037</v>
      </c>
      <c r="D326" t="s">
        <v>1051</v>
      </c>
      <c r="E326" t="s">
        <v>38</v>
      </c>
      <c r="F326" t="s">
        <v>184</v>
      </c>
      <c r="G326" t="s">
        <v>184</v>
      </c>
      <c r="H326" t="s">
        <v>2729</v>
      </c>
      <c r="I326" t="s">
        <v>2730</v>
      </c>
      <c r="J326" t="s">
        <v>186</v>
      </c>
      <c r="K326" t="s">
        <v>205</v>
      </c>
      <c r="L326" t="s">
        <v>205</v>
      </c>
      <c r="M326" t="s">
        <v>206</v>
      </c>
      <c r="N326" t="s">
        <v>1052</v>
      </c>
      <c r="O326" t="s">
        <v>1053</v>
      </c>
      <c r="P326" s="120">
        <v>42122</v>
      </c>
      <c r="Q326" s="120">
        <v>42124</v>
      </c>
      <c r="R326" s="120">
        <v>42157</v>
      </c>
      <c r="S326" t="s">
        <v>196</v>
      </c>
      <c r="T326">
        <v>1</v>
      </c>
      <c r="U326" t="s">
        <v>2730</v>
      </c>
      <c r="V326">
        <v>1</v>
      </c>
      <c r="W326" t="s">
        <v>2730</v>
      </c>
      <c r="X326">
        <v>1</v>
      </c>
      <c r="Y326">
        <v>1</v>
      </c>
      <c r="Z326">
        <v>9</v>
      </c>
      <c r="AA326">
        <v>9</v>
      </c>
      <c r="AB326" t="s">
        <v>2730</v>
      </c>
      <c r="AC326" t="s">
        <v>2730</v>
      </c>
      <c r="AD326" t="s">
        <v>2730</v>
      </c>
      <c r="AE326" t="s">
        <v>2730</v>
      </c>
      <c r="AF326" t="s">
        <v>2730</v>
      </c>
      <c r="AG326" t="s">
        <v>2730</v>
      </c>
      <c r="AH326" t="s">
        <v>2730</v>
      </c>
    </row>
    <row r="327" spans="1:34">
      <c r="A327" s="149" t="str">
        <f>HYPERLINK("http://www.ofsted.gov.uk/inspection-reports/find-inspection-report/provider/ELS/131004 ","Ofsted School Webpage")</f>
        <v>Ofsted School Webpage</v>
      </c>
      <c r="B327">
        <v>131004</v>
      </c>
      <c r="C327">
        <v>8606029</v>
      </c>
      <c r="D327" t="s">
        <v>584</v>
      </c>
      <c r="E327" t="s">
        <v>38</v>
      </c>
      <c r="F327" t="s">
        <v>184</v>
      </c>
      <c r="G327" t="s">
        <v>184</v>
      </c>
      <c r="H327" t="s">
        <v>2729</v>
      </c>
      <c r="I327" t="s">
        <v>2730</v>
      </c>
      <c r="J327" t="s">
        <v>186</v>
      </c>
      <c r="K327" t="s">
        <v>193</v>
      </c>
      <c r="L327" t="s">
        <v>193</v>
      </c>
      <c r="M327" t="s">
        <v>314</v>
      </c>
      <c r="N327" t="s">
        <v>585</v>
      </c>
      <c r="O327">
        <v>10008887</v>
      </c>
      <c r="P327" s="120">
        <v>42395</v>
      </c>
      <c r="Q327" s="120">
        <v>42397</v>
      </c>
      <c r="R327" s="120">
        <v>42440</v>
      </c>
      <c r="S327" t="s">
        <v>196</v>
      </c>
      <c r="T327">
        <v>3</v>
      </c>
      <c r="U327" t="s">
        <v>128</v>
      </c>
      <c r="V327">
        <v>3</v>
      </c>
      <c r="W327">
        <v>2</v>
      </c>
      <c r="X327">
        <v>3</v>
      </c>
      <c r="Y327">
        <v>3</v>
      </c>
      <c r="Z327" t="s">
        <v>2730</v>
      </c>
      <c r="AA327">
        <v>2</v>
      </c>
      <c r="AB327" t="s">
        <v>2733</v>
      </c>
      <c r="AC327">
        <v>10022003</v>
      </c>
      <c r="AD327" t="s">
        <v>187</v>
      </c>
      <c r="AE327" s="120">
        <v>42626</v>
      </c>
      <c r="AF327" t="s">
        <v>2769</v>
      </c>
      <c r="AG327" s="120">
        <v>42657</v>
      </c>
      <c r="AH327" t="s">
        <v>2773</v>
      </c>
    </row>
    <row r="328" spans="1:34">
      <c r="A328" s="149" t="str">
        <f>HYPERLINK("http://www.ofsted.gov.uk/inspection-reports/find-inspection-report/provider/ELS/131379 ","Ofsted School Webpage")</f>
        <v>Ofsted School Webpage</v>
      </c>
      <c r="B328">
        <v>131379</v>
      </c>
      <c r="C328">
        <v>3546036</v>
      </c>
      <c r="D328" t="s">
        <v>596</v>
      </c>
      <c r="E328" t="s">
        <v>38</v>
      </c>
      <c r="F328" t="s">
        <v>184</v>
      </c>
      <c r="G328" t="s">
        <v>184</v>
      </c>
      <c r="H328" t="s">
        <v>2729</v>
      </c>
      <c r="I328" t="s">
        <v>2730</v>
      </c>
      <c r="J328" t="s">
        <v>186</v>
      </c>
      <c r="K328" t="s">
        <v>205</v>
      </c>
      <c r="L328" t="s">
        <v>205</v>
      </c>
      <c r="M328" t="s">
        <v>456</v>
      </c>
      <c r="N328" t="s">
        <v>597</v>
      </c>
      <c r="O328">
        <v>10012914</v>
      </c>
      <c r="P328" s="120">
        <v>42795</v>
      </c>
      <c r="Q328" s="120">
        <v>42796</v>
      </c>
      <c r="R328" s="120">
        <v>42816</v>
      </c>
      <c r="S328" t="s">
        <v>196</v>
      </c>
      <c r="T328">
        <v>2</v>
      </c>
      <c r="U328" t="s">
        <v>128</v>
      </c>
      <c r="V328">
        <v>2</v>
      </c>
      <c r="W328">
        <v>2</v>
      </c>
      <c r="X328">
        <v>2</v>
      </c>
      <c r="Y328">
        <v>2</v>
      </c>
      <c r="Z328" t="s">
        <v>2730</v>
      </c>
      <c r="AA328" t="s">
        <v>2730</v>
      </c>
      <c r="AB328" t="s">
        <v>2732</v>
      </c>
      <c r="AC328" t="s">
        <v>2730</v>
      </c>
      <c r="AD328" t="s">
        <v>2730</v>
      </c>
      <c r="AE328" s="120" t="s">
        <v>2730</v>
      </c>
      <c r="AF328" t="s">
        <v>2730</v>
      </c>
      <c r="AG328" s="120" t="s">
        <v>2730</v>
      </c>
      <c r="AH328" t="s">
        <v>2730</v>
      </c>
    </row>
    <row r="329" spans="1:34">
      <c r="A329" s="149" t="str">
        <f>HYPERLINK("http://www.ofsted.gov.uk/inspection-reports/find-inspection-report/provider/ELS/132003 ","Ofsted School Webpage")</f>
        <v>Ofsted School Webpage</v>
      </c>
      <c r="B329">
        <v>132003</v>
      </c>
      <c r="C329">
        <v>8696014</v>
      </c>
      <c r="D329" t="s">
        <v>598</v>
      </c>
      <c r="E329" t="s">
        <v>38</v>
      </c>
      <c r="F329" t="s">
        <v>184</v>
      </c>
      <c r="G329" t="s">
        <v>184</v>
      </c>
      <c r="H329" t="s">
        <v>2729</v>
      </c>
      <c r="I329" t="s">
        <v>2730</v>
      </c>
      <c r="J329" t="s">
        <v>186</v>
      </c>
      <c r="K329" t="s">
        <v>181</v>
      </c>
      <c r="L329" t="s">
        <v>181</v>
      </c>
      <c r="M329" t="s">
        <v>599</v>
      </c>
      <c r="N329" t="s">
        <v>600</v>
      </c>
      <c r="O329" t="s">
        <v>3039</v>
      </c>
      <c r="P329" s="120">
        <v>41556</v>
      </c>
      <c r="Q329" s="120">
        <v>41558</v>
      </c>
      <c r="R329" s="120">
        <v>41585</v>
      </c>
      <c r="S329" t="s">
        <v>267</v>
      </c>
      <c r="T329">
        <v>2</v>
      </c>
      <c r="U329" t="s">
        <v>2730</v>
      </c>
      <c r="V329">
        <v>2</v>
      </c>
      <c r="W329" t="s">
        <v>2730</v>
      </c>
      <c r="X329">
        <v>2</v>
      </c>
      <c r="Y329">
        <v>2</v>
      </c>
      <c r="Z329" t="s">
        <v>2730</v>
      </c>
      <c r="AA329" t="s">
        <v>2730</v>
      </c>
      <c r="AB329" t="s">
        <v>2730</v>
      </c>
      <c r="AC329" t="s">
        <v>2730</v>
      </c>
      <c r="AD329" t="s">
        <v>2730</v>
      </c>
      <c r="AE329" s="120" t="s">
        <v>2730</v>
      </c>
      <c r="AF329" t="s">
        <v>2730</v>
      </c>
      <c r="AG329" s="120" t="s">
        <v>2730</v>
      </c>
      <c r="AH329" t="s">
        <v>2730</v>
      </c>
    </row>
    <row r="330" spans="1:34">
      <c r="A330" s="149" t="str">
        <f>HYPERLINK("http://www.ofsted.gov.uk/inspection-reports/find-inspection-report/provider/ELS/137511 ","Ofsted School Webpage")</f>
        <v>Ofsted School Webpage</v>
      </c>
      <c r="B330">
        <v>137511</v>
      </c>
      <c r="C330">
        <v>8416006</v>
      </c>
      <c r="D330" t="s">
        <v>601</v>
      </c>
      <c r="E330" t="s">
        <v>38</v>
      </c>
      <c r="F330" t="s">
        <v>184</v>
      </c>
      <c r="G330" t="s">
        <v>184</v>
      </c>
      <c r="H330" t="s">
        <v>2729</v>
      </c>
      <c r="I330" t="s">
        <v>2730</v>
      </c>
      <c r="J330" t="s">
        <v>186</v>
      </c>
      <c r="K330" t="s">
        <v>245</v>
      </c>
      <c r="L330" t="s">
        <v>277</v>
      </c>
      <c r="M330" t="s">
        <v>592</v>
      </c>
      <c r="N330" t="s">
        <v>602</v>
      </c>
      <c r="O330">
        <v>10006132</v>
      </c>
      <c r="P330" s="120">
        <v>42311</v>
      </c>
      <c r="Q330" s="120">
        <v>42313</v>
      </c>
      <c r="R330" s="120">
        <v>42345</v>
      </c>
      <c r="S330" t="s">
        <v>196</v>
      </c>
      <c r="T330">
        <v>2</v>
      </c>
      <c r="U330" t="s">
        <v>128</v>
      </c>
      <c r="V330">
        <v>2</v>
      </c>
      <c r="W330">
        <v>2</v>
      </c>
      <c r="X330">
        <v>2</v>
      </c>
      <c r="Y330">
        <v>2</v>
      </c>
      <c r="Z330" t="s">
        <v>2730</v>
      </c>
      <c r="AA330">
        <v>2</v>
      </c>
      <c r="AB330" t="s">
        <v>2732</v>
      </c>
      <c r="AC330" t="s">
        <v>2730</v>
      </c>
      <c r="AD330" t="s">
        <v>2730</v>
      </c>
      <c r="AE330" s="120" t="s">
        <v>2730</v>
      </c>
      <c r="AF330" t="s">
        <v>2730</v>
      </c>
      <c r="AG330" s="120" t="s">
        <v>2730</v>
      </c>
      <c r="AH330" t="s">
        <v>2730</v>
      </c>
    </row>
    <row r="331" spans="1:34">
      <c r="A331" s="149" t="str">
        <f>HYPERLINK("http://www.ofsted.gov.uk/inspection-reports/find-inspection-report/provider/ELS/137785 ","Ofsted School Webpage")</f>
        <v>Ofsted School Webpage</v>
      </c>
      <c r="B331">
        <v>137785</v>
      </c>
      <c r="C331">
        <v>3806001</v>
      </c>
      <c r="D331" t="s">
        <v>603</v>
      </c>
      <c r="E331" t="s">
        <v>38</v>
      </c>
      <c r="F331" t="s">
        <v>184</v>
      </c>
      <c r="G331" t="s">
        <v>184</v>
      </c>
      <c r="H331" t="s">
        <v>2729</v>
      </c>
      <c r="I331" t="s">
        <v>2730</v>
      </c>
      <c r="J331" t="s">
        <v>186</v>
      </c>
      <c r="K331" t="s">
        <v>245</v>
      </c>
      <c r="L331" t="s">
        <v>246</v>
      </c>
      <c r="M331" t="s">
        <v>339</v>
      </c>
      <c r="N331" t="s">
        <v>604</v>
      </c>
      <c r="O331">
        <v>10006098</v>
      </c>
      <c r="P331" s="120">
        <v>42444</v>
      </c>
      <c r="Q331" s="120">
        <v>42446</v>
      </c>
      <c r="R331" s="120">
        <v>42473</v>
      </c>
      <c r="S331" t="s">
        <v>196</v>
      </c>
      <c r="T331">
        <v>2</v>
      </c>
      <c r="U331" t="s">
        <v>128</v>
      </c>
      <c r="V331">
        <v>2</v>
      </c>
      <c r="W331">
        <v>2</v>
      </c>
      <c r="X331">
        <v>2</v>
      </c>
      <c r="Y331">
        <v>2</v>
      </c>
      <c r="Z331" t="s">
        <v>2730</v>
      </c>
      <c r="AA331" t="s">
        <v>2730</v>
      </c>
      <c r="AB331" t="s">
        <v>2732</v>
      </c>
      <c r="AC331" t="s">
        <v>2730</v>
      </c>
      <c r="AD331" t="s">
        <v>2730</v>
      </c>
      <c r="AE331" t="s">
        <v>2730</v>
      </c>
      <c r="AF331" t="s">
        <v>2730</v>
      </c>
      <c r="AG331" t="s">
        <v>2730</v>
      </c>
      <c r="AH331" t="s">
        <v>2730</v>
      </c>
    </row>
    <row r="332" spans="1:34">
      <c r="A332" s="149" t="str">
        <f>HYPERLINK("http://www.ofsted.gov.uk/inspection-reports/find-inspection-report/provider/ELS/133439 ","Ofsted School Webpage")</f>
        <v>Ofsted School Webpage</v>
      </c>
      <c r="B332">
        <v>133439</v>
      </c>
      <c r="C332">
        <v>2046409</v>
      </c>
      <c r="D332" t="s">
        <v>1119</v>
      </c>
      <c r="E332" t="s">
        <v>38</v>
      </c>
      <c r="F332" t="s">
        <v>184</v>
      </c>
      <c r="G332" t="s">
        <v>318</v>
      </c>
      <c r="H332" t="s">
        <v>2729</v>
      </c>
      <c r="I332" t="s">
        <v>2730</v>
      </c>
      <c r="J332" t="s">
        <v>186</v>
      </c>
      <c r="K332" t="s">
        <v>232</v>
      </c>
      <c r="L332" t="s">
        <v>232</v>
      </c>
      <c r="M332" t="s">
        <v>479</v>
      </c>
      <c r="N332" t="s">
        <v>1120</v>
      </c>
      <c r="O332" t="s">
        <v>1121</v>
      </c>
      <c r="P332" s="120">
        <v>41982</v>
      </c>
      <c r="Q332" s="120">
        <v>41984</v>
      </c>
      <c r="R332" s="120">
        <v>42038</v>
      </c>
      <c r="S332" t="s">
        <v>196</v>
      </c>
      <c r="T332">
        <v>2</v>
      </c>
      <c r="U332" t="s">
        <v>2730</v>
      </c>
      <c r="V332">
        <v>2</v>
      </c>
      <c r="W332" t="s">
        <v>2730</v>
      </c>
      <c r="X332">
        <v>2</v>
      </c>
      <c r="Y332">
        <v>2</v>
      </c>
      <c r="Z332">
        <v>2</v>
      </c>
      <c r="AA332">
        <v>9</v>
      </c>
      <c r="AB332" t="s">
        <v>2730</v>
      </c>
      <c r="AC332" t="s">
        <v>2730</v>
      </c>
      <c r="AD332" t="s">
        <v>2730</v>
      </c>
      <c r="AE332" t="s">
        <v>2730</v>
      </c>
      <c r="AF332" t="s">
        <v>2730</v>
      </c>
      <c r="AG332" t="s">
        <v>2730</v>
      </c>
      <c r="AH332" t="s">
        <v>2730</v>
      </c>
    </row>
    <row r="333" spans="1:34">
      <c r="A333" s="149" t="str">
        <f>HYPERLINK("http://www.ofsted.gov.uk/inspection-reports/find-inspection-report/provider/ELS/138971 ","Ofsted School Webpage")</f>
        <v>Ofsted School Webpage</v>
      </c>
      <c r="B333">
        <v>138971</v>
      </c>
      <c r="C333">
        <v>3306013</v>
      </c>
      <c r="D333" t="s">
        <v>1122</v>
      </c>
      <c r="E333" t="s">
        <v>38</v>
      </c>
      <c r="F333" t="s">
        <v>184</v>
      </c>
      <c r="G333" t="s">
        <v>184</v>
      </c>
      <c r="H333" t="s">
        <v>2729</v>
      </c>
      <c r="I333" t="s">
        <v>2730</v>
      </c>
      <c r="J333" t="s">
        <v>186</v>
      </c>
      <c r="K333" t="s">
        <v>193</v>
      </c>
      <c r="L333" t="s">
        <v>193</v>
      </c>
      <c r="M333" t="s">
        <v>210</v>
      </c>
      <c r="N333" t="s">
        <v>1123</v>
      </c>
      <c r="O333">
        <v>10012895</v>
      </c>
      <c r="P333" s="120">
        <v>42487</v>
      </c>
      <c r="Q333" s="120">
        <v>42489</v>
      </c>
      <c r="R333" s="120">
        <v>42516</v>
      </c>
      <c r="S333" t="s">
        <v>196</v>
      </c>
      <c r="T333">
        <v>2</v>
      </c>
      <c r="U333" t="s">
        <v>128</v>
      </c>
      <c r="V333">
        <v>2</v>
      </c>
      <c r="W333">
        <v>2</v>
      </c>
      <c r="X333">
        <v>2</v>
      </c>
      <c r="Y333">
        <v>2</v>
      </c>
      <c r="Z333" t="s">
        <v>2730</v>
      </c>
      <c r="AA333" t="s">
        <v>2730</v>
      </c>
      <c r="AB333" t="s">
        <v>2732</v>
      </c>
      <c r="AC333" t="s">
        <v>2730</v>
      </c>
      <c r="AD333" t="s">
        <v>2730</v>
      </c>
      <c r="AE333" t="s">
        <v>2730</v>
      </c>
      <c r="AF333" t="s">
        <v>2730</v>
      </c>
      <c r="AG333" t="s">
        <v>2730</v>
      </c>
      <c r="AH333" t="s">
        <v>2730</v>
      </c>
    </row>
    <row r="334" spans="1:34">
      <c r="A334" s="149" t="str">
        <f>HYPERLINK("http://www.ofsted.gov.uk/inspection-reports/find-inspection-report/provider/ELS/135217 ","Ofsted School Webpage")</f>
        <v>Ofsted School Webpage</v>
      </c>
      <c r="B334">
        <v>135217</v>
      </c>
      <c r="C334">
        <v>8556026</v>
      </c>
      <c r="D334" t="s">
        <v>1891</v>
      </c>
      <c r="E334" t="s">
        <v>38</v>
      </c>
      <c r="F334" t="s">
        <v>184</v>
      </c>
      <c r="G334" t="s">
        <v>184</v>
      </c>
      <c r="H334" t="s">
        <v>2729</v>
      </c>
      <c r="I334" t="s">
        <v>2730</v>
      </c>
      <c r="J334" t="s">
        <v>186</v>
      </c>
      <c r="K334" t="s">
        <v>214</v>
      </c>
      <c r="L334" t="s">
        <v>214</v>
      </c>
      <c r="M334" t="s">
        <v>281</v>
      </c>
      <c r="N334" t="s">
        <v>1892</v>
      </c>
      <c r="O334">
        <v>10012936</v>
      </c>
      <c r="P334" s="120">
        <v>42500</v>
      </c>
      <c r="Q334" s="120">
        <v>42502</v>
      </c>
      <c r="R334" s="120">
        <v>42563</v>
      </c>
      <c r="S334" t="s">
        <v>196</v>
      </c>
      <c r="T334">
        <v>1</v>
      </c>
      <c r="U334" t="s">
        <v>128</v>
      </c>
      <c r="V334">
        <v>1</v>
      </c>
      <c r="W334">
        <v>1</v>
      </c>
      <c r="X334">
        <v>1</v>
      </c>
      <c r="Y334">
        <v>1</v>
      </c>
      <c r="Z334" t="s">
        <v>2730</v>
      </c>
      <c r="AA334">
        <v>1</v>
      </c>
      <c r="AB334" t="s">
        <v>2732</v>
      </c>
      <c r="AC334" t="s">
        <v>2730</v>
      </c>
      <c r="AD334" t="s">
        <v>2730</v>
      </c>
      <c r="AE334" t="s">
        <v>2730</v>
      </c>
      <c r="AF334" t="s">
        <v>2730</v>
      </c>
      <c r="AG334" t="s">
        <v>2730</v>
      </c>
      <c r="AH334" t="s">
        <v>2730</v>
      </c>
    </row>
    <row r="335" spans="1:34">
      <c r="A335" s="149" t="str">
        <f>HYPERLINK("http://www.ofsted.gov.uk/inspection-reports/find-inspection-report/provider/ELS/135018 ","Ofsted School Webpage")</f>
        <v>Ofsted School Webpage</v>
      </c>
      <c r="B335">
        <v>135018</v>
      </c>
      <c r="C335">
        <v>8866103</v>
      </c>
      <c r="D335" t="s">
        <v>1893</v>
      </c>
      <c r="E335" t="s">
        <v>38</v>
      </c>
      <c r="F335" t="s">
        <v>184</v>
      </c>
      <c r="G335" t="s">
        <v>212</v>
      </c>
      <c r="H335" t="s">
        <v>2729</v>
      </c>
      <c r="I335" t="s">
        <v>2730</v>
      </c>
      <c r="J335" t="s">
        <v>186</v>
      </c>
      <c r="K335" t="s">
        <v>181</v>
      </c>
      <c r="L335" t="s">
        <v>181</v>
      </c>
      <c r="M335" t="s">
        <v>182</v>
      </c>
      <c r="N335" t="s">
        <v>1894</v>
      </c>
      <c r="O335">
        <v>10008607</v>
      </c>
      <c r="P335" s="120">
        <v>43046</v>
      </c>
      <c r="Q335" s="120">
        <v>43048</v>
      </c>
      <c r="R335" s="120">
        <v>43073</v>
      </c>
      <c r="S335" t="s">
        <v>196</v>
      </c>
      <c r="T335">
        <v>2</v>
      </c>
      <c r="U335" t="s">
        <v>128</v>
      </c>
      <c r="V335">
        <v>2</v>
      </c>
      <c r="W335">
        <v>2</v>
      </c>
      <c r="X335">
        <v>2</v>
      </c>
      <c r="Y335">
        <v>2</v>
      </c>
      <c r="Z335" t="s">
        <v>2730</v>
      </c>
      <c r="AA335" t="s">
        <v>2730</v>
      </c>
      <c r="AB335" t="s">
        <v>2732</v>
      </c>
      <c r="AC335" t="s">
        <v>2730</v>
      </c>
      <c r="AD335" t="s">
        <v>2730</v>
      </c>
      <c r="AE335" t="s">
        <v>2730</v>
      </c>
      <c r="AF335" t="s">
        <v>2730</v>
      </c>
      <c r="AG335" t="s">
        <v>2730</v>
      </c>
      <c r="AH335" t="s">
        <v>2730</v>
      </c>
    </row>
    <row r="336" spans="1:34">
      <c r="A336" s="149" t="str">
        <f>HYPERLINK("http://www.ofsted.gov.uk/inspection-reports/find-inspection-report/provider/ELS/101388 ","Ofsted School Webpage")</f>
        <v>Ofsted School Webpage</v>
      </c>
      <c r="B336">
        <v>101388</v>
      </c>
      <c r="C336">
        <v>3026092</v>
      </c>
      <c r="D336" t="s">
        <v>316</v>
      </c>
      <c r="E336" t="s">
        <v>37</v>
      </c>
      <c r="F336" t="s">
        <v>184</v>
      </c>
      <c r="G336" t="s">
        <v>318</v>
      </c>
      <c r="H336" t="s">
        <v>2729</v>
      </c>
      <c r="I336" t="s">
        <v>2730</v>
      </c>
      <c r="J336" t="s">
        <v>186</v>
      </c>
      <c r="K336" t="s">
        <v>232</v>
      </c>
      <c r="L336" t="s">
        <v>232</v>
      </c>
      <c r="M336" t="s">
        <v>311</v>
      </c>
      <c r="N336" t="s">
        <v>317</v>
      </c>
      <c r="O336">
        <v>10020771</v>
      </c>
      <c r="P336" s="120">
        <v>42676</v>
      </c>
      <c r="Q336" s="120">
        <v>42678</v>
      </c>
      <c r="R336" s="120">
        <v>42787</v>
      </c>
      <c r="S336" t="s">
        <v>196</v>
      </c>
      <c r="T336">
        <v>4</v>
      </c>
      <c r="U336" t="s">
        <v>129</v>
      </c>
      <c r="V336">
        <v>4</v>
      </c>
      <c r="W336">
        <v>4</v>
      </c>
      <c r="X336">
        <v>3</v>
      </c>
      <c r="Y336">
        <v>3</v>
      </c>
      <c r="Z336" t="s">
        <v>2730</v>
      </c>
      <c r="AA336" t="s">
        <v>2730</v>
      </c>
      <c r="AB336" t="s">
        <v>2733</v>
      </c>
      <c r="AC336">
        <v>10039751</v>
      </c>
      <c r="AD336" t="s">
        <v>187</v>
      </c>
      <c r="AE336" s="120">
        <v>42991</v>
      </c>
      <c r="AF336" t="s">
        <v>2771</v>
      </c>
      <c r="AG336" s="120">
        <v>43045</v>
      </c>
      <c r="AH336" t="s">
        <v>217</v>
      </c>
    </row>
    <row r="337" spans="1:34">
      <c r="A337" s="149" t="str">
        <f>HYPERLINK("http://www.ofsted.gov.uk/inspection-reports/find-inspection-report/provider/ELS/107168 ","Ofsted School Webpage")</f>
        <v>Ofsted School Webpage</v>
      </c>
      <c r="B337">
        <v>107168</v>
      </c>
      <c r="C337">
        <v>3736027</v>
      </c>
      <c r="D337" t="s">
        <v>1612</v>
      </c>
      <c r="E337" t="s">
        <v>37</v>
      </c>
      <c r="F337" t="s">
        <v>212</v>
      </c>
      <c r="G337" t="s">
        <v>212</v>
      </c>
      <c r="H337" t="s">
        <v>2729</v>
      </c>
      <c r="I337" t="s">
        <v>2730</v>
      </c>
      <c r="J337" t="s">
        <v>186</v>
      </c>
      <c r="K337" t="s">
        <v>245</v>
      </c>
      <c r="L337" t="s">
        <v>246</v>
      </c>
      <c r="M337" t="s">
        <v>664</v>
      </c>
      <c r="N337" t="s">
        <v>1613</v>
      </c>
      <c r="O337">
        <v>10007853</v>
      </c>
      <c r="P337" s="120">
        <v>42291</v>
      </c>
      <c r="Q337" s="120">
        <v>42293</v>
      </c>
      <c r="R337" s="120">
        <v>42328</v>
      </c>
      <c r="S337" t="s">
        <v>196</v>
      </c>
      <c r="T337">
        <v>2</v>
      </c>
      <c r="U337" t="s">
        <v>128</v>
      </c>
      <c r="V337">
        <v>2</v>
      </c>
      <c r="W337">
        <v>2</v>
      </c>
      <c r="X337">
        <v>2</v>
      </c>
      <c r="Y337">
        <v>2</v>
      </c>
      <c r="Z337">
        <v>2</v>
      </c>
      <c r="AA337" t="s">
        <v>2730</v>
      </c>
      <c r="AB337" t="s">
        <v>2732</v>
      </c>
      <c r="AC337" t="s">
        <v>2730</v>
      </c>
      <c r="AD337" t="s">
        <v>2730</v>
      </c>
      <c r="AE337" t="s">
        <v>2730</v>
      </c>
      <c r="AF337" t="s">
        <v>2730</v>
      </c>
      <c r="AG337" t="s">
        <v>2730</v>
      </c>
      <c r="AH337" t="s">
        <v>2730</v>
      </c>
    </row>
    <row r="338" spans="1:34">
      <c r="A338" s="149" t="str">
        <f>HYPERLINK("http://www.ofsted.gov.uk/inspection-reports/find-inspection-report/provider/ELS/117654 ","Ofsted School Webpage")</f>
        <v>Ofsted School Webpage</v>
      </c>
      <c r="B338">
        <v>117654</v>
      </c>
      <c r="C338">
        <v>9196228</v>
      </c>
      <c r="D338" t="s">
        <v>1614</v>
      </c>
      <c r="E338" t="s">
        <v>37</v>
      </c>
      <c r="F338" t="s">
        <v>1615</v>
      </c>
      <c r="G338" t="s">
        <v>1615</v>
      </c>
      <c r="H338" t="s">
        <v>2729</v>
      </c>
      <c r="I338" t="s">
        <v>2730</v>
      </c>
      <c r="J338" t="s">
        <v>186</v>
      </c>
      <c r="K338" t="s">
        <v>220</v>
      </c>
      <c r="L338" t="s">
        <v>220</v>
      </c>
      <c r="M338" t="s">
        <v>822</v>
      </c>
      <c r="N338" t="s">
        <v>3040</v>
      </c>
      <c r="O338">
        <v>10020392</v>
      </c>
      <c r="P338" s="120">
        <v>42626</v>
      </c>
      <c r="Q338" s="120">
        <v>42628</v>
      </c>
      <c r="R338" s="120">
        <v>42655</v>
      </c>
      <c r="S338" t="s">
        <v>196</v>
      </c>
      <c r="T338">
        <v>3</v>
      </c>
      <c r="U338" t="s">
        <v>128</v>
      </c>
      <c r="V338">
        <v>3</v>
      </c>
      <c r="W338">
        <v>2</v>
      </c>
      <c r="X338">
        <v>3</v>
      </c>
      <c r="Y338">
        <v>3</v>
      </c>
      <c r="Z338">
        <v>3</v>
      </c>
      <c r="AA338" t="s">
        <v>2730</v>
      </c>
      <c r="AB338" t="s">
        <v>2733</v>
      </c>
      <c r="AC338">
        <v>10033412</v>
      </c>
      <c r="AD338" t="s">
        <v>187</v>
      </c>
      <c r="AE338" s="120">
        <v>42809</v>
      </c>
      <c r="AF338" t="s">
        <v>2769</v>
      </c>
      <c r="AG338" s="120">
        <v>42864</v>
      </c>
      <c r="AH338" t="s">
        <v>217</v>
      </c>
    </row>
    <row r="339" spans="1:34">
      <c r="A339" s="149" t="str">
        <f>HYPERLINK("http://www.ofsted.gov.uk/inspection-reports/find-inspection-report/provider/ELS/130283 ","Ofsted School Webpage")</f>
        <v>Ofsted School Webpage</v>
      </c>
      <c r="B339">
        <v>130283</v>
      </c>
      <c r="C339">
        <v>9256041</v>
      </c>
      <c r="D339" t="s">
        <v>1616</v>
      </c>
      <c r="E339" t="s">
        <v>37</v>
      </c>
      <c r="F339" t="s">
        <v>184</v>
      </c>
      <c r="G339" t="s">
        <v>292</v>
      </c>
      <c r="H339" t="s">
        <v>2729</v>
      </c>
      <c r="I339" t="s">
        <v>2730</v>
      </c>
      <c r="J339" t="s">
        <v>186</v>
      </c>
      <c r="K339" t="s">
        <v>214</v>
      </c>
      <c r="L339" t="s">
        <v>214</v>
      </c>
      <c r="M339" t="s">
        <v>684</v>
      </c>
      <c r="N339" t="s">
        <v>1617</v>
      </c>
      <c r="O339" t="s">
        <v>1618</v>
      </c>
      <c r="P339" s="120">
        <v>42179</v>
      </c>
      <c r="Q339" s="120">
        <v>42181</v>
      </c>
      <c r="R339" s="120">
        <v>42200</v>
      </c>
      <c r="S339" t="s">
        <v>196</v>
      </c>
      <c r="T339">
        <v>1</v>
      </c>
      <c r="U339" t="s">
        <v>2730</v>
      </c>
      <c r="V339">
        <v>1</v>
      </c>
      <c r="W339" t="s">
        <v>2730</v>
      </c>
      <c r="X339">
        <v>1</v>
      </c>
      <c r="Y339">
        <v>1</v>
      </c>
      <c r="Z339">
        <v>1</v>
      </c>
      <c r="AA339">
        <v>9</v>
      </c>
      <c r="AB339" t="s">
        <v>2730</v>
      </c>
      <c r="AC339" t="s">
        <v>2730</v>
      </c>
      <c r="AD339" t="s">
        <v>2730</v>
      </c>
      <c r="AE339" t="s">
        <v>2730</v>
      </c>
      <c r="AF339" t="s">
        <v>2730</v>
      </c>
      <c r="AG339" t="s">
        <v>2730</v>
      </c>
      <c r="AH339" t="s">
        <v>2730</v>
      </c>
    </row>
    <row r="340" spans="1:34">
      <c r="A340" s="149" t="str">
        <f>HYPERLINK("http://www.ofsted.gov.uk/inspection-reports/find-inspection-report/provider/ELS/139264 ","Ofsted School Webpage")</f>
        <v>Ofsted School Webpage</v>
      </c>
      <c r="B340">
        <v>139264</v>
      </c>
      <c r="C340">
        <v>9256005</v>
      </c>
      <c r="D340" t="s">
        <v>1706</v>
      </c>
      <c r="E340" t="s">
        <v>37</v>
      </c>
      <c r="F340" t="s">
        <v>184</v>
      </c>
      <c r="G340" t="s">
        <v>184</v>
      </c>
      <c r="H340" t="s">
        <v>2729</v>
      </c>
      <c r="I340" t="s">
        <v>2730</v>
      </c>
      <c r="J340" t="s">
        <v>186</v>
      </c>
      <c r="K340" t="s">
        <v>214</v>
      </c>
      <c r="L340" t="s">
        <v>214</v>
      </c>
      <c r="M340" t="s">
        <v>684</v>
      </c>
      <c r="N340" t="s">
        <v>1707</v>
      </c>
      <c r="O340">
        <v>10020833</v>
      </c>
      <c r="P340" s="120">
        <v>42703</v>
      </c>
      <c r="Q340" s="120">
        <v>42705</v>
      </c>
      <c r="R340" s="120">
        <v>42754</v>
      </c>
      <c r="S340" t="s">
        <v>196</v>
      </c>
      <c r="T340">
        <v>1</v>
      </c>
      <c r="U340" t="s">
        <v>128</v>
      </c>
      <c r="V340">
        <v>1</v>
      </c>
      <c r="W340">
        <v>1</v>
      </c>
      <c r="X340">
        <v>1</v>
      </c>
      <c r="Y340">
        <v>1</v>
      </c>
      <c r="Z340" t="s">
        <v>2730</v>
      </c>
      <c r="AA340" t="s">
        <v>2730</v>
      </c>
      <c r="AB340" t="s">
        <v>2732</v>
      </c>
      <c r="AC340" t="s">
        <v>2730</v>
      </c>
      <c r="AD340" t="s">
        <v>2730</v>
      </c>
      <c r="AE340" t="s">
        <v>2730</v>
      </c>
      <c r="AF340" t="s">
        <v>2730</v>
      </c>
      <c r="AG340" t="s">
        <v>2730</v>
      </c>
      <c r="AH340" t="s">
        <v>2730</v>
      </c>
    </row>
    <row r="341" spans="1:34">
      <c r="A341" s="149" t="str">
        <f>HYPERLINK("http://www.ofsted.gov.uk/inspection-reports/find-inspection-report/provider/ELS/133348 ","Ofsted School Webpage")</f>
        <v>Ofsted School Webpage</v>
      </c>
      <c r="B341">
        <v>133348</v>
      </c>
      <c r="C341">
        <v>8466023</v>
      </c>
      <c r="D341" t="s">
        <v>670</v>
      </c>
      <c r="E341" t="s">
        <v>37</v>
      </c>
      <c r="F341" t="s">
        <v>184</v>
      </c>
      <c r="G341" t="s">
        <v>184</v>
      </c>
      <c r="H341" t="s">
        <v>2729</v>
      </c>
      <c r="I341" t="s">
        <v>2730</v>
      </c>
      <c r="J341" t="s">
        <v>186</v>
      </c>
      <c r="K341" t="s">
        <v>181</v>
      </c>
      <c r="L341" t="s">
        <v>181</v>
      </c>
      <c r="M341" t="s">
        <v>409</v>
      </c>
      <c r="N341" t="s">
        <v>671</v>
      </c>
      <c r="O341" t="s">
        <v>672</v>
      </c>
      <c r="P341" s="120">
        <v>41542</v>
      </c>
      <c r="Q341" s="120">
        <v>41544</v>
      </c>
      <c r="R341" s="120">
        <v>41564</v>
      </c>
      <c r="S341" t="s">
        <v>196</v>
      </c>
      <c r="T341">
        <v>3</v>
      </c>
      <c r="U341" t="s">
        <v>2730</v>
      </c>
      <c r="V341">
        <v>3</v>
      </c>
      <c r="W341" t="s">
        <v>2730</v>
      </c>
      <c r="X341">
        <v>3</v>
      </c>
      <c r="Y341">
        <v>3</v>
      </c>
      <c r="Z341" t="s">
        <v>2730</v>
      </c>
      <c r="AA341" t="s">
        <v>2730</v>
      </c>
      <c r="AB341" t="s">
        <v>2730</v>
      </c>
      <c r="AC341" t="s">
        <v>2730</v>
      </c>
      <c r="AD341" t="s">
        <v>2730</v>
      </c>
      <c r="AE341" t="s">
        <v>2730</v>
      </c>
      <c r="AF341" t="s">
        <v>2730</v>
      </c>
      <c r="AG341" t="s">
        <v>2730</v>
      </c>
      <c r="AH341" t="s">
        <v>2730</v>
      </c>
    </row>
    <row r="342" spans="1:34">
      <c r="A342" s="149" t="str">
        <f>HYPERLINK("http://www.ofsted.gov.uk/inspection-reports/find-inspection-report/provider/ELS/110147 ","Ofsted School Webpage")</f>
        <v>Ofsted School Webpage</v>
      </c>
      <c r="B342">
        <v>110147</v>
      </c>
      <c r="C342">
        <v>8686011</v>
      </c>
      <c r="D342" t="s">
        <v>1514</v>
      </c>
      <c r="E342" t="s">
        <v>37</v>
      </c>
      <c r="F342" t="s">
        <v>413</v>
      </c>
      <c r="G342" t="s">
        <v>413</v>
      </c>
      <c r="H342" t="s">
        <v>2729</v>
      </c>
      <c r="I342" t="s">
        <v>2730</v>
      </c>
      <c r="J342" t="s">
        <v>186</v>
      </c>
      <c r="K342" t="s">
        <v>181</v>
      </c>
      <c r="L342" t="s">
        <v>181</v>
      </c>
      <c r="M342" t="s">
        <v>1515</v>
      </c>
      <c r="N342" t="s">
        <v>1516</v>
      </c>
      <c r="O342" t="s">
        <v>2730</v>
      </c>
      <c r="P342" s="120" t="s">
        <v>2730</v>
      </c>
      <c r="Q342" s="120" t="s">
        <v>2730</v>
      </c>
      <c r="R342" s="120" t="s">
        <v>2730</v>
      </c>
      <c r="S342" t="s">
        <v>2730</v>
      </c>
      <c r="T342" t="s">
        <v>2730</v>
      </c>
      <c r="U342" t="s">
        <v>2730</v>
      </c>
      <c r="V342" t="s">
        <v>2730</v>
      </c>
      <c r="W342" t="s">
        <v>2730</v>
      </c>
      <c r="X342" t="s">
        <v>2730</v>
      </c>
      <c r="Y342" t="s">
        <v>2730</v>
      </c>
      <c r="Z342" t="s">
        <v>2730</v>
      </c>
      <c r="AA342" t="s">
        <v>2730</v>
      </c>
      <c r="AB342" t="s">
        <v>2730</v>
      </c>
      <c r="AC342" t="s">
        <v>2730</v>
      </c>
      <c r="AD342" t="s">
        <v>2730</v>
      </c>
      <c r="AE342" t="s">
        <v>2730</v>
      </c>
      <c r="AF342" t="s">
        <v>2730</v>
      </c>
      <c r="AG342" t="s">
        <v>2730</v>
      </c>
      <c r="AH342" t="s">
        <v>2730</v>
      </c>
    </row>
    <row r="343" spans="1:34">
      <c r="A343" s="149" t="str">
        <f>HYPERLINK("http://www.ofsted.gov.uk/inspection-reports/find-inspection-report/provider/ELS/131059 ","Ofsted School Webpage")</f>
        <v>Ofsted School Webpage</v>
      </c>
      <c r="B343">
        <v>131059</v>
      </c>
      <c r="C343">
        <v>3046076</v>
      </c>
      <c r="D343" t="s">
        <v>1517</v>
      </c>
      <c r="E343" t="s">
        <v>37</v>
      </c>
      <c r="F343" t="s">
        <v>304</v>
      </c>
      <c r="G343" t="s">
        <v>223</v>
      </c>
      <c r="H343" t="s">
        <v>2729</v>
      </c>
      <c r="I343" t="s">
        <v>2730</v>
      </c>
      <c r="J343" t="s">
        <v>186</v>
      </c>
      <c r="K343" t="s">
        <v>232</v>
      </c>
      <c r="L343" t="s">
        <v>232</v>
      </c>
      <c r="M343" t="s">
        <v>749</v>
      </c>
      <c r="N343" t="s">
        <v>1518</v>
      </c>
      <c r="O343" t="s">
        <v>1519</v>
      </c>
      <c r="P343" s="120">
        <v>41248</v>
      </c>
      <c r="Q343" s="120">
        <v>41249</v>
      </c>
      <c r="R343" s="120">
        <v>41281</v>
      </c>
      <c r="S343" t="s">
        <v>196</v>
      </c>
      <c r="T343">
        <v>2</v>
      </c>
      <c r="U343" t="s">
        <v>2730</v>
      </c>
      <c r="V343" t="s">
        <v>2730</v>
      </c>
      <c r="W343" t="s">
        <v>2730</v>
      </c>
      <c r="X343">
        <v>2</v>
      </c>
      <c r="Y343">
        <v>2</v>
      </c>
      <c r="Z343">
        <v>8</v>
      </c>
      <c r="AA343" t="s">
        <v>2730</v>
      </c>
      <c r="AB343" t="s">
        <v>2730</v>
      </c>
      <c r="AC343" t="s">
        <v>2730</v>
      </c>
      <c r="AD343" t="s">
        <v>2730</v>
      </c>
      <c r="AE343" t="s">
        <v>2730</v>
      </c>
      <c r="AF343" t="s">
        <v>2730</v>
      </c>
      <c r="AG343" t="s">
        <v>2730</v>
      </c>
      <c r="AH343" t="s">
        <v>2730</v>
      </c>
    </row>
    <row r="344" spans="1:34">
      <c r="A344" s="149" t="str">
        <f>HYPERLINK("http://www.ofsted.gov.uk/inspection-reports/find-inspection-report/provider/ELS/135185 ","Ofsted School Webpage")</f>
        <v>Ofsted School Webpage</v>
      </c>
      <c r="B344">
        <v>135185</v>
      </c>
      <c r="C344">
        <v>8556023</v>
      </c>
      <c r="D344" t="s">
        <v>1520</v>
      </c>
      <c r="E344" t="s">
        <v>37</v>
      </c>
      <c r="F344" t="s">
        <v>184</v>
      </c>
      <c r="G344" t="s">
        <v>184</v>
      </c>
      <c r="H344" t="s">
        <v>2729</v>
      </c>
      <c r="I344" t="s">
        <v>2730</v>
      </c>
      <c r="J344" t="s">
        <v>186</v>
      </c>
      <c r="K344" t="s">
        <v>214</v>
      </c>
      <c r="L344" t="s">
        <v>214</v>
      </c>
      <c r="M344" t="s">
        <v>281</v>
      </c>
      <c r="N344" t="s">
        <v>1521</v>
      </c>
      <c r="O344">
        <v>10008561</v>
      </c>
      <c r="P344" s="120">
        <v>42542</v>
      </c>
      <c r="Q344" s="120">
        <v>42544</v>
      </c>
      <c r="R344" s="120">
        <v>42639</v>
      </c>
      <c r="S344" t="s">
        <v>196</v>
      </c>
      <c r="T344">
        <v>2</v>
      </c>
      <c r="U344" t="s">
        <v>128</v>
      </c>
      <c r="V344">
        <v>2</v>
      </c>
      <c r="W344">
        <v>1</v>
      </c>
      <c r="X344">
        <v>2</v>
      </c>
      <c r="Y344">
        <v>2</v>
      </c>
      <c r="Z344">
        <v>2</v>
      </c>
      <c r="AA344" t="s">
        <v>2730</v>
      </c>
      <c r="AB344" t="s">
        <v>2732</v>
      </c>
      <c r="AC344" t="s">
        <v>2730</v>
      </c>
      <c r="AD344" t="s">
        <v>2730</v>
      </c>
      <c r="AE344" t="s">
        <v>2730</v>
      </c>
      <c r="AF344" t="s">
        <v>2730</v>
      </c>
      <c r="AG344" t="s">
        <v>2730</v>
      </c>
      <c r="AH344" t="s">
        <v>2730</v>
      </c>
    </row>
    <row r="345" spans="1:34">
      <c r="A345" s="149" t="str">
        <f>HYPERLINK("http://www.ofsted.gov.uk/inspection-reports/find-inspection-report/provider/ELS/114646 ","Ofsted School Webpage")</f>
        <v>Ofsted School Webpage</v>
      </c>
      <c r="B345">
        <v>114646</v>
      </c>
      <c r="C345">
        <v>8456003</v>
      </c>
      <c r="D345" t="s">
        <v>2017</v>
      </c>
      <c r="E345" t="s">
        <v>37</v>
      </c>
      <c r="F345" t="s">
        <v>184</v>
      </c>
      <c r="G345" t="s">
        <v>212</v>
      </c>
      <c r="H345" t="s">
        <v>2729</v>
      </c>
      <c r="I345" t="s">
        <v>2730</v>
      </c>
      <c r="J345" t="s">
        <v>186</v>
      </c>
      <c r="K345" t="s">
        <v>181</v>
      </c>
      <c r="L345" t="s">
        <v>181</v>
      </c>
      <c r="M345" t="s">
        <v>438</v>
      </c>
      <c r="N345" t="s">
        <v>2018</v>
      </c>
      <c r="O345" t="s">
        <v>2019</v>
      </c>
      <c r="P345" s="120">
        <v>40499</v>
      </c>
      <c r="Q345" s="120">
        <v>40499</v>
      </c>
      <c r="R345" s="120">
        <v>40518</v>
      </c>
      <c r="S345" t="s">
        <v>655</v>
      </c>
      <c r="T345">
        <v>2</v>
      </c>
      <c r="U345" t="s">
        <v>2730</v>
      </c>
      <c r="V345" t="s">
        <v>2730</v>
      </c>
      <c r="W345" t="s">
        <v>2730</v>
      </c>
      <c r="X345">
        <v>2</v>
      </c>
      <c r="Y345">
        <v>2</v>
      </c>
      <c r="Z345">
        <v>8</v>
      </c>
      <c r="AA345" t="s">
        <v>2730</v>
      </c>
      <c r="AB345" t="s">
        <v>2730</v>
      </c>
      <c r="AC345" t="s">
        <v>2730</v>
      </c>
      <c r="AD345" t="s">
        <v>2730</v>
      </c>
      <c r="AE345" t="s">
        <v>2730</v>
      </c>
      <c r="AF345" t="s">
        <v>2730</v>
      </c>
      <c r="AG345" t="s">
        <v>2730</v>
      </c>
      <c r="AH345" t="s">
        <v>2730</v>
      </c>
    </row>
    <row r="346" spans="1:34">
      <c r="A346" s="149" t="str">
        <f>HYPERLINK("http://www.ofsted.gov.uk/inspection-reports/find-inspection-report/provider/ELS/139221 ","Ofsted School Webpage")</f>
        <v>Ofsted School Webpage</v>
      </c>
      <c r="B346">
        <v>139221</v>
      </c>
      <c r="C346">
        <v>2116005</v>
      </c>
      <c r="D346" t="s">
        <v>2020</v>
      </c>
      <c r="E346" t="s">
        <v>37</v>
      </c>
      <c r="F346" t="s">
        <v>184</v>
      </c>
      <c r="G346" t="s">
        <v>223</v>
      </c>
      <c r="H346" t="s">
        <v>2729</v>
      </c>
      <c r="I346" t="s">
        <v>2730</v>
      </c>
      <c r="J346" t="s">
        <v>186</v>
      </c>
      <c r="K346" t="s">
        <v>232</v>
      </c>
      <c r="L346" t="s">
        <v>232</v>
      </c>
      <c r="M346" t="s">
        <v>539</v>
      </c>
      <c r="N346" t="s">
        <v>2021</v>
      </c>
      <c r="O346" t="s">
        <v>2022</v>
      </c>
      <c r="P346" s="120">
        <v>41534</v>
      </c>
      <c r="Q346" s="120">
        <v>41536</v>
      </c>
      <c r="R346" s="120">
        <v>41556</v>
      </c>
      <c r="S346" t="s">
        <v>249</v>
      </c>
      <c r="T346">
        <v>3</v>
      </c>
      <c r="U346" t="s">
        <v>2730</v>
      </c>
      <c r="V346">
        <v>3</v>
      </c>
      <c r="W346" t="s">
        <v>2730</v>
      </c>
      <c r="X346">
        <v>3</v>
      </c>
      <c r="Y346">
        <v>3</v>
      </c>
      <c r="Z346" t="s">
        <v>2730</v>
      </c>
      <c r="AA346" t="s">
        <v>2730</v>
      </c>
      <c r="AB346" t="s">
        <v>2730</v>
      </c>
      <c r="AC346" t="s">
        <v>2730</v>
      </c>
      <c r="AD346" t="s">
        <v>2730</v>
      </c>
      <c r="AE346" t="s">
        <v>2730</v>
      </c>
      <c r="AF346" t="s">
        <v>2730</v>
      </c>
      <c r="AG346" t="s">
        <v>2730</v>
      </c>
      <c r="AH346" t="s">
        <v>2730</v>
      </c>
    </row>
    <row r="347" spans="1:34">
      <c r="A347" s="149" t="str">
        <f>HYPERLINK("http://www.ofsted.gov.uk/inspection-reports/find-inspection-report/provider/ELS/109774 ","Ofsted School Webpage")</f>
        <v>Ofsted School Webpage</v>
      </c>
      <c r="B347">
        <v>109774</v>
      </c>
      <c r="C347">
        <v>3156588</v>
      </c>
      <c r="D347" t="s">
        <v>2734</v>
      </c>
      <c r="E347" t="s">
        <v>37</v>
      </c>
      <c r="F347" t="s">
        <v>184</v>
      </c>
      <c r="G347" t="s">
        <v>304</v>
      </c>
      <c r="H347" t="s">
        <v>2729</v>
      </c>
      <c r="I347" t="s">
        <v>2730</v>
      </c>
      <c r="J347" t="s">
        <v>186</v>
      </c>
      <c r="K347" t="s">
        <v>232</v>
      </c>
      <c r="L347" t="s">
        <v>232</v>
      </c>
      <c r="M347" t="s">
        <v>236</v>
      </c>
      <c r="N347" t="s">
        <v>237</v>
      </c>
      <c r="O347">
        <v>10034417</v>
      </c>
      <c r="P347" s="120">
        <v>42990</v>
      </c>
      <c r="Q347" s="120">
        <v>42992</v>
      </c>
      <c r="R347" s="120">
        <v>43045</v>
      </c>
      <c r="S347" t="s">
        <v>196</v>
      </c>
      <c r="T347">
        <v>4</v>
      </c>
      <c r="U347" t="s">
        <v>128</v>
      </c>
      <c r="V347">
        <v>4</v>
      </c>
      <c r="W347">
        <v>3</v>
      </c>
      <c r="X347">
        <v>4</v>
      </c>
      <c r="Y347">
        <v>4</v>
      </c>
      <c r="Z347">
        <v>3</v>
      </c>
      <c r="AA347" t="s">
        <v>2730</v>
      </c>
      <c r="AB347" t="s">
        <v>2733</v>
      </c>
      <c r="AC347" t="s">
        <v>2730</v>
      </c>
      <c r="AD347" t="s">
        <v>2730</v>
      </c>
      <c r="AE347" t="s">
        <v>2730</v>
      </c>
      <c r="AF347" t="s">
        <v>2730</v>
      </c>
      <c r="AG347" t="s">
        <v>2730</v>
      </c>
      <c r="AH347" t="s">
        <v>2730</v>
      </c>
    </row>
    <row r="348" spans="1:34">
      <c r="A348" s="149" t="str">
        <f>HYPERLINK("http://www.ofsted.gov.uk/inspection-reports/find-inspection-report/provider/ELS/100544 ","Ofsted School Webpage")</f>
        <v>Ofsted School Webpage</v>
      </c>
      <c r="B348">
        <v>100544</v>
      </c>
      <c r="C348">
        <v>2136005</v>
      </c>
      <c r="D348" t="s">
        <v>678</v>
      </c>
      <c r="E348" t="s">
        <v>37</v>
      </c>
      <c r="F348" t="s">
        <v>184</v>
      </c>
      <c r="G348" t="s">
        <v>184</v>
      </c>
      <c r="H348" t="s">
        <v>2729</v>
      </c>
      <c r="I348" t="s">
        <v>2730</v>
      </c>
      <c r="J348" t="s">
        <v>186</v>
      </c>
      <c r="K348" t="s">
        <v>232</v>
      </c>
      <c r="L348" t="s">
        <v>232</v>
      </c>
      <c r="M348" t="s">
        <v>679</v>
      </c>
      <c r="N348" t="s">
        <v>680</v>
      </c>
      <c r="O348">
        <v>10034004</v>
      </c>
      <c r="P348" s="120">
        <v>42857</v>
      </c>
      <c r="Q348" s="120">
        <v>42859</v>
      </c>
      <c r="R348" s="120">
        <v>42881</v>
      </c>
      <c r="S348" t="s">
        <v>196</v>
      </c>
      <c r="T348">
        <v>1</v>
      </c>
      <c r="U348" t="s">
        <v>128</v>
      </c>
      <c r="V348">
        <v>1</v>
      </c>
      <c r="W348">
        <v>1</v>
      </c>
      <c r="X348">
        <v>1</v>
      </c>
      <c r="Y348">
        <v>1</v>
      </c>
      <c r="Z348" t="s">
        <v>2730</v>
      </c>
      <c r="AA348">
        <v>1</v>
      </c>
      <c r="AB348" t="s">
        <v>2732</v>
      </c>
      <c r="AC348" t="s">
        <v>2730</v>
      </c>
      <c r="AD348" t="s">
        <v>2730</v>
      </c>
      <c r="AE348" t="s">
        <v>2730</v>
      </c>
      <c r="AF348" t="s">
        <v>2730</v>
      </c>
      <c r="AG348" t="s">
        <v>2730</v>
      </c>
      <c r="AH348" t="s">
        <v>2730</v>
      </c>
    </row>
    <row r="349" spans="1:34">
      <c r="A349" s="149" t="str">
        <f>HYPERLINK("http://www.ofsted.gov.uk/inspection-reports/find-inspection-report/provider/ELS/115803 ","Ofsted School Webpage")</f>
        <v>Ofsted School Webpage</v>
      </c>
      <c r="B349">
        <v>115803</v>
      </c>
      <c r="C349">
        <v>9166047</v>
      </c>
      <c r="D349" t="s">
        <v>681</v>
      </c>
      <c r="E349" t="s">
        <v>37</v>
      </c>
      <c r="F349" t="s">
        <v>184</v>
      </c>
      <c r="G349" t="s">
        <v>292</v>
      </c>
      <c r="H349" t="s">
        <v>2729</v>
      </c>
      <c r="I349" t="s">
        <v>2730</v>
      </c>
      <c r="J349" t="s">
        <v>186</v>
      </c>
      <c r="K349" t="s">
        <v>225</v>
      </c>
      <c r="L349" t="s">
        <v>225</v>
      </c>
      <c r="M349" t="s">
        <v>265</v>
      </c>
      <c r="N349" t="s">
        <v>682</v>
      </c>
      <c r="O349">
        <v>10008569</v>
      </c>
      <c r="P349" s="120">
        <v>42479</v>
      </c>
      <c r="Q349" s="120">
        <v>42481</v>
      </c>
      <c r="R349" s="120">
        <v>42527</v>
      </c>
      <c r="S349" t="s">
        <v>196</v>
      </c>
      <c r="T349">
        <v>2</v>
      </c>
      <c r="U349" t="s">
        <v>128</v>
      </c>
      <c r="V349">
        <v>2</v>
      </c>
      <c r="W349">
        <v>1</v>
      </c>
      <c r="X349">
        <v>2</v>
      </c>
      <c r="Y349">
        <v>2</v>
      </c>
      <c r="Z349">
        <v>2</v>
      </c>
      <c r="AA349" t="s">
        <v>2730</v>
      </c>
      <c r="AB349" t="s">
        <v>2732</v>
      </c>
      <c r="AC349" t="s">
        <v>2730</v>
      </c>
      <c r="AD349" t="s">
        <v>2730</v>
      </c>
      <c r="AE349" t="s">
        <v>2730</v>
      </c>
      <c r="AF349" t="s">
        <v>2730</v>
      </c>
      <c r="AG349" t="s">
        <v>2730</v>
      </c>
      <c r="AH349" t="s">
        <v>2730</v>
      </c>
    </row>
    <row r="350" spans="1:34">
      <c r="A350" s="149" t="str">
        <f>HYPERLINK("http://www.ofsted.gov.uk/inspection-reports/find-inspection-report/provider/ELS/136189 ","Ofsted School Webpage")</f>
        <v>Ofsted School Webpage</v>
      </c>
      <c r="B350">
        <v>136189</v>
      </c>
      <c r="C350">
        <v>3806349</v>
      </c>
      <c r="D350" t="s">
        <v>2287</v>
      </c>
      <c r="E350" t="s">
        <v>37</v>
      </c>
      <c r="F350" t="s">
        <v>184</v>
      </c>
      <c r="G350" t="s">
        <v>184</v>
      </c>
      <c r="H350" t="s">
        <v>2729</v>
      </c>
      <c r="I350" t="s">
        <v>2730</v>
      </c>
      <c r="J350" t="s">
        <v>186</v>
      </c>
      <c r="K350" t="s">
        <v>245</v>
      </c>
      <c r="L350" t="s">
        <v>246</v>
      </c>
      <c r="M350" t="s">
        <v>339</v>
      </c>
      <c r="N350" t="s">
        <v>2288</v>
      </c>
      <c r="O350">
        <v>10025961</v>
      </c>
      <c r="P350" s="120">
        <v>42808</v>
      </c>
      <c r="Q350" s="120">
        <v>42810</v>
      </c>
      <c r="R350" s="120">
        <v>42837</v>
      </c>
      <c r="S350" t="s">
        <v>196</v>
      </c>
      <c r="T350">
        <v>2</v>
      </c>
      <c r="U350" t="s">
        <v>128</v>
      </c>
      <c r="V350">
        <v>2</v>
      </c>
      <c r="W350">
        <v>1</v>
      </c>
      <c r="X350">
        <v>2</v>
      </c>
      <c r="Y350">
        <v>2</v>
      </c>
      <c r="Z350" t="s">
        <v>2730</v>
      </c>
      <c r="AA350">
        <v>2</v>
      </c>
      <c r="AB350" t="s">
        <v>2732</v>
      </c>
      <c r="AC350" t="s">
        <v>2730</v>
      </c>
      <c r="AD350" t="s">
        <v>2730</v>
      </c>
      <c r="AE350" t="s">
        <v>2730</v>
      </c>
      <c r="AF350" t="s">
        <v>2730</v>
      </c>
      <c r="AG350" t="s">
        <v>2730</v>
      </c>
      <c r="AH350" t="s">
        <v>2730</v>
      </c>
    </row>
    <row r="351" spans="1:34">
      <c r="A351" s="149" t="str">
        <f>HYPERLINK("http://www.ofsted.gov.uk/inspection-reports/find-inspection-report/provider/ELS/131015 ","Ofsted School Webpage")</f>
        <v>Ofsted School Webpage</v>
      </c>
      <c r="B351">
        <v>131015</v>
      </c>
      <c r="C351">
        <v>3526053</v>
      </c>
      <c r="D351" t="s">
        <v>2289</v>
      </c>
      <c r="E351" t="s">
        <v>37</v>
      </c>
      <c r="F351" t="s">
        <v>184</v>
      </c>
      <c r="G351" t="s">
        <v>318</v>
      </c>
      <c r="H351" t="s">
        <v>2729</v>
      </c>
      <c r="I351" t="s">
        <v>2730</v>
      </c>
      <c r="J351" t="s">
        <v>186</v>
      </c>
      <c r="K351" t="s">
        <v>205</v>
      </c>
      <c r="L351" t="s">
        <v>205</v>
      </c>
      <c r="M351" t="s">
        <v>306</v>
      </c>
      <c r="N351" t="s">
        <v>490</v>
      </c>
      <c r="O351">
        <v>10034025</v>
      </c>
      <c r="P351" s="120">
        <v>42990</v>
      </c>
      <c r="Q351" s="120">
        <v>42992</v>
      </c>
      <c r="R351" s="120">
        <v>43032</v>
      </c>
      <c r="S351" t="s">
        <v>196</v>
      </c>
      <c r="T351">
        <v>2</v>
      </c>
      <c r="U351" t="s">
        <v>128</v>
      </c>
      <c r="V351">
        <v>2</v>
      </c>
      <c r="W351">
        <v>2</v>
      </c>
      <c r="X351">
        <v>2</v>
      </c>
      <c r="Y351">
        <v>2</v>
      </c>
      <c r="Z351" t="s">
        <v>2730</v>
      </c>
      <c r="AA351" t="s">
        <v>2730</v>
      </c>
      <c r="AB351" t="s">
        <v>2732</v>
      </c>
      <c r="AC351" t="s">
        <v>2730</v>
      </c>
      <c r="AD351" t="s">
        <v>2730</v>
      </c>
      <c r="AE351" s="120" t="s">
        <v>2730</v>
      </c>
      <c r="AF351" t="s">
        <v>2730</v>
      </c>
      <c r="AG351" s="120" t="s">
        <v>2730</v>
      </c>
      <c r="AH351" t="s">
        <v>2730</v>
      </c>
    </row>
    <row r="352" spans="1:34">
      <c r="A352" s="149" t="str">
        <f>HYPERLINK("http://www.ofsted.gov.uk/inspection-reports/find-inspection-report/provider/ELS/101080 ","Ofsted School Webpage")</f>
        <v>Ofsted School Webpage</v>
      </c>
      <c r="B352">
        <v>101080</v>
      </c>
      <c r="C352">
        <v>2126383</v>
      </c>
      <c r="D352" t="s">
        <v>434</v>
      </c>
      <c r="E352" t="s">
        <v>37</v>
      </c>
      <c r="F352" t="s">
        <v>184</v>
      </c>
      <c r="G352" t="s">
        <v>184</v>
      </c>
      <c r="H352" t="s">
        <v>2729</v>
      </c>
      <c r="I352" t="s">
        <v>2730</v>
      </c>
      <c r="J352" t="s">
        <v>186</v>
      </c>
      <c r="K352" t="s">
        <v>232</v>
      </c>
      <c r="L352" t="s">
        <v>232</v>
      </c>
      <c r="M352" t="s">
        <v>435</v>
      </c>
      <c r="N352" t="s">
        <v>436</v>
      </c>
      <c r="O352">
        <v>10008538</v>
      </c>
      <c r="P352" s="120">
        <v>43018</v>
      </c>
      <c r="Q352" s="120">
        <v>43020</v>
      </c>
      <c r="R352" s="120">
        <v>43055</v>
      </c>
      <c r="S352" t="s">
        <v>196</v>
      </c>
      <c r="T352">
        <v>2</v>
      </c>
      <c r="U352" t="s">
        <v>128</v>
      </c>
      <c r="V352">
        <v>2</v>
      </c>
      <c r="W352">
        <v>1</v>
      </c>
      <c r="X352">
        <v>2</v>
      </c>
      <c r="Y352">
        <v>2</v>
      </c>
      <c r="Z352">
        <v>2</v>
      </c>
      <c r="AA352" t="s">
        <v>2730</v>
      </c>
      <c r="AB352" t="s">
        <v>2732</v>
      </c>
      <c r="AC352" t="s">
        <v>2730</v>
      </c>
      <c r="AD352" t="s">
        <v>2730</v>
      </c>
      <c r="AE352" t="s">
        <v>2730</v>
      </c>
      <c r="AF352" t="s">
        <v>2730</v>
      </c>
      <c r="AG352" t="s">
        <v>2730</v>
      </c>
      <c r="AH352" t="s">
        <v>2730</v>
      </c>
    </row>
    <row r="353" spans="1:34">
      <c r="A353" s="149" t="str">
        <f>HYPERLINK("http://www.ofsted.gov.uk/inspection-reports/find-inspection-report/provider/ELS/102174 ","Ofsted School Webpage")</f>
        <v>Ofsted School Webpage</v>
      </c>
      <c r="B353">
        <v>102174</v>
      </c>
      <c r="C353">
        <v>3096076</v>
      </c>
      <c r="D353" t="s">
        <v>1772</v>
      </c>
      <c r="E353" t="s">
        <v>37</v>
      </c>
      <c r="F353" t="s">
        <v>184</v>
      </c>
      <c r="G353" t="s">
        <v>212</v>
      </c>
      <c r="H353" t="s">
        <v>2729</v>
      </c>
      <c r="I353" t="s">
        <v>2730</v>
      </c>
      <c r="J353" t="s">
        <v>186</v>
      </c>
      <c r="K353" t="s">
        <v>232</v>
      </c>
      <c r="L353" t="s">
        <v>232</v>
      </c>
      <c r="M353" t="s">
        <v>697</v>
      </c>
      <c r="N353" t="s">
        <v>1773</v>
      </c>
      <c r="O353" t="s">
        <v>3041</v>
      </c>
      <c r="P353" s="120">
        <v>41709</v>
      </c>
      <c r="Q353" s="120">
        <v>41711</v>
      </c>
      <c r="R353" s="120">
        <v>41731</v>
      </c>
      <c r="S353" t="s">
        <v>196</v>
      </c>
      <c r="T353">
        <v>3</v>
      </c>
      <c r="U353" t="s">
        <v>2730</v>
      </c>
      <c r="V353">
        <v>3</v>
      </c>
      <c r="W353" t="s">
        <v>2730</v>
      </c>
      <c r="X353">
        <v>3</v>
      </c>
      <c r="Y353">
        <v>3</v>
      </c>
      <c r="Z353" t="s">
        <v>2730</v>
      </c>
      <c r="AA353" t="s">
        <v>2730</v>
      </c>
      <c r="AB353" t="s">
        <v>2730</v>
      </c>
      <c r="AC353" t="s">
        <v>2730</v>
      </c>
      <c r="AD353" t="s">
        <v>2730</v>
      </c>
      <c r="AE353" t="s">
        <v>2730</v>
      </c>
      <c r="AF353" t="s">
        <v>2730</v>
      </c>
      <c r="AG353" t="s">
        <v>2730</v>
      </c>
      <c r="AH353" t="s">
        <v>2730</v>
      </c>
    </row>
    <row r="354" spans="1:34">
      <c r="A354" s="149" t="str">
        <f>HYPERLINK("http://www.ofsted.gov.uk/inspection-reports/find-inspection-report/provider/ELS/101377 ","Ofsted School Webpage")</f>
        <v>Ofsted School Webpage</v>
      </c>
      <c r="B354">
        <v>101377</v>
      </c>
      <c r="C354">
        <v>3026063</v>
      </c>
      <c r="D354" t="s">
        <v>1781</v>
      </c>
      <c r="E354" t="s">
        <v>37</v>
      </c>
      <c r="F354" t="s">
        <v>184</v>
      </c>
      <c r="G354" t="s">
        <v>184</v>
      </c>
      <c r="H354" t="s">
        <v>2729</v>
      </c>
      <c r="I354" t="s">
        <v>2730</v>
      </c>
      <c r="J354" t="s">
        <v>186</v>
      </c>
      <c r="K354" t="s">
        <v>232</v>
      </c>
      <c r="L354" t="s">
        <v>232</v>
      </c>
      <c r="M354" t="s">
        <v>311</v>
      </c>
      <c r="N354" t="s">
        <v>1782</v>
      </c>
      <c r="O354" t="s">
        <v>1783</v>
      </c>
      <c r="P354" s="120">
        <v>41766</v>
      </c>
      <c r="Q354" s="120">
        <v>41768</v>
      </c>
      <c r="R354" s="120">
        <v>41787</v>
      </c>
      <c r="S354" t="s">
        <v>196</v>
      </c>
      <c r="T354">
        <v>2</v>
      </c>
      <c r="U354" t="s">
        <v>2730</v>
      </c>
      <c r="V354">
        <v>2</v>
      </c>
      <c r="W354" t="s">
        <v>2730</v>
      </c>
      <c r="X354">
        <v>2</v>
      </c>
      <c r="Y354">
        <v>2</v>
      </c>
      <c r="Z354" t="s">
        <v>2730</v>
      </c>
      <c r="AA354" t="s">
        <v>2730</v>
      </c>
      <c r="AB354" t="s">
        <v>2730</v>
      </c>
      <c r="AC354" t="s">
        <v>2730</v>
      </c>
      <c r="AD354" t="s">
        <v>2730</v>
      </c>
      <c r="AE354" t="s">
        <v>2730</v>
      </c>
      <c r="AF354" t="s">
        <v>2730</v>
      </c>
      <c r="AG354" t="s">
        <v>2730</v>
      </c>
      <c r="AH354" t="s">
        <v>2730</v>
      </c>
    </row>
    <row r="355" spans="1:34">
      <c r="A355" s="149" t="str">
        <f>HYPERLINK("http://www.ofsted.gov.uk/inspection-reports/find-inspection-report/provider/ELS/101378 ","Ofsted School Webpage")</f>
        <v>Ofsted School Webpage</v>
      </c>
      <c r="B355">
        <v>101378</v>
      </c>
      <c r="C355">
        <v>3026064</v>
      </c>
      <c r="D355" t="s">
        <v>1784</v>
      </c>
      <c r="E355" t="s">
        <v>37</v>
      </c>
      <c r="F355" t="s">
        <v>184</v>
      </c>
      <c r="G355" t="s">
        <v>184</v>
      </c>
      <c r="H355" t="s">
        <v>2729</v>
      </c>
      <c r="I355" t="s">
        <v>2730</v>
      </c>
      <c r="J355" t="s">
        <v>186</v>
      </c>
      <c r="K355" t="s">
        <v>232</v>
      </c>
      <c r="L355" t="s">
        <v>232</v>
      </c>
      <c r="M355" t="s">
        <v>311</v>
      </c>
      <c r="N355" t="s">
        <v>1785</v>
      </c>
      <c r="O355" t="s">
        <v>1786</v>
      </c>
      <c r="P355" s="120">
        <v>41947</v>
      </c>
      <c r="Q355" s="120">
        <v>41949</v>
      </c>
      <c r="R355" s="120">
        <v>41978</v>
      </c>
      <c r="S355" t="s">
        <v>196</v>
      </c>
      <c r="T355">
        <v>2</v>
      </c>
      <c r="U355" t="s">
        <v>2730</v>
      </c>
      <c r="V355">
        <v>2</v>
      </c>
      <c r="W355" t="s">
        <v>2730</v>
      </c>
      <c r="X355">
        <v>2</v>
      </c>
      <c r="Y355">
        <v>2</v>
      </c>
      <c r="Z355">
        <v>2</v>
      </c>
      <c r="AA355">
        <v>9</v>
      </c>
      <c r="AB355" t="s">
        <v>2730</v>
      </c>
      <c r="AC355" t="s">
        <v>2730</v>
      </c>
      <c r="AD355" t="s">
        <v>2730</v>
      </c>
      <c r="AE355" t="s">
        <v>2730</v>
      </c>
      <c r="AF355" t="s">
        <v>2730</v>
      </c>
      <c r="AG355" t="s">
        <v>2730</v>
      </c>
      <c r="AH355" t="s">
        <v>2730</v>
      </c>
    </row>
    <row r="356" spans="1:34">
      <c r="A356" s="149" t="str">
        <f>HYPERLINK("http://www.ofsted.gov.uk/inspection-reports/find-inspection-report/provider/ELS/109343 ","Ofsted School Webpage")</f>
        <v>Ofsted School Webpage</v>
      </c>
      <c r="B356">
        <v>109343</v>
      </c>
      <c r="C356">
        <v>8016009</v>
      </c>
      <c r="D356" t="s">
        <v>2290</v>
      </c>
      <c r="E356" t="s">
        <v>37</v>
      </c>
      <c r="F356" t="s">
        <v>184</v>
      </c>
      <c r="G356" t="s">
        <v>184</v>
      </c>
      <c r="H356" t="s">
        <v>2729</v>
      </c>
      <c r="I356" t="s">
        <v>2730</v>
      </c>
      <c r="J356" t="s">
        <v>186</v>
      </c>
      <c r="K356" t="s">
        <v>225</v>
      </c>
      <c r="L356" t="s">
        <v>225</v>
      </c>
      <c r="M356" t="s">
        <v>361</v>
      </c>
      <c r="N356" t="s">
        <v>2291</v>
      </c>
      <c r="O356">
        <v>10006064</v>
      </c>
      <c r="P356" s="120">
        <v>42381</v>
      </c>
      <c r="Q356" s="120">
        <v>42383</v>
      </c>
      <c r="R356" s="120">
        <v>42423</v>
      </c>
      <c r="S356" t="s">
        <v>196</v>
      </c>
      <c r="T356">
        <v>2</v>
      </c>
      <c r="U356" t="s">
        <v>128</v>
      </c>
      <c r="V356">
        <v>2</v>
      </c>
      <c r="W356">
        <v>2</v>
      </c>
      <c r="X356">
        <v>2</v>
      </c>
      <c r="Y356">
        <v>2</v>
      </c>
      <c r="Z356">
        <v>2</v>
      </c>
      <c r="AA356" t="s">
        <v>2730</v>
      </c>
      <c r="AB356" t="s">
        <v>2732</v>
      </c>
      <c r="AC356" t="s">
        <v>2730</v>
      </c>
      <c r="AD356" t="s">
        <v>2730</v>
      </c>
      <c r="AE356" t="s">
        <v>2730</v>
      </c>
      <c r="AF356" t="s">
        <v>2730</v>
      </c>
      <c r="AG356" t="s">
        <v>2730</v>
      </c>
      <c r="AH356" t="s">
        <v>2730</v>
      </c>
    </row>
    <row r="357" spans="1:34">
      <c r="A357" s="149" t="str">
        <f>HYPERLINK("http://www.ofsted.gov.uk/inspection-reports/find-inspection-report/provider/ELS/130399 ","Ofsted School Webpage")</f>
        <v>Ofsted School Webpage</v>
      </c>
      <c r="B357">
        <v>130399</v>
      </c>
      <c r="C357">
        <v>3576001</v>
      </c>
      <c r="D357" t="s">
        <v>2292</v>
      </c>
      <c r="E357" t="s">
        <v>37</v>
      </c>
      <c r="F357" t="s">
        <v>184</v>
      </c>
      <c r="G357" t="s">
        <v>184</v>
      </c>
      <c r="H357" t="s">
        <v>2729</v>
      </c>
      <c r="I357" t="s">
        <v>2730</v>
      </c>
      <c r="J357" t="s">
        <v>186</v>
      </c>
      <c r="K357" t="s">
        <v>205</v>
      </c>
      <c r="L357" t="s">
        <v>205</v>
      </c>
      <c r="M357" t="s">
        <v>857</v>
      </c>
      <c r="N357" t="s">
        <v>2293</v>
      </c>
      <c r="O357">
        <v>10008552</v>
      </c>
      <c r="P357" s="120">
        <v>42381</v>
      </c>
      <c r="Q357" s="120">
        <v>42383</v>
      </c>
      <c r="R357" s="120">
        <v>42430</v>
      </c>
      <c r="S357" t="s">
        <v>196</v>
      </c>
      <c r="T357">
        <v>2</v>
      </c>
      <c r="U357" t="s">
        <v>128</v>
      </c>
      <c r="V357">
        <v>2</v>
      </c>
      <c r="W357">
        <v>2</v>
      </c>
      <c r="X357">
        <v>2</v>
      </c>
      <c r="Y357">
        <v>2</v>
      </c>
      <c r="Z357">
        <v>2</v>
      </c>
      <c r="AA357" t="s">
        <v>2730</v>
      </c>
      <c r="AB357" t="s">
        <v>2732</v>
      </c>
      <c r="AC357" t="s">
        <v>2730</v>
      </c>
      <c r="AD357" t="s">
        <v>2730</v>
      </c>
      <c r="AE357" t="s">
        <v>2730</v>
      </c>
      <c r="AF357" t="s">
        <v>2730</v>
      </c>
      <c r="AG357" t="s">
        <v>2730</v>
      </c>
      <c r="AH357" t="s">
        <v>2730</v>
      </c>
    </row>
    <row r="358" spans="1:34">
      <c r="A358" s="149" t="str">
        <f>HYPERLINK("http://www.ofsted.gov.uk/inspection-reports/find-inspection-report/provider/ELS/101086 ","Ofsted School Webpage")</f>
        <v>Ofsted School Webpage</v>
      </c>
      <c r="B358">
        <v>101086</v>
      </c>
      <c r="C358">
        <v>2126390</v>
      </c>
      <c r="D358" t="s">
        <v>1533</v>
      </c>
      <c r="E358" t="s">
        <v>37</v>
      </c>
      <c r="F358" t="s">
        <v>184</v>
      </c>
      <c r="G358" t="s">
        <v>184</v>
      </c>
      <c r="H358" t="s">
        <v>2729</v>
      </c>
      <c r="I358" t="s">
        <v>2730</v>
      </c>
      <c r="J358" t="s">
        <v>186</v>
      </c>
      <c r="K358" t="s">
        <v>232</v>
      </c>
      <c r="L358" t="s">
        <v>232</v>
      </c>
      <c r="M358" t="s">
        <v>435</v>
      </c>
      <c r="N358" t="s">
        <v>1534</v>
      </c>
      <c r="O358">
        <v>10020722</v>
      </c>
      <c r="P358" s="120">
        <v>42892</v>
      </c>
      <c r="Q358" s="120">
        <v>42894</v>
      </c>
      <c r="R358" s="120">
        <v>42923</v>
      </c>
      <c r="S358" t="s">
        <v>196</v>
      </c>
      <c r="T358">
        <v>4</v>
      </c>
      <c r="U358" t="s">
        <v>129</v>
      </c>
      <c r="V358">
        <v>4</v>
      </c>
      <c r="W358">
        <v>4</v>
      </c>
      <c r="X358">
        <v>3</v>
      </c>
      <c r="Y358">
        <v>3</v>
      </c>
      <c r="Z358">
        <v>4</v>
      </c>
      <c r="AA358" t="s">
        <v>2730</v>
      </c>
      <c r="AB358" t="s">
        <v>2733</v>
      </c>
      <c r="AC358" t="s">
        <v>2730</v>
      </c>
      <c r="AD358" t="s">
        <v>2730</v>
      </c>
      <c r="AE358" t="s">
        <v>2730</v>
      </c>
      <c r="AF358" t="s">
        <v>2730</v>
      </c>
      <c r="AG358" t="s">
        <v>2730</v>
      </c>
      <c r="AH358" t="s">
        <v>2730</v>
      </c>
    </row>
    <row r="359" spans="1:34">
      <c r="A359" s="149" t="str">
        <f>HYPERLINK("http://www.ofsted.gov.uk/inspection-reports/find-inspection-report/provider/ELS/100073 ","Ofsted School Webpage")</f>
        <v>Ofsted School Webpage</v>
      </c>
      <c r="B359">
        <v>100073</v>
      </c>
      <c r="C359">
        <v>2026264</v>
      </c>
      <c r="D359" t="s">
        <v>1535</v>
      </c>
      <c r="E359" t="s">
        <v>37</v>
      </c>
      <c r="F359" t="s">
        <v>184</v>
      </c>
      <c r="G359" t="s">
        <v>184</v>
      </c>
      <c r="H359" t="s">
        <v>2729</v>
      </c>
      <c r="I359" t="s">
        <v>2730</v>
      </c>
      <c r="J359" t="s">
        <v>186</v>
      </c>
      <c r="K359" t="s">
        <v>232</v>
      </c>
      <c r="L359" t="s">
        <v>232</v>
      </c>
      <c r="M359" t="s">
        <v>536</v>
      </c>
      <c r="N359" t="s">
        <v>1536</v>
      </c>
      <c r="O359" t="s">
        <v>1537</v>
      </c>
      <c r="P359" s="120">
        <v>41975</v>
      </c>
      <c r="Q359" s="120">
        <v>41977</v>
      </c>
      <c r="R359" s="120">
        <v>42017</v>
      </c>
      <c r="S359" t="s">
        <v>196</v>
      </c>
      <c r="T359">
        <v>2</v>
      </c>
      <c r="U359" t="s">
        <v>2730</v>
      </c>
      <c r="V359">
        <v>2</v>
      </c>
      <c r="W359" t="s">
        <v>2730</v>
      </c>
      <c r="X359">
        <v>2</v>
      </c>
      <c r="Y359">
        <v>2</v>
      </c>
      <c r="Z359">
        <v>2</v>
      </c>
      <c r="AA359">
        <v>9</v>
      </c>
      <c r="AB359" t="s">
        <v>2730</v>
      </c>
      <c r="AC359" t="s">
        <v>2730</v>
      </c>
      <c r="AD359" t="s">
        <v>2730</v>
      </c>
      <c r="AE359" t="s">
        <v>2730</v>
      </c>
      <c r="AF359" t="s">
        <v>2730</v>
      </c>
      <c r="AG359" t="s">
        <v>2730</v>
      </c>
      <c r="AH359" t="s">
        <v>2730</v>
      </c>
    </row>
    <row r="360" spans="1:34">
      <c r="A360" s="149" t="str">
        <f>HYPERLINK("http://www.ofsted.gov.uk/inspection-reports/find-inspection-report/provider/ELS/133443 ","Ofsted School Webpage")</f>
        <v>Ofsted School Webpage</v>
      </c>
      <c r="B360">
        <v>133443</v>
      </c>
      <c r="C360">
        <v>3186586</v>
      </c>
      <c r="D360" t="s">
        <v>1538</v>
      </c>
      <c r="E360" t="s">
        <v>37</v>
      </c>
      <c r="F360" t="s">
        <v>184</v>
      </c>
      <c r="G360" t="s">
        <v>184</v>
      </c>
      <c r="H360" t="s">
        <v>2729</v>
      </c>
      <c r="I360" t="s">
        <v>2730</v>
      </c>
      <c r="J360" t="s">
        <v>186</v>
      </c>
      <c r="K360" t="s">
        <v>232</v>
      </c>
      <c r="L360" t="s">
        <v>232</v>
      </c>
      <c r="M360" t="s">
        <v>233</v>
      </c>
      <c r="N360" t="s">
        <v>1539</v>
      </c>
      <c r="O360" t="s">
        <v>1540</v>
      </c>
      <c r="P360" s="120">
        <v>41443</v>
      </c>
      <c r="Q360" s="120">
        <v>41445</v>
      </c>
      <c r="R360" s="120">
        <v>41465</v>
      </c>
      <c r="S360" t="s">
        <v>196</v>
      </c>
      <c r="T360">
        <v>2</v>
      </c>
      <c r="U360" t="s">
        <v>2730</v>
      </c>
      <c r="V360">
        <v>2</v>
      </c>
      <c r="W360" t="s">
        <v>2730</v>
      </c>
      <c r="X360">
        <v>2</v>
      </c>
      <c r="Y360">
        <v>2</v>
      </c>
      <c r="Z360" t="s">
        <v>2730</v>
      </c>
      <c r="AA360" t="s">
        <v>2730</v>
      </c>
      <c r="AB360" t="s">
        <v>2730</v>
      </c>
      <c r="AC360" t="s">
        <v>2730</v>
      </c>
      <c r="AD360" t="s">
        <v>2730</v>
      </c>
      <c r="AE360" t="s">
        <v>2730</v>
      </c>
      <c r="AF360" t="s">
        <v>2730</v>
      </c>
      <c r="AG360" t="s">
        <v>2730</v>
      </c>
      <c r="AH360" t="s">
        <v>2730</v>
      </c>
    </row>
    <row r="361" spans="1:34">
      <c r="A361" s="149" t="str">
        <f>HYPERLINK("http://www.ofsted.gov.uk/inspection-reports/find-inspection-report/provider/ELS/141680 ","Ofsted School Webpage")</f>
        <v>Ofsted School Webpage</v>
      </c>
      <c r="B361">
        <v>141680</v>
      </c>
      <c r="C361">
        <v>3526010</v>
      </c>
      <c r="D361" t="s">
        <v>533</v>
      </c>
      <c r="E361" t="s">
        <v>37</v>
      </c>
      <c r="F361" t="s">
        <v>184</v>
      </c>
      <c r="G361" t="s">
        <v>184</v>
      </c>
      <c r="H361" t="s">
        <v>2729</v>
      </c>
      <c r="I361" t="s">
        <v>2730</v>
      </c>
      <c r="J361" t="s">
        <v>186</v>
      </c>
      <c r="K361" t="s">
        <v>205</v>
      </c>
      <c r="L361" t="s">
        <v>205</v>
      </c>
      <c r="M361" t="s">
        <v>306</v>
      </c>
      <c r="N361" t="s">
        <v>534</v>
      </c>
      <c r="O361">
        <v>10006309</v>
      </c>
      <c r="P361" s="120">
        <v>42710</v>
      </c>
      <c r="Q361" s="120">
        <v>42712</v>
      </c>
      <c r="R361" s="120">
        <v>43007</v>
      </c>
      <c r="S361" t="s">
        <v>249</v>
      </c>
      <c r="T361">
        <v>4</v>
      </c>
      <c r="U361" t="s">
        <v>128</v>
      </c>
      <c r="V361">
        <v>4</v>
      </c>
      <c r="W361">
        <v>4</v>
      </c>
      <c r="X361">
        <v>3</v>
      </c>
      <c r="Y361">
        <v>3</v>
      </c>
      <c r="Z361" t="s">
        <v>2730</v>
      </c>
      <c r="AA361" t="s">
        <v>2730</v>
      </c>
      <c r="AB361" t="s">
        <v>2733</v>
      </c>
      <c r="AC361">
        <v>10040201</v>
      </c>
      <c r="AD361" t="s">
        <v>187</v>
      </c>
      <c r="AE361" s="120">
        <v>43005</v>
      </c>
      <c r="AF361" t="s">
        <v>2771</v>
      </c>
      <c r="AG361" s="120">
        <v>43039</v>
      </c>
      <c r="AH361" t="s">
        <v>217</v>
      </c>
    </row>
    <row r="362" spans="1:34">
      <c r="A362" s="149" t="str">
        <f>HYPERLINK("http://www.ofsted.gov.uk/inspection-reports/find-inspection-report/provider/ELS/107791 ","Ofsted School Webpage")</f>
        <v>Ofsted School Webpage</v>
      </c>
      <c r="B362">
        <v>107791</v>
      </c>
      <c r="C362">
        <v>3826013</v>
      </c>
      <c r="D362" t="s">
        <v>2349</v>
      </c>
      <c r="E362" t="s">
        <v>37</v>
      </c>
      <c r="F362" t="s">
        <v>184</v>
      </c>
      <c r="G362" t="s">
        <v>223</v>
      </c>
      <c r="H362" t="s">
        <v>2729</v>
      </c>
      <c r="I362" t="s">
        <v>2730</v>
      </c>
      <c r="J362" t="s">
        <v>186</v>
      </c>
      <c r="K362" t="s">
        <v>245</v>
      </c>
      <c r="L362" t="s">
        <v>246</v>
      </c>
      <c r="M362" t="s">
        <v>768</v>
      </c>
      <c r="N362" t="s">
        <v>2350</v>
      </c>
      <c r="O362">
        <v>10007421</v>
      </c>
      <c r="P362" s="120">
        <v>42283</v>
      </c>
      <c r="Q362" s="120">
        <v>42285</v>
      </c>
      <c r="R362" s="120">
        <v>42353</v>
      </c>
      <c r="S362" t="s">
        <v>267</v>
      </c>
      <c r="T362">
        <v>4</v>
      </c>
      <c r="U362" t="s">
        <v>129</v>
      </c>
      <c r="V362">
        <v>4</v>
      </c>
      <c r="W362">
        <v>3</v>
      </c>
      <c r="X362">
        <v>3</v>
      </c>
      <c r="Y362">
        <v>3</v>
      </c>
      <c r="Z362" t="s">
        <v>2730</v>
      </c>
      <c r="AA362" t="s">
        <v>2730</v>
      </c>
      <c r="AB362" t="s">
        <v>2733</v>
      </c>
      <c r="AC362">
        <v>10020812</v>
      </c>
      <c r="AD362" t="s">
        <v>2770</v>
      </c>
      <c r="AE362" s="120">
        <v>42572</v>
      </c>
      <c r="AF362" t="s">
        <v>2772</v>
      </c>
      <c r="AG362" s="120">
        <v>42643</v>
      </c>
      <c r="AH362" t="s">
        <v>2773</v>
      </c>
    </row>
    <row r="363" spans="1:34">
      <c r="A363" s="149" t="str">
        <f>HYPERLINK("http://www.ofsted.gov.uk/inspection-reports/find-inspection-report/provider/ELS/100532 ","Ofsted School Webpage")</f>
        <v>Ofsted School Webpage</v>
      </c>
      <c r="B363">
        <v>100532</v>
      </c>
      <c r="C363">
        <v>2076305</v>
      </c>
      <c r="D363" t="s">
        <v>2351</v>
      </c>
      <c r="E363" t="s">
        <v>37</v>
      </c>
      <c r="F363" t="s">
        <v>184</v>
      </c>
      <c r="G363" t="s">
        <v>184</v>
      </c>
      <c r="H363" t="s">
        <v>2729</v>
      </c>
      <c r="I363" t="s">
        <v>2730</v>
      </c>
      <c r="J363" t="s">
        <v>186</v>
      </c>
      <c r="K363" t="s">
        <v>232</v>
      </c>
      <c r="L363" t="s">
        <v>232</v>
      </c>
      <c r="M363" t="s">
        <v>294</v>
      </c>
      <c r="N363" t="s">
        <v>2352</v>
      </c>
      <c r="O363" t="s">
        <v>2353</v>
      </c>
      <c r="P363" s="120">
        <v>41604</v>
      </c>
      <c r="Q363" s="120">
        <v>41606</v>
      </c>
      <c r="R363" s="120">
        <v>41626</v>
      </c>
      <c r="S363" t="s">
        <v>196</v>
      </c>
      <c r="T363">
        <v>2</v>
      </c>
      <c r="U363" t="s">
        <v>2730</v>
      </c>
      <c r="V363">
        <v>3</v>
      </c>
      <c r="W363" t="s">
        <v>2730</v>
      </c>
      <c r="X363">
        <v>2</v>
      </c>
      <c r="Y363">
        <v>2</v>
      </c>
      <c r="Z363" t="s">
        <v>2730</v>
      </c>
      <c r="AA363" t="s">
        <v>2730</v>
      </c>
      <c r="AB363" t="s">
        <v>2730</v>
      </c>
      <c r="AC363" t="s">
        <v>2730</v>
      </c>
      <c r="AD363" t="s">
        <v>2730</v>
      </c>
      <c r="AE363" s="120" t="s">
        <v>2730</v>
      </c>
      <c r="AF363" t="s">
        <v>2730</v>
      </c>
      <c r="AG363" s="120" t="s">
        <v>2730</v>
      </c>
      <c r="AH363" t="s">
        <v>2730</v>
      </c>
    </row>
    <row r="364" spans="1:34">
      <c r="A364" s="149" t="str">
        <f>HYPERLINK("http://www.ofsted.gov.uk/inspection-reports/find-inspection-report/provider/ELS/101171 ","Ofsted School Webpage")</f>
        <v>Ofsted School Webpage</v>
      </c>
      <c r="B364">
        <v>101171</v>
      </c>
      <c r="C364">
        <v>2136304</v>
      </c>
      <c r="D364" t="s">
        <v>2354</v>
      </c>
      <c r="E364" t="s">
        <v>37</v>
      </c>
      <c r="F364" t="s">
        <v>184</v>
      </c>
      <c r="G364" t="s">
        <v>184</v>
      </c>
      <c r="H364" t="s">
        <v>2729</v>
      </c>
      <c r="I364" t="s">
        <v>2730</v>
      </c>
      <c r="J364" t="s">
        <v>186</v>
      </c>
      <c r="K364" t="s">
        <v>232</v>
      </c>
      <c r="L364" t="s">
        <v>232</v>
      </c>
      <c r="M364" t="s">
        <v>679</v>
      </c>
      <c r="N364" t="s">
        <v>2355</v>
      </c>
      <c r="O364" t="s">
        <v>2356</v>
      </c>
      <c r="P364" s="120">
        <v>41758</v>
      </c>
      <c r="Q364" s="120">
        <v>41760</v>
      </c>
      <c r="R364" s="120">
        <v>41899</v>
      </c>
      <c r="S364" t="s">
        <v>196</v>
      </c>
      <c r="T364">
        <v>4</v>
      </c>
      <c r="U364" t="s">
        <v>2730</v>
      </c>
      <c r="V364">
        <v>4</v>
      </c>
      <c r="W364" t="s">
        <v>2730</v>
      </c>
      <c r="X364">
        <v>2</v>
      </c>
      <c r="Y364">
        <v>2</v>
      </c>
      <c r="Z364" t="s">
        <v>2730</v>
      </c>
      <c r="AA364" t="s">
        <v>2730</v>
      </c>
      <c r="AB364" t="s">
        <v>2730</v>
      </c>
      <c r="AC364">
        <v>10022712</v>
      </c>
      <c r="AD364" t="s">
        <v>187</v>
      </c>
      <c r="AE364" s="120">
        <v>42683</v>
      </c>
      <c r="AF364" t="s">
        <v>2769</v>
      </c>
      <c r="AG364" s="120">
        <v>42739</v>
      </c>
      <c r="AH364" t="s">
        <v>189</v>
      </c>
    </row>
    <row r="365" spans="1:34">
      <c r="A365" s="149" t="str">
        <f>HYPERLINK("http://www.ofsted.gov.uk/inspection-reports/find-inspection-report/provider/ELS/102550 ","Ofsted School Webpage")</f>
        <v>Ofsted School Webpage</v>
      </c>
      <c r="B365">
        <v>102550</v>
      </c>
      <c r="C365">
        <v>3136063</v>
      </c>
      <c r="D365" t="s">
        <v>2357</v>
      </c>
      <c r="E365" t="s">
        <v>37</v>
      </c>
      <c r="F365" t="s">
        <v>184</v>
      </c>
      <c r="G365" t="s">
        <v>184</v>
      </c>
      <c r="H365" t="s">
        <v>2729</v>
      </c>
      <c r="I365" t="s">
        <v>2730</v>
      </c>
      <c r="J365" t="s">
        <v>186</v>
      </c>
      <c r="K365" t="s">
        <v>232</v>
      </c>
      <c r="L365" t="s">
        <v>232</v>
      </c>
      <c r="M365" t="s">
        <v>269</v>
      </c>
      <c r="N365" t="s">
        <v>2358</v>
      </c>
      <c r="O365">
        <v>10008546</v>
      </c>
      <c r="P365" s="120">
        <v>42437</v>
      </c>
      <c r="Q365" s="120">
        <v>42439</v>
      </c>
      <c r="R365" s="120">
        <v>42478</v>
      </c>
      <c r="S365" t="s">
        <v>196</v>
      </c>
      <c r="T365">
        <v>2</v>
      </c>
      <c r="U365" t="s">
        <v>128</v>
      </c>
      <c r="V365">
        <v>2</v>
      </c>
      <c r="W365">
        <v>1</v>
      </c>
      <c r="X365">
        <v>2</v>
      </c>
      <c r="Y365">
        <v>2</v>
      </c>
      <c r="Z365">
        <v>2</v>
      </c>
      <c r="AA365">
        <v>1</v>
      </c>
      <c r="AB365" t="s">
        <v>2732</v>
      </c>
      <c r="AC365" t="s">
        <v>2730</v>
      </c>
      <c r="AD365" t="s">
        <v>2730</v>
      </c>
      <c r="AE365" t="s">
        <v>2730</v>
      </c>
      <c r="AF365" t="s">
        <v>2730</v>
      </c>
      <c r="AG365" t="s">
        <v>2730</v>
      </c>
      <c r="AH365" t="s">
        <v>2730</v>
      </c>
    </row>
    <row r="366" spans="1:34">
      <c r="A366" s="149" t="str">
        <f>HYPERLINK("http://www.ofsted.gov.uk/inspection-reports/find-inspection-report/provider/ELS/134805 ","Ofsted School Webpage")</f>
        <v>Ofsted School Webpage</v>
      </c>
      <c r="B366">
        <v>134805</v>
      </c>
      <c r="C366">
        <v>8216006</v>
      </c>
      <c r="D366" t="s">
        <v>219</v>
      </c>
      <c r="E366" t="s">
        <v>37</v>
      </c>
      <c r="F366" t="s">
        <v>184</v>
      </c>
      <c r="G366" t="s">
        <v>223</v>
      </c>
      <c r="H366" t="s">
        <v>2729</v>
      </c>
      <c r="I366" t="s">
        <v>2730</v>
      </c>
      <c r="J366" t="s">
        <v>186</v>
      </c>
      <c r="K366" t="s">
        <v>220</v>
      </c>
      <c r="L366" t="s">
        <v>220</v>
      </c>
      <c r="M366" t="s">
        <v>221</v>
      </c>
      <c r="N366" t="s">
        <v>222</v>
      </c>
      <c r="O366">
        <v>10039334</v>
      </c>
      <c r="P366" s="120">
        <v>43018</v>
      </c>
      <c r="Q366" s="120">
        <v>43020</v>
      </c>
      <c r="R366" s="120">
        <v>43055</v>
      </c>
      <c r="S366" t="s">
        <v>196</v>
      </c>
      <c r="T366">
        <v>2</v>
      </c>
      <c r="U366" t="s">
        <v>128</v>
      </c>
      <c r="V366">
        <v>2</v>
      </c>
      <c r="W366">
        <v>2</v>
      </c>
      <c r="X366">
        <v>2</v>
      </c>
      <c r="Y366">
        <v>2</v>
      </c>
      <c r="Z366" t="s">
        <v>2730</v>
      </c>
      <c r="AA366" t="s">
        <v>2730</v>
      </c>
      <c r="AB366" t="s">
        <v>2732</v>
      </c>
      <c r="AC366" t="s">
        <v>2730</v>
      </c>
      <c r="AD366" t="s">
        <v>2730</v>
      </c>
      <c r="AE366" t="s">
        <v>2730</v>
      </c>
      <c r="AF366" t="s">
        <v>2730</v>
      </c>
      <c r="AG366" t="s">
        <v>2730</v>
      </c>
      <c r="AH366" t="s">
        <v>2730</v>
      </c>
    </row>
    <row r="367" spans="1:34">
      <c r="A367" s="149" t="str">
        <f>HYPERLINK("http://www.ofsted.gov.uk/inspection-reports/find-inspection-report/provider/ELS/131388 ","Ofsted School Webpage")</f>
        <v>Ofsted School Webpage</v>
      </c>
      <c r="B367">
        <v>131388</v>
      </c>
      <c r="C367">
        <v>2116387</v>
      </c>
      <c r="D367" t="s">
        <v>1541</v>
      </c>
      <c r="E367" t="s">
        <v>37</v>
      </c>
      <c r="F367" t="s">
        <v>184</v>
      </c>
      <c r="G367" t="s">
        <v>223</v>
      </c>
      <c r="H367" t="s">
        <v>2729</v>
      </c>
      <c r="I367" t="s">
        <v>2730</v>
      </c>
      <c r="J367" t="s">
        <v>186</v>
      </c>
      <c r="K367" t="s">
        <v>232</v>
      </c>
      <c r="L367" t="s">
        <v>232</v>
      </c>
      <c r="M367" t="s">
        <v>539</v>
      </c>
      <c r="N367" t="s">
        <v>1542</v>
      </c>
      <c r="O367" t="s">
        <v>1543</v>
      </c>
      <c r="P367" s="120">
        <v>41920</v>
      </c>
      <c r="Q367" s="120">
        <v>41922</v>
      </c>
      <c r="R367" s="120">
        <v>42039</v>
      </c>
      <c r="S367" t="s">
        <v>196</v>
      </c>
      <c r="T367">
        <v>4</v>
      </c>
      <c r="U367" t="s">
        <v>2730</v>
      </c>
      <c r="V367">
        <v>4</v>
      </c>
      <c r="W367" t="s">
        <v>2730</v>
      </c>
      <c r="X367">
        <v>4</v>
      </c>
      <c r="Y367">
        <v>4</v>
      </c>
      <c r="Z367">
        <v>9</v>
      </c>
      <c r="AA367">
        <v>4</v>
      </c>
      <c r="AB367" t="s">
        <v>2730</v>
      </c>
      <c r="AC367">
        <v>10022672</v>
      </c>
      <c r="AD367" t="s">
        <v>187</v>
      </c>
      <c r="AE367" s="120">
        <v>42698</v>
      </c>
      <c r="AF367" t="s">
        <v>2769</v>
      </c>
      <c r="AG367" s="120">
        <v>42751</v>
      </c>
      <c r="AH367" t="s">
        <v>189</v>
      </c>
    </row>
    <row r="368" spans="1:34">
      <c r="A368" s="149" t="str">
        <f>HYPERLINK("http://www.ofsted.gov.uk/inspection-reports/find-inspection-report/provider/ELS/131389 ","Ofsted School Webpage")</f>
        <v>Ofsted School Webpage</v>
      </c>
      <c r="B368">
        <v>131389</v>
      </c>
      <c r="C368">
        <v>8896005</v>
      </c>
      <c r="D368" t="s">
        <v>1544</v>
      </c>
      <c r="E368" t="s">
        <v>37</v>
      </c>
      <c r="F368" t="s">
        <v>184</v>
      </c>
      <c r="G368" t="s">
        <v>223</v>
      </c>
      <c r="H368" t="s">
        <v>2729</v>
      </c>
      <c r="I368" t="s">
        <v>2730</v>
      </c>
      <c r="J368" t="s">
        <v>186</v>
      </c>
      <c r="K368" t="s">
        <v>205</v>
      </c>
      <c r="L368" t="s">
        <v>205</v>
      </c>
      <c r="M368" t="s">
        <v>485</v>
      </c>
      <c r="N368" t="s">
        <v>1545</v>
      </c>
      <c r="O368">
        <v>10020865</v>
      </c>
      <c r="P368" s="120">
        <v>42773</v>
      </c>
      <c r="Q368" s="120">
        <v>42775</v>
      </c>
      <c r="R368" s="120">
        <v>42814</v>
      </c>
      <c r="S368" t="s">
        <v>196</v>
      </c>
      <c r="T368">
        <v>1</v>
      </c>
      <c r="U368" t="s">
        <v>128</v>
      </c>
      <c r="V368">
        <v>1</v>
      </c>
      <c r="W368">
        <v>1</v>
      </c>
      <c r="X368">
        <v>1</v>
      </c>
      <c r="Y368">
        <v>1</v>
      </c>
      <c r="Z368" t="s">
        <v>2730</v>
      </c>
      <c r="AA368">
        <v>1</v>
      </c>
      <c r="AB368" t="s">
        <v>2732</v>
      </c>
      <c r="AC368" t="s">
        <v>2730</v>
      </c>
      <c r="AD368" t="s">
        <v>2730</v>
      </c>
      <c r="AE368" t="s">
        <v>2730</v>
      </c>
      <c r="AF368" t="s">
        <v>2730</v>
      </c>
      <c r="AG368" t="s">
        <v>2730</v>
      </c>
      <c r="AH368" t="s">
        <v>2730</v>
      </c>
    </row>
    <row r="369" spans="1:34">
      <c r="A369" s="149" t="str">
        <f>HYPERLINK("http://www.ofsted.gov.uk/inspection-reports/find-inspection-report/provider/ELS/140496 ","Ofsted School Webpage")</f>
        <v>Ofsted School Webpage</v>
      </c>
      <c r="B369">
        <v>140496</v>
      </c>
      <c r="C369">
        <v>3156006</v>
      </c>
      <c r="D369" t="s">
        <v>1546</v>
      </c>
      <c r="E369" t="s">
        <v>37</v>
      </c>
      <c r="F369" t="s">
        <v>184</v>
      </c>
      <c r="G369" t="s">
        <v>184</v>
      </c>
      <c r="H369" t="s">
        <v>2729</v>
      </c>
      <c r="I369" t="s">
        <v>2730</v>
      </c>
      <c r="J369" t="s">
        <v>186</v>
      </c>
      <c r="K369" t="s">
        <v>232</v>
      </c>
      <c r="L369" t="s">
        <v>232</v>
      </c>
      <c r="M369" t="s">
        <v>236</v>
      </c>
      <c r="N369" t="s">
        <v>1547</v>
      </c>
      <c r="O369" t="s">
        <v>1548</v>
      </c>
      <c r="P369" s="120">
        <v>41962</v>
      </c>
      <c r="Q369" s="120">
        <v>41964</v>
      </c>
      <c r="R369" s="120">
        <v>41984</v>
      </c>
      <c r="S369" t="s">
        <v>249</v>
      </c>
      <c r="T369">
        <v>2</v>
      </c>
      <c r="U369" t="s">
        <v>2730</v>
      </c>
      <c r="V369">
        <v>2</v>
      </c>
      <c r="W369" t="s">
        <v>2730</v>
      </c>
      <c r="X369">
        <v>2</v>
      </c>
      <c r="Y369">
        <v>2</v>
      </c>
      <c r="Z369">
        <v>9</v>
      </c>
      <c r="AA369">
        <v>9</v>
      </c>
      <c r="AB369" t="s">
        <v>2730</v>
      </c>
      <c r="AC369" t="s">
        <v>2730</v>
      </c>
      <c r="AD369" t="s">
        <v>2730</v>
      </c>
      <c r="AE369" t="s">
        <v>2730</v>
      </c>
      <c r="AF369" t="s">
        <v>2730</v>
      </c>
      <c r="AG369" t="s">
        <v>2730</v>
      </c>
      <c r="AH369" t="s">
        <v>2730</v>
      </c>
    </row>
    <row r="370" spans="1:34">
      <c r="A370" s="149" t="str">
        <f>HYPERLINK("http://www.ofsted.gov.uk/inspection-reports/find-inspection-report/provider/ELS/136746 ","Ofsted School Webpage")</f>
        <v>Ofsted School Webpage</v>
      </c>
      <c r="B370">
        <v>136746</v>
      </c>
      <c r="C370">
        <v>3016003</v>
      </c>
      <c r="D370" t="s">
        <v>1805</v>
      </c>
      <c r="E370" t="s">
        <v>37</v>
      </c>
      <c r="F370" t="s">
        <v>184</v>
      </c>
      <c r="G370" t="s">
        <v>223</v>
      </c>
      <c r="H370" t="s">
        <v>2729</v>
      </c>
      <c r="I370" t="s">
        <v>2730</v>
      </c>
      <c r="J370" t="s">
        <v>186</v>
      </c>
      <c r="K370" t="s">
        <v>232</v>
      </c>
      <c r="L370" t="s">
        <v>232</v>
      </c>
      <c r="M370" t="s">
        <v>1164</v>
      </c>
      <c r="N370" t="s">
        <v>1806</v>
      </c>
      <c r="O370">
        <v>10012827</v>
      </c>
      <c r="P370" s="120">
        <v>42479</v>
      </c>
      <c r="Q370" s="120">
        <v>42481</v>
      </c>
      <c r="R370" s="120">
        <v>42509</v>
      </c>
      <c r="S370" t="s">
        <v>196</v>
      </c>
      <c r="T370">
        <v>2</v>
      </c>
      <c r="U370" t="s">
        <v>128</v>
      </c>
      <c r="V370">
        <v>2</v>
      </c>
      <c r="W370">
        <v>2</v>
      </c>
      <c r="X370">
        <v>2</v>
      </c>
      <c r="Y370">
        <v>2</v>
      </c>
      <c r="Z370" t="s">
        <v>2730</v>
      </c>
      <c r="AA370" t="s">
        <v>2730</v>
      </c>
      <c r="AB370" t="s">
        <v>2732</v>
      </c>
      <c r="AC370" t="s">
        <v>2730</v>
      </c>
      <c r="AD370" t="s">
        <v>2730</v>
      </c>
      <c r="AE370" t="s">
        <v>2730</v>
      </c>
      <c r="AF370" t="s">
        <v>2730</v>
      </c>
      <c r="AG370" t="s">
        <v>2730</v>
      </c>
      <c r="AH370" t="s">
        <v>2730</v>
      </c>
    </row>
    <row r="371" spans="1:34">
      <c r="A371" s="149" t="str">
        <f>HYPERLINK("http://www.ofsted.gov.uk/inspection-reports/find-inspection-report/provider/ELS/135405 ","Ofsted School Webpage")</f>
        <v>Ofsted School Webpage</v>
      </c>
      <c r="B371">
        <v>135405</v>
      </c>
      <c r="C371">
        <v>9086096</v>
      </c>
      <c r="D371" t="s">
        <v>1570</v>
      </c>
      <c r="E371" t="s">
        <v>38</v>
      </c>
      <c r="F371" t="s">
        <v>184</v>
      </c>
      <c r="G371" t="s">
        <v>184</v>
      </c>
      <c r="H371" t="s">
        <v>2729</v>
      </c>
      <c r="I371" t="s">
        <v>2730</v>
      </c>
      <c r="J371" t="s">
        <v>186</v>
      </c>
      <c r="K371" t="s">
        <v>225</v>
      </c>
      <c r="L371" t="s">
        <v>225</v>
      </c>
      <c r="M371" t="s">
        <v>1048</v>
      </c>
      <c r="N371" t="s">
        <v>1571</v>
      </c>
      <c r="O371" t="s">
        <v>1572</v>
      </c>
      <c r="P371" s="120">
        <v>42074</v>
      </c>
      <c r="Q371" s="120">
        <v>42076</v>
      </c>
      <c r="R371" s="120">
        <v>42138</v>
      </c>
      <c r="S371" t="s">
        <v>196</v>
      </c>
      <c r="T371">
        <v>2</v>
      </c>
      <c r="U371" t="s">
        <v>2730</v>
      </c>
      <c r="V371">
        <v>2</v>
      </c>
      <c r="W371" t="s">
        <v>2730</v>
      </c>
      <c r="X371">
        <v>2</v>
      </c>
      <c r="Y371">
        <v>2</v>
      </c>
      <c r="Z371">
        <v>9</v>
      </c>
      <c r="AA371">
        <v>9</v>
      </c>
      <c r="AB371" t="s">
        <v>2730</v>
      </c>
      <c r="AC371" t="s">
        <v>2730</v>
      </c>
      <c r="AD371" t="s">
        <v>2730</v>
      </c>
      <c r="AE371" t="s">
        <v>2730</v>
      </c>
      <c r="AF371" t="s">
        <v>2730</v>
      </c>
      <c r="AG371" t="s">
        <v>2730</v>
      </c>
      <c r="AH371" t="s">
        <v>2730</v>
      </c>
    </row>
    <row r="372" spans="1:34">
      <c r="A372" s="149" t="str">
        <f>HYPERLINK("http://www.ofsted.gov.uk/inspection-reports/find-inspection-report/provider/ELS/135027 ","Ofsted School Webpage")</f>
        <v>Ofsted School Webpage</v>
      </c>
      <c r="B372">
        <v>135027</v>
      </c>
      <c r="C372">
        <v>3526062</v>
      </c>
      <c r="D372" t="s">
        <v>1573</v>
      </c>
      <c r="E372" t="s">
        <v>38</v>
      </c>
      <c r="F372" t="s">
        <v>184</v>
      </c>
      <c r="G372" t="s">
        <v>318</v>
      </c>
      <c r="H372" t="s">
        <v>2729</v>
      </c>
      <c r="I372" t="s">
        <v>2730</v>
      </c>
      <c r="J372" t="s">
        <v>186</v>
      </c>
      <c r="K372" t="s">
        <v>205</v>
      </c>
      <c r="L372" t="s">
        <v>205</v>
      </c>
      <c r="M372" t="s">
        <v>306</v>
      </c>
      <c r="N372" t="s">
        <v>1574</v>
      </c>
      <c r="O372">
        <v>10006316</v>
      </c>
      <c r="P372" s="120">
        <v>42682</v>
      </c>
      <c r="Q372" s="120">
        <v>42684</v>
      </c>
      <c r="R372" s="120">
        <v>42725</v>
      </c>
      <c r="S372" t="s">
        <v>196</v>
      </c>
      <c r="T372">
        <v>4</v>
      </c>
      <c r="U372" t="s">
        <v>129</v>
      </c>
      <c r="V372">
        <v>4</v>
      </c>
      <c r="W372">
        <v>3</v>
      </c>
      <c r="X372">
        <v>4</v>
      </c>
      <c r="Y372">
        <v>4</v>
      </c>
      <c r="Z372" t="s">
        <v>2730</v>
      </c>
      <c r="AA372">
        <v>4</v>
      </c>
      <c r="AB372" t="s">
        <v>2733</v>
      </c>
      <c r="AC372">
        <v>10035525</v>
      </c>
      <c r="AD372" t="s">
        <v>187</v>
      </c>
      <c r="AE372" s="120">
        <v>42908</v>
      </c>
      <c r="AF372" t="s">
        <v>2769</v>
      </c>
      <c r="AG372" s="120">
        <v>42982</v>
      </c>
      <c r="AH372" t="s">
        <v>217</v>
      </c>
    </row>
    <row r="373" spans="1:34">
      <c r="A373" s="149" t="str">
        <f>HYPERLINK("http://www.ofsted.gov.uk/inspection-reports/find-inspection-report/provider/ELS/131531 ","Ofsted School Webpage")</f>
        <v>Ofsted School Webpage</v>
      </c>
      <c r="B373">
        <v>131531</v>
      </c>
      <c r="C373">
        <v>8506085</v>
      </c>
      <c r="D373" t="s">
        <v>1575</v>
      </c>
      <c r="E373" t="s">
        <v>38</v>
      </c>
      <c r="F373" t="s">
        <v>184</v>
      </c>
      <c r="G373" t="s">
        <v>184</v>
      </c>
      <c r="H373" t="s">
        <v>2729</v>
      </c>
      <c r="I373" t="s">
        <v>2730</v>
      </c>
      <c r="J373" t="s">
        <v>186</v>
      </c>
      <c r="K373" t="s">
        <v>181</v>
      </c>
      <c r="L373" t="s">
        <v>181</v>
      </c>
      <c r="M373" t="s">
        <v>201</v>
      </c>
      <c r="N373" t="s">
        <v>1576</v>
      </c>
      <c r="O373">
        <v>10025981</v>
      </c>
      <c r="P373" s="120">
        <v>43053</v>
      </c>
      <c r="Q373" s="120">
        <v>43055</v>
      </c>
      <c r="R373" s="120">
        <v>43075</v>
      </c>
      <c r="S373" t="s">
        <v>196</v>
      </c>
      <c r="T373">
        <v>2</v>
      </c>
      <c r="U373" t="s">
        <v>128</v>
      </c>
      <c r="V373">
        <v>2</v>
      </c>
      <c r="W373">
        <v>1</v>
      </c>
      <c r="X373">
        <v>2</v>
      </c>
      <c r="Y373">
        <v>2</v>
      </c>
      <c r="Z373" t="s">
        <v>2730</v>
      </c>
      <c r="AA373">
        <v>1</v>
      </c>
      <c r="AB373" t="s">
        <v>2732</v>
      </c>
      <c r="AC373" t="s">
        <v>2730</v>
      </c>
      <c r="AD373" t="s">
        <v>2730</v>
      </c>
      <c r="AE373" t="s">
        <v>2730</v>
      </c>
      <c r="AF373" t="s">
        <v>2730</v>
      </c>
      <c r="AG373" t="s">
        <v>2730</v>
      </c>
      <c r="AH373" t="s">
        <v>2730</v>
      </c>
    </row>
    <row r="374" spans="1:34">
      <c r="A374" s="149" t="str">
        <f>HYPERLINK("http://www.ofsted.gov.uk/inspection-reports/find-inspection-report/provider/ELS/135837 ","Ofsted School Webpage")</f>
        <v>Ofsted School Webpage</v>
      </c>
      <c r="B374">
        <v>135837</v>
      </c>
      <c r="C374">
        <v>8816060</v>
      </c>
      <c r="D374" t="s">
        <v>1230</v>
      </c>
      <c r="E374" t="s">
        <v>38</v>
      </c>
      <c r="F374" t="s">
        <v>184</v>
      </c>
      <c r="G374" t="s">
        <v>184</v>
      </c>
      <c r="H374" t="s">
        <v>2729</v>
      </c>
      <c r="I374" t="s">
        <v>2730</v>
      </c>
      <c r="J374" t="s">
        <v>186</v>
      </c>
      <c r="K374" t="s">
        <v>220</v>
      </c>
      <c r="L374" t="s">
        <v>220</v>
      </c>
      <c r="M374" t="s">
        <v>323</v>
      </c>
      <c r="N374" t="s">
        <v>1231</v>
      </c>
      <c r="O374">
        <v>10020918</v>
      </c>
      <c r="P374" s="120">
        <v>42864</v>
      </c>
      <c r="Q374" s="120">
        <v>42866</v>
      </c>
      <c r="R374" s="120">
        <v>42906</v>
      </c>
      <c r="S374" t="s">
        <v>196</v>
      </c>
      <c r="T374">
        <v>2</v>
      </c>
      <c r="U374" t="s">
        <v>128</v>
      </c>
      <c r="V374">
        <v>2</v>
      </c>
      <c r="W374">
        <v>2</v>
      </c>
      <c r="X374">
        <v>2</v>
      </c>
      <c r="Y374">
        <v>2</v>
      </c>
      <c r="Z374" t="s">
        <v>2730</v>
      </c>
      <c r="AA374" t="s">
        <v>2730</v>
      </c>
      <c r="AB374" t="s">
        <v>2732</v>
      </c>
      <c r="AC374" t="s">
        <v>2730</v>
      </c>
      <c r="AD374" t="s">
        <v>2730</v>
      </c>
      <c r="AE374" s="120" t="s">
        <v>2730</v>
      </c>
      <c r="AF374" t="s">
        <v>2730</v>
      </c>
      <c r="AG374" s="120" t="s">
        <v>2730</v>
      </c>
      <c r="AH374" t="s">
        <v>2730</v>
      </c>
    </row>
    <row r="375" spans="1:34">
      <c r="A375" s="149" t="str">
        <f>HYPERLINK("http://www.ofsted.gov.uk/inspection-reports/find-inspection-report/provider/ELS/131462 ","Ofsted School Webpage")</f>
        <v>Ofsted School Webpage</v>
      </c>
      <c r="B375">
        <v>131462</v>
      </c>
      <c r="C375">
        <v>8256031</v>
      </c>
      <c r="D375" t="s">
        <v>1239</v>
      </c>
      <c r="E375" t="s">
        <v>38</v>
      </c>
      <c r="F375" t="s">
        <v>184</v>
      </c>
      <c r="G375" t="s">
        <v>184</v>
      </c>
      <c r="H375" t="s">
        <v>2729</v>
      </c>
      <c r="I375" t="s">
        <v>2730</v>
      </c>
      <c r="J375" t="s">
        <v>186</v>
      </c>
      <c r="K375" t="s">
        <v>181</v>
      </c>
      <c r="L375" t="s">
        <v>181</v>
      </c>
      <c r="M375" t="s">
        <v>251</v>
      </c>
      <c r="N375" t="s">
        <v>1240</v>
      </c>
      <c r="O375">
        <v>10006066</v>
      </c>
      <c r="P375" s="120">
        <v>42703</v>
      </c>
      <c r="Q375" s="120">
        <v>42705</v>
      </c>
      <c r="R375" s="120">
        <v>42752</v>
      </c>
      <c r="S375" t="s">
        <v>196</v>
      </c>
      <c r="T375">
        <v>1</v>
      </c>
      <c r="U375" t="s">
        <v>128</v>
      </c>
      <c r="V375">
        <v>1</v>
      </c>
      <c r="W375">
        <v>1</v>
      </c>
      <c r="X375">
        <v>1</v>
      </c>
      <c r="Y375">
        <v>1</v>
      </c>
      <c r="Z375" t="s">
        <v>2730</v>
      </c>
      <c r="AA375" t="s">
        <v>2730</v>
      </c>
      <c r="AB375" t="s">
        <v>2732</v>
      </c>
      <c r="AC375" t="s">
        <v>2730</v>
      </c>
      <c r="AD375" t="s">
        <v>2730</v>
      </c>
      <c r="AE375" t="s">
        <v>2730</v>
      </c>
      <c r="AF375" t="s">
        <v>2730</v>
      </c>
      <c r="AG375" t="s">
        <v>2730</v>
      </c>
      <c r="AH375" t="s">
        <v>2730</v>
      </c>
    </row>
    <row r="376" spans="1:34">
      <c r="A376" s="149" t="str">
        <f>HYPERLINK("http://www.ofsted.gov.uk/inspection-reports/find-inspection-report/provider/ELS/137821 ","Ofsted School Webpage")</f>
        <v>Ofsted School Webpage</v>
      </c>
      <c r="B376">
        <v>137821</v>
      </c>
      <c r="C376">
        <v>3596000</v>
      </c>
      <c r="D376" t="s">
        <v>1241</v>
      </c>
      <c r="E376" t="s">
        <v>38</v>
      </c>
      <c r="F376" t="s">
        <v>184</v>
      </c>
      <c r="G376" t="s">
        <v>184</v>
      </c>
      <c r="H376" t="s">
        <v>2729</v>
      </c>
      <c r="I376" t="s">
        <v>2730</v>
      </c>
      <c r="J376" t="s">
        <v>186</v>
      </c>
      <c r="K376" t="s">
        <v>205</v>
      </c>
      <c r="L376" t="s">
        <v>205</v>
      </c>
      <c r="M376" t="s">
        <v>471</v>
      </c>
      <c r="N376" t="s">
        <v>1242</v>
      </c>
      <c r="O376">
        <v>10008886</v>
      </c>
      <c r="P376" s="120">
        <v>42563</v>
      </c>
      <c r="Q376" s="120">
        <v>42565</v>
      </c>
      <c r="R376" s="120">
        <v>42633</v>
      </c>
      <c r="S376" t="s">
        <v>196</v>
      </c>
      <c r="T376">
        <v>2</v>
      </c>
      <c r="U376" t="s">
        <v>128</v>
      </c>
      <c r="V376">
        <v>2</v>
      </c>
      <c r="W376">
        <v>2</v>
      </c>
      <c r="X376">
        <v>2</v>
      </c>
      <c r="Y376">
        <v>2</v>
      </c>
      <c r="Z376" t="s">
        <v>2730</v>
      </c>
      <c r="AA376" t="s">
        <v>2730</v>
      </c>
      <c r="AB376" t="s">
        <v>2732</v>
      </c>
      <c r="AC376" t="s">
        <v>2730</v>
      </c>
      <c r="AD376" t="s">
        <v>2730</v>
      </c>
      <c r="AE376" t="s">
        <v>2730</v>
      </c>
      <c r="AF376" t="s">
        <v>2730</v>
      </c>
      <c r="AG376" t="s">
        <v>2730</v>
      </c>
      <c r="AH376" t="s">
        <v>2730</v>
      </c>
    </row>
    <row r="377" spans="1:34">
      <c r="A377" s="149" t="str">
        <f>HYPERLINK("http://www.ofsted.gov.uk/inspection-reports/find-inspection-report/provider/ELS/136110 ","Ofsted School Webpage")</f>
        <v>Ofsted School Webpage</v>
      </c>
      <c r="B377">
        <v>136110</v>
      </c>
      <c r="C377">
        <v>2126041</v>
      </c>
      <c r="D377" t="s">
        <v>1243</v>
      </c>
      <c r="E377" t="s">
        <v>38</v>
      </c>
      <c r="F377" t="s">
        <v>184</v>
      </c>
      <c r="G377" t="s">
        <v>184</v>
      </c>
      <c r="H377" t="s">
        <v>2729</v>
      </c>
      <c r="I377" t="s">
        <v>2730</v>
      </c>
      <c r="J377" t="s">
        <v>186</v>
      </c>
      <c r="K377" t="s">
        <v>232</v>
      </c>
      <c r="L377" t="s">
        <v>232</v>
      </c>
      <c r="M377" t="s">
        <v>435</v>
      </c>
      <c r="N377" t="s">
        <v>1244</v>
      </c>
      <c r="O377">
        <v>10026156</v>
      </c>
      <c r="P377" s="120">
        <v>42690</v>
      </c>
      <c r="Q377" s="120">
        <v>42692</v>
      </c>
      <c r="R377" s="120">
        <v>42724</v>
      </c>
      <c r="S377" t="s">
        <v>196</v>
      </c>
      <c r="T377">
        <v>2</v>
      </c>
      <c r="U377" t="s">
        <v>128</v>
      </c>
      <c r="V377">
        <v>2</v>
      </c>
      <c r="W377">
        <v>2</v>
      </c>
      <c r="X377">
        <v>2</v>
      </c>
      <c r="Y377">
        <v>2</v>
      </c>
      <c r="Z377" t="s">
        <v>2730</v>
      </c>
      <c r="AA377">
        <v>2</v>
      </c>
      <c r="AB377" t="s">
        <v>2732</v>
      </c>
      <c r="AC377" t="s">
        <v>2730</v>
      </c>
      <c r="AD377" t="s">
        <v>2730</v>
      </c>
      <c r="AE377" s="120" t="s">
        <v>2730</v>
      </c>
      <c r="AF377" t="s">
        <v>2730</v>
      </c>
      <c r="AG377" s="120" t="s">
        <v>2730</v>
      </c>
      <c r="AH377" t="s">
        <v>2730</v>
      </c>
    </row>
    <row r="378" spans="1:34">
      <c r="A378" s="149" t="str">
        <f>HYPERLINK("http://www.ofsted.gov.uk/inspection-reports/find-inspection-report/provider/ELS/134605 ","Ofsted School Webpage")</f>
        <v>Ofsted School Webpage</v>
      </c>
      <c r="B378">
        <v>134605</v>
      </c>
      <c r="C378">
        <v>8866108</v>
      </c>
      <c r="D378" t="s">
        <v>1245</v>
      </c>
      <c r="E378" t="s">
        <v>38</v>
      </c>
      <c r="F378" t="s">
        <v>184</v>
      </c>
      <c r="G378" t="s">
        <v>184</v>
      </c>
      <c r="H378" t="s">
        <v>2729</v>
      </c>
      <c r="I378" t="s">
        <v>2730</v>
      </c>
      <c r="J378" t="s">
        <v>186</v>
      </c>
      <c r="K378" t="s">
        <v>181</v>
      </c>
      <c r="L378" t="s">
        <v>181</v>
      </c>
      <c r="M378" t="s">
        <v>182</v>
      </c>
      <c r="N378" t="s">
        <v>1246</v>
      </c>
      <c r="O378" t="s">
        <v>1247</v>
      </c>
      <c r="P378" s="120">
        <v>41080</v>
      </c>
      <c r="Q378" s="120">
        <v>41081</v>
      </c>
      <c r="R378" s="120">
        <v>41102</v>
      </c>
      <c r="S378" t="s">
        <v>196</v>
      </c>
      <c r="T378">
        <v>1</v>
      </c>
      <c r="U378" t="s">
        <v>2730</v>
      </c>
      <c r="V378" t="s">
        <v>2730</v>
      </c>
      <c r="W378" t="s">
        <v>2730</v>
      </c>
      <c r="X378">
        <v>1</v>
      </c>
      <c r="Y378">
        <v>1</v>
      </c>
      <c r="Z378">
        <v>8</v>
      </c>
      <c r="AA378" t="s">
        <v>2730</v>
      </c>
      <c r="AB378" t="s">
        <v>2730</v>
      </c>
      <c r="AC378" t="s">
        <v>2730</v>
      </c>
      <c r="AD378" t="s">
        <v>2730</v>
      </c>
      <c r="AE378" s="120" t="s">
        <v>2730</v>
      </c>
      <c r="AF378" t="s">
        <v>2730</v>
      </c>
      <c r="AG378" s="120" t="s">
        <v>2730</v>
      </c>
      <c r="AH378" t="s">
        <v>2730</v>
      </c>
    </row>
    <row r="379" spans="1:34">
      <c r="A379" s="149" t="str">
        <f>HYPERLINK("http://www.ofsted.gov.uk/inspection-reports/find-inspection-report/provider/ELS/134614 ","Ofsted School Webpage")</f>
        <v>Ofsted School Webpage</v>
      </c>
      <c r="B379">
        <v>134614</v>
      </c>
      <c r="C379">
        <v>9376104</v>
      </c>
      <c r="D379" t="s">
        <v>1257</v>
      </c>
      <c r="E379" t="s">
        <v>38</v>
      </c>
      <c r="F379" t="s">
        <v>184</v>
      </c>
      <c r="G379" t="s">
        <v>184</v>
      </c>
      <c r="H379" t="s">
        <v>2729</v>
      </c>
      <c r="I379" t="s">
        <v>2730</v>
      </c>
      <c r="J379" t="s">
        <v>186</v>
      </c>
      <c r="K379" t="s">
        <v>193</v>
      </c>
      <c r="L379" t="s">
        <v>193</v>
      </c>
      <c r="M379" t="s">
        <v>377</v>
      </c>
      <c r="N379" t="s">
        <v>1258</v>
      </c>
      <c r="O379">
        <v>10006016</v>
      </c>
      <c r="P379" s="120">
        <v>42486</v>
      </c>
      <c r="Q379" s="120">
        <v>42488</v>
      </c>
      <c r="R379" s="120">
        <v>42549</v>
      </c>
      <c r="S379" t="s">
        <v>196</v>
      </c>
      <c r="T379">
        <v>4</v>
      </c>
      <c r="U379" t="s">
        <v>128</v>
      </c>
      <c r="V379">
        <v>4</v>
      </c>
      <c r="W379">
        <v>4</v>
      </c>
      <c r="X379">
        <v>3</v>
      </c>
      <c r="Y379">
        <v>3</v>
      </c>
      <c r="Z379" t="s">
        <v>2730</v>
      </c>
      <c r="AA379" t="s">
        <v>2730</v>
      </c>
      <c r="AB379" t="s">
        <v>2733</v>
      </c>
      <c r="AC379">
        <v>10025555</v>
      </c>
      <c r="AD379" t="s">
        <v>187</v>
      </c>
      <c r="AE379" s="120">
        <v>42761</v>
      </c>
      <c r="AF379" t="s">
        <v>2769</v>
      </c>
      <c r="AG379" s="120">
        <v>42794</v>
      </c>
      <c r="AH379" t="s">
        <v>189</v>
      </c>
    </row>
    <row r="380" spans="1:34">
      <c r="A380" s="149" t="str">
        <f>HYPERLINK("http://www.ofsted.gov.uk/inspection-reports/find-inspection-report/provider/ELS/133522 ","Ofsted School Webpage")</f>
        <v>Ofsted School Webpage</v>
      </c>
      <c r="B380">
        <v>133522</v>
      </c>
      <c r="C380">
        <v>9336210</v>
      </c>
      <c r="D380" t="s">
        <v>1259</v>
      </c>
      <c r="E380" t="s">
        <v>38</v>
      </c>
      <c r="F380" t="s">
        <v>184</v>
      </c>
      <c r="G380" t="s">
        <v>184</v>
      </c>
      <c r="H380" t="s">
        <v>2729</v>
      </c>
      <c r="I380" t="s">
        <v>2730</v>
      </c>
      <c r="J380" t="s">
        <v>186</v>
      </c>
      <c r="K380" t="s">
        <v>225</v>
      </c>
      <c r="L380" t="s">
        <v>225</v>
      </c>
      <c r="M380" t="s">
        <v>262</v>
      </c>
      <c r="N380" t="s">
        <v>1260</v>
      </c>
      <c r="O380" t="s">
        <v>1261</v>
      </c>
      <c r="P380" s="120">
        <v>42074</v>
      </c>
      <c r="Q380" s="120">
        <v>42076</v>
      </c>
      <c r="R380" s="120">
        <v>42115</v>
      </c>
      <c r="S380" t="s">
        <v>196</v>
      </c>
      <c r="T380">
        <v>2</v>
      </c>
      <c r="U380" t="s">
        <v>2730</v>
      </c>
      <c r="V380">
        <v>2</v>
      </c>
      <c r="W380" t="s">
        <v>2730</v>
      </c>
      <c r="X380">
        <v>2</v>
      </c>
      <c r="Y380">
        <v>2</v>
      </c>
      <c r="Z380">
        <v>9</v>
      </c>
      <c r="AA380">
        <v>9</v>
      </c>
      <c r="AB380" t="s">
        <v>2730</v>
      </c>
      <c r="AC380" t="s">
        <v>2730</v>
      </c>
      <c r="AD380" t="s">
        <v>2730</v>
      </c>
      <c r="AE380" s="120" t="s">
        <v>2730</v>
      </c>
      <c r="AF380" t="s">
        <v>2730</v>
      </c>
      <c r="AG380" s="120" t="s">
        <v>2730</v>
      </c>
      <c r="AH380" t="s">
        <v>2730</v>
      </c>
    </row>
    <row r="381" spans="1:34">
      <c r="A381" s="149" t="str">
        <f>HYPERLINK("http://www.ofsted.gov.uk/inspection-reports/find-inspection-report/provider/ELS/138138 ","Ofsted School Webpage")</f>
        <v>Ofsted School Webpage</v>
      </c>
      <c r="B381">
        <v>138138</v>
      </c>
      <c r="C381">
        <v>9266002</v>
      </c>
      <c r="D381" t="s">
        <v>444</v>
      </c>
      <c r="E381" t="s">
        <v>38</v>
      </c>
      <c r="F381" t="s">
        <v>184</v>
      </c>
      <c r="G381" t="s">
        <v>184</v>
      </c>
      <c r="H381" t="s">
        <v>2729</v>
      </c>
      <c r="I381" t="s">
        <v>2730</v>
      </c>
      <c r="J381" t="s">
        <v>186</v>
      </c>
      <c r="K381" t="s">
        <v>220</v>
      </c>
      <c r="L381" t="s">
        <v>220</v>
      </c>
      <c r="M381" t="s">
        <v>445</v>
      </c>
      <c r="N381" t="s">
        <v>446</v>
      </c>
      <c r="O381">
        <v>10012965</v>
      </c>
      <c r="P381" s="120">
        <v>42556</v>
      </c>
      <c r="Q381" s="120">
        <v>42558</v>
      </c>
      <c r="R381" s="120">
        <v>43028</v>
      </c>
      <c r="S381" t="s">
        <v>3119</v>
      </c>
      <c r="T381">
        <v>3</v>
      </c>
      <c r="U381" t="s">
        <v>128</v>
      </c>
      <c r="V381">
        <v>2</v>
      </c>
      <c r="W381">
        <v>2</v>
      </c>
      <c r="X381">
        <v>3</v>
      </c>
      <c r="Y381">
        <v>3</v>
      </c>
      <c r="Z381" t="s">
        <v>2730</v>
      </c>
      <c r="AA381" t="s">
        <v>2730</v>
      </c>
      <c r="AB381" t="s">
        <v>2733</v>
      </c>
      <c r="AC381">
        <v>10038655</v>
      </c>
      <c r="AD381" t="s">
        <v>187</v>
      </c>
      <c r="AE381" s="120">
        <v>43021</v>
      </c>
      <c r="AF381" t="s">
        <v>2771</v>
      </c>
      <c r="AG381" s="120">
        <v>43053</v>
      </c>
      <c r="AH381" t="s">
        <v>217</v>
      </c>
    </row>
    <row r="382" spans="1:34">
      <c r="A382" s="149" t="str">
        <f>HYPERLINK("http://www.ofsted.gov.uk/inspection-reports/find-inspection-report/provider/ELS/132828 ","Ofsted School Webpage")</f>
        <v>Ofsted School Webpage</v>
      </c>
      <c r="B382">
        <v>132828</v>
      </c>
      <c r="C382">
        <v>8886048</v>
      </c>
      <c r="D382" t="s">
        <v>633</v>
      </c>
      <c r="E382" t="s">
        <v>38</v>
      </c>
      <c r="F382" t="s">
        <v>184</v>
      </c>
      <c r="G382" t="s">
        <v>184</v>
      </c>
      <c r="H382" t="s">
        <v>2729</v>
      </c>
      <c r="I382" t="s">
        <v>2730</v>
      </c>
      <c r="J382" t="s">
        <v>186</v>
      </c>
      <c r="K382" t="s">
        <v>205</v>
      </c>
      <c r="L382" t="s">
        <v>205</v>
      </c>
      <c r="M382" t="s">
        <v>206</v>
      </c>
      <c r="N382" t="s">
        <v>634</v>
      </c>
      <c r="O382" t="s">
        <v>635</v>
      </c>
      <c r="P382" s="120">
        <v>42059</v>
      </c>
      <c r="Q382" s="120">
        <v>42061</v>
      </c>
      <c r="R382" s="120">
        <v>42096</v>
      </c>
      <c r="S382" t="s">
        <v>196</v>
      </c>
      <c r="T382">
        <v>1</v>
      </c>
      <c r="U382" t="s">
        <v>2730</v>
      </c>
      <c r="V382">
        <v>1</v>
      </c>
      <c r="W382" t="s">
        <v>2730</v>
      </c>
      <c r="X382">
        <v>1</v>
      </c>
      <c r="Y382">
        <v>1</v>
      </c>
      <c r="Z382">
        <v>9</v>
      </c>
      <c r="AA382">
        <v>9</v>
      </c>
      <c r="AB382" t="s">
        <v>2730</v>
      </c>
      <c r="AC382" t="s">
        <v>2730</v>
      </c>
      <c r="AD382" t="s">
        <v>2730</v>
      </c>
      <c r="AE382" s="120" t="s">
        <v>2730</v>
      </c>
      <c r="AF382" t="s">
        <v>2730</v>
      </c>
      <c r="AG382" s="120" t="s">
        <v>2730</v>
      </c>
      <c r="AH382" t="s">
        <v>2730</v>
      </c>
    </row>
    <row r="383" spans="1:34">
      <c r="A383" s="149" t="str">
        <f>HYPERLINK("http://www.ofsted.gov.uk/inspection-reports/find-inspection-report/provider/ELS/141001 ","Ofsted School Webpage")</f>
        <v>Ofsted School Webpage</v>
      </c>
      <c r="B383">
        <v>141001</v>
      </c>
      <c r="C383">
        <v>3336006</v>
      </c>
      <c r="D383" t="s">
        <v>1267</v>
      </c>
      <c r="E383" t="s">
        <v>37</v>
      </c>
      <c r="F383" t="s">
        <v>184</v>
      </c>
      <c r="G383" t="s">
        <v>223</v>
      </c>
      <c r="H383" t="s">
        <v>2729</v>
      </c>
      <c r="I383" t="s">
        <v>2730</v>
      </c>
      <c r="J383" t="s">
        <v>186</v>
      </c>
      <c r="K383" t="s">
        <v>193</v>
      </c>
      <c r="L383" t="s">
        <v>193</v>
      </c>
      <c r="M383" t="s">
        <v>354</v>
      </c>
      <c r="N383" t="s">
        <v>1268</v>
      </c>
      <c r="O383" t="s">
        <v>1269</v>
      </c>
      <c r="P383" s="120">
        <v>42109</v>
      </c>
      <c r="Q383" s="120">
        <v>42111</v>
      </c>
      <c r="R383" s="120">
        <v>42135</v>
      </c>
      <c r="S383" t="s">
        <v>249</v>
      </c>
      <c r="T383">
        <v>2</v>
      </c>
      <c r="U383" t="s">
        <v>2730</v>
      </c>
      <c r="V383">
        <v>2</v>
      </c>
      <c r="W383" t="s">
        <v>2730</v>
      </c>
      <c r="X383">
        <v>2</v>
      </c>
      <c r="Y383">
        <v>2</v>
      </c>
      <c r="Z383">
        <v>2</v>
      </c>
      <c r="AA383">
        <v>9</v>
      </c>
      <c r="AB383" t="s">
        <v>2730</v>
      </c>
      <c r="AC383" t="s">
        <v>2730</v>
      </c>
      <c r="AD383" t="s">
        <v>2730</v>
      </c>
      <c r="AE383" t="s">
        <v>2730</v>
      </c>
      <c r="AF383" t="s">
        <v>2730</v>
      </c>
      <c r="AG383" t="s">
        <v>2730</v>
      </c>
      <c r="AH383" t="s">
        <v>2730</v>
      </c>
    </row>
    <row r="384" spans="1:34">
      <c r="A384" s="149" t="str">
        <f>HYPERLINK("http://www.ofsted.gov.uk/inspection-reports/find-inspection-report/provider/ELS/134429 ","Ofsted School Webpage")</f>
        <v>Ofsted School Webpage</v>
      </c>
      <c r="B384">
        <v>134429</v>
      </c>
      <c r="C384">
        <v>3806117</v>
      </c>
      <c r="D384" t="s">
        <v>1270</v>
      </c>
      <c r="E384" t="s">
        <v>37</v>
      </c>
      <c r="F384" t="s">
        <v>184</v>
      </c>
      <c r="G384" t="s">
        <v>223</v>
      </c>
      <c r="H384" t="s">
        <v>2729</v>
      </c>
      <c r="I384" t="s">
        <v>2730</v>
      </c>
      <c r="J384" t="s">
        <v>186</v>
      </c>
      <c r="K384" t="s">
        <v>245</v>
      </c>
      <c r="L384" t="s">
        <v>246</v>
      </c>
      <c r="M384" t="s">
        <v>339</v>
      </c>
      <c r="N384" t="s">
        <v>1271</v>
      </c>
      <c r="O384">
        <v>10025955</v>
      </c>
      <c r="P384" s="120">
        <v>42752</v>
      </c>
      <c r="Q384" s="120">
        <v>42754</v>
      </c>
      <c r="R384" s="120">
        <v>42781</v>
      </c>
      <c r="S384" t="s">
        <v>196</v>
      </c>
      <c r="T384">
        <v>3</v>
      </c>
      <c r="U384" t="s">
        <v>128</v>
      </c>
      <c r="V384">
        <v>3</v>
      </c>
      <c r="W384">
        <v>2</v>
      </c>
      <c r="X384">
        <v>3</v>
      </c>
      <c r="Y384">
        <v>3</v>
      </c>
      <c r="Z384">
        <v>2</v>
      </c>
      <c r="AA384" t="s">
        <v>2730</v>
      </c>
      <c r="AB384" t="s">
        <v>2733</v>
      </c>
      <c r="AC384" t="s">
        <v>2730</v>
      </c>
      <c r="AD384" t="s">
        <v>2730</v>
      </c>
      <c r="AE384" t="s">
        <v>2730</v>
      </c>
      <c r="AF384" t="s">
        <v>2730</v>
      </c>
      <c r="AG384" t="s">
        <v>2730</v>
      </c>
      <c r="AH384" t="s">
        <v>2730</v>
      </c>
    </row>
    <row r="385" spans="1:34">
      <c r="A385" s="149" t="str">
        <f>HYPERLINK("http://www.ofsted.gov.uk/inspection-reports/find-inspection-report/provider/ELS/130244 ","Ofsted School Webpage")</f>
        <v>Ofsted School Webpage</v>
      </c>
      <c r="B385">
        <v>130244</v>
      </c>
      <c r="C385">
        <v>3306113</v>
      </c>
      <c r="D385" t="s">
        <v>642</v>
      </c>
      <c r="E385" t="s">
        <v>37</v>
      </c>
      <c r="F385" t="s">
        <v>304</v>
      </c>
      <c r="G385" t="s">
        <v>223</v>
      </c>
      <c r="H385" t="s">
        <v>2729</v>
      </c>
      <c r="I385" t="s">
        <v>2730</v>
      </c>
      <c r="J385" t="s">
        <v>186</v>
      </c>
      <c r="K385" t="s">
        <v>193</v>
      </c>
      <c r="L385" t="s">
        <v>193</v>
      </c>
      <c r="M385" t="s">
        <v>210</v>
      </c>
      <c r="N385" t="s">
        <v>643</v>
      </c>
      <c r="O385">
        <v>10038829</v>
      </c>
      <c r="P385" s="120">
        <v>43060</v>
      </c>
      <c r="Q385" s="120">
        <v>43062</v>
      </c>
      <c r="R385" s="120">
        <v>43090</v>
      </c>
      <c r="S385" t="s">
        <v>196</v>
      </c>
      <c r="T385">
        <v>2</v>
      </c>
      <c r="U385" t="s">
        <v>128</v>
      </c>
      <c r="V385">
        <v>2</v>
      </c>
      <c r="W385">
        <v>1</v>
      </c>
      <c r="X385">
        <v>2</v>
      </c>
      <c r="Y385">
        <v>2</v>
      </c>
      <c r="Z385">
        <v>2</v>
      </c>
      <c r="AA385" t="s">
        <v>2730</v>
      </c>
      <c r="AB385" t="s">
        <v>2732</v>
      </c>
      <c r="AC385" t="s">
        <v>2730</v>
      </c>
      <c r="AD385" t="s">
        <v>2730</v>
      </c>
      <c r="AE385" t="s">
        <v>2730</v>
      </c>
      <c r="AF385" t="s">
        <v>2730</v>
      </c>
      <c r="AG385" t="s">
        <v>2730</v>
      </c>
      <c r="AH385" t="s">
        <v>2730</v>
      </c>
    </row>
    <row r="386" spans="1:34">
      <c r="A386" s="149" t="str">
        <f>HYPERLINK("http://www.ofsted.gov.uk/inspection-reports/find-inspection-report/provider/ELS/134809 ","Ofsted School Webpage")</f>
        <v>Ofsted School Webpage</v>
      </c>
      <c r="B386">
        <v>134809</v>
      </c>
      <c r="C386">
        <v>8566017</v>
      </c>
      <c r="D386" t="s">
        <v>644</v>
      </c>
      <c r="E386" t="s">
        <v>37</v>
      </c>
      <c r="F386" t="s">
        <v>304</v>
      </c>
      <c r="G386" t="s">
        <v>304</v>
      </c>
      <c r="H386" t="s">
        <v>2729</v>
      </c>
      <c r="I386" t="s">
        <v>2730</v>
      </c>
      <c r="J386" t="s">
        <v>186</v>
      </c>
      <c r="K386" t="s">
        <v>214</v>
      </c>
      <c r="L386" t="s">
        <v>214</v>
      </c>
      <c r="M386" t="s">
        <v>330</v>
      </c>
      <c r="N386" t="s">
        <v>645</v>
      </c>
      <c r="O386">
        <v>10007700</v>
      </c>
      <c r="P386" s="120">
        <v>42292</v>
      </c>
      <c r="Q386" s="120">
        <v>42293</v>
      </c>
      <c r="R386" s="120">
        <v>42459</v>
      </c>
      <c r="S386" t="s">
        <v>196</v>
      </c>
      <c r="T386">
        <v>3</v>
      </c>
      <c r="U386" t="s">
        <v>128</v>
      </c>
      <c r="V386">
        <v>3</v>
      </c>
      <c r="W386">
        <v>2</v>
      </c>
      <c r="X386">
        <v>3</v>
      </c>
      <c r="Y386">
        <v>3</v>
      </c>
      <c r="Z386">
        <v>2</v>
      </c>
      <c r="AA386" t="s">
        <v>2730</v>
      </c>
      <c r="AB386" t="s">
        <v>2733</v>
      </c>
      <c r="AC386">
        <v>10020803</v>
      </c>
      <c r="AD386" t="s">
        <v>187</v>
      </c>
      <c r="AE386" s="120">
        <v>42562</v>
      </c>
      <c r="AF386" t="s">
        <v>2772</v>
      </c>
      <c r="AG386" s="120">
        <v>42622</v>
      </c>
      <c r="AH386" t="s">
        <v>2773</v>
      </c>
    </row>
    <row r="387" spans="1:34">
      <c r="A387" s="149" t="str">
        <f>HYPERLINK("http://www.ofsted.gov.uk/inspection-reports/find-inspection-report/provider/ELS/102941 ","Ofsted School Webpage")</f>
        <v>Ofsted School Webpage</v>
      </c>
      <c r="B387">
        <v>102941</v>
      </c>
      <c r="C387">
        <v>3186060</v>
      </c>
      <c r="D387" t="s">
        <v>653</v>
      </c>
      <c r="E387" t="s">
        <v>37</v>
      </c>
      <c r="F387" t="s">
        <v>184</v>
      </c>
      <c r="G387" t="s">
        <v>184</v>
      </c>
      <c r="H387" t="s">
        <v>2729</v>
      </c>
      <c r="I387" t="s">
        <v>2730</v>
      </c>
      <c r="J387" t="s">
        <v>186</v>
      </c>
      <c r="K387" t="s">
        <v>232</v>
      </c>
      <c r="L387" t="s">
        <v>232</v>
      </c>
      <c r="M387" t="s">
        <v>233</v>
      </c>
      <c r="N387" t="s">
        <v>654</v>
      </c>
      <c r="O387" t="s">
        <v>3042</v>
      </c>
      <c r="P387" s="120">
        <v>40079</v>
      </c>
      <c r="Q387" s="120">
        <v>40079</v>
      </c>
      <c r="R387" s="120">
        <v>40197</v>
      </c>
      <c r="S387" t="s">
        <v>655</v>
      </c>
      <c r="T387">
        <v>2</v>
      </c>
      <c r="U387" t="s">
        <v>2730</v>
      </c>
      <c r="V387" t="s">
        <v>2730</v>
      </c>
      <c r="W387" t="s">
        <v>2730</v>
      </c>
      <c r="X387">
        <v>2</v>
      </c>
      <c r="Y387">
        <v>2</v>
      </c>
      <c r="Z387">
        <v>2</v>
      </c>
      <c r="AA387" t="s">
        <v>2730</v>
      </c>
      <c r="AB387" t="s">
        <v>2730</v>
      </c>
      <c r="AC387" t="s">
        <v>2730</v>
      </c>
      <c r="AD387" t="s">
        <v>2730</v>
      </c>
      <c r="AE387" s="120" t="s">
        <v>2730</v>
      </c>
      <c r="AF387" t="s">
        <v>2730</v>
      </c>
      <c r="AG387" s="120" t="s">
        <v>2730</v>
      </c>
      <c r="AH387" t="s">
        <v>2730</v>
      </c>
    </row>
    <row r="388" spans="1:34">
      <c r="A388" s="149" t="str">
        <f>HYPERLINK("http://www.ofsted.gov.uk/inspection-reports/find-inspection-report/provider/ELS/132119 ","Ofsted School Webpage")</f>
        <v>Ofsted School Webpage</v>
      </c>
      <c r="B388">
        <v>132119</v>
      </c>
      <c r="C388">
        <v>3416046</v>
      </c>
      <c r="D388" t="s">
        <v>656</v>
      </c>
      <c r="E388" t="s">
        <v>37</v>
      </c>
      <c r="F388" t="s">
        <v>184</v>
      </c>
      <c r="G388" t="s">
        <v>657</v>
      </c>
      <c r="H388" t="s">
        <v>2729</v>
      </c>
      <c r="I388" t="s">
        <v>2730</v>
      </c>
      <c r="J388" t="s">
        <v>186</v>
      </c>
      <c r="K388" t="s">
        <v>205</v>
      </c>
      <c r="L388" t="s">
        <v>205</v>
      </c>
      <c r="M388" t="s">
        <v>658</v>
      </c>
      <c r="N388" t="s">
        <v>659</v>
      </c>
      <c r="O388">
        <v>10020911</v>
      </c>
      <c r="P388" s="120">
        <v>42675</v>
      </c>
      <c r="Q388" s="120">
        <v>42677</v>
      </c>
      <c r="R388" s="120">
        <v>42741</v>
      </c>
      <c r="S388" t="s">
        <v>196</v>
      </c>
      <c r="T388">
        <v>2</v>
      </c>
      <c r="U388" t="s">
        <v>128</v>
      </c>
      <c r="V388">
        <v>1</v>
      </c>
      <c r="W388">
        <v>1</v>
      </c>
      <c r="X388">
        <v>2</v>
      </c>
      <c r="Y388">
        <v>2</v>
      </c>
      <c r="Z388">
        <v>2</v>
      </c>
      <c r="AA388" t="s">
        <v>2730</v>
      </c>
      <c r="AB388" t="s">
        <v>2732</v>
      </c>
      <c r="AC388" t="s">
        <v>2730</v>
      </c>
      <c r="AD388" t="s">
        <v>2730</v>
      </c>
      <c r="AE388" t="s">
        <v>2730</v>
      </c>
      <c r="AF388" t="s">
        <v>2730</v>
      </c>
      <c r="AG388" t="s">
        <v>2730</v>
      </c>
      <c r="AH388" t="s">
        <v>2730</v>
      </c>
    </row>
    <row r="389" spans="1:34">
      <c r="A389" s="149" t="str">
        <f>HYPERLINK("http://www.ofsted.gov.uk/inspection-reports/find-inspection-report/provider/ELS/140382 ","Ofsted School Webpage")</f>
        <v>Ofsted School Webpage</v>
      </c>
      <c r="B389">
        <v>140382</v>
      </c>
      <c r="C389">
        <v>3306016</v>
      </c>
      <c r="D389" t="s">
        <v>660</v>
      </c>
      <c r="E389" t="s">
        <v>37</v>
      </c>
      <c r="F389" t="s">
        <v>184</v>
      </c>
      <c r="G389" t="s">
        <v>223</v>
      </c>
      <c r="H389" t="s">
        <v>2729</v>
      </c>
      <c r="I389" t="s">
        <v>2730</v>
      </c>
      <c r="J389" t="s">
        <v>186</v>
      </c>
      <c r="K389" t="s">
        <v>193</v>
      </c>
      <c r="L389" t="s">
        <v>193</v>
      </c>
      <c r="M389" t="s">
        <v>210</v>
      </c>
      <c r="N389" t="s">
        <v>661</v>
      </c>
      <c r="O389" t="s">
        <v>662</v>
      </c>
      <c r="P389" s="120">
        <v>41905</v>
      </c>
      <c r="Q389" s="120">
        <v>41907</v>
      </c>
      <c r="R389" s="120">
        <v>41927</v>
      </c>
      <c r="S389" t="s">
        <v>249</v>
      </c>
      <c r="T389">
        <v>3</v>
      </c>
      <c r="U389" t="s">
        <v>2730</v>
      </c>
      <c r="V389">
        <v>3</v>
      </c>
      <c r="W389" t="s">
        <v>2730</v>
      </c>
      <c r="X389">
        <v>3</v>
      </c>
      <c r="Y389">
        <v>3</v>
      </c>
      <c r="Z389" t="s">
        <v>2730</v>
      </c>
      <c r="AA389" t="s">
        <v>2730</v>
      </c>
      <c r="AB389" t="s">
        <v>2730</v>
      </c>
      <c r="AC389">
        <v>10026657</v>
      </c>
      <c r="AD389" t="s">
        <v>187</v>
      </c>
      <c r="AE389" s="120">
        <v>42796</v>
      </c>
      <c r="AF389" t="s">
        <v>2769</v>
      </c>
      <c r="AG389" s="120">
        <v>42824</v>
      </c>
      <c r="AH389" t="s">
        <v>189</v>
      </c>
    </row>
    <row r="390" spans="1:34">
      <c r="A390" s="149" t="str">
        <f>HYPERLINK("http://www.ofsted.gov.uk/inspection-reports/find-inspection-report/provider/ELS/140479 ","Ofsted School Webpage")</f>
        <v>Ofsted School Webpage</v>
      </c>
      <c r="B390">
        <v>140479</v>
      </c>
      <c r="C390">
        <v>3736004</v>
      </c>
      <c r="D390" t="s">
        <v>663</v>
      </c>
      <c r="E390" t="s">
        <v>37</v>
      </c>
      <c r="F390" t="s">
        <v>184</v>
      </c>
      <c r="G390" t="s">
        <v>223</v>
      </c>
      <c r="H390" t="s">
        <v>2729</v>
      </c>
      <c r="I390" t="s">
        <v>2730</v>
      </c>
      <c r="J390" t="s">
        <v>186</v>
      </c>
      <c r="K390" t="s">
        <v>245</v>
      </c>
      <c r="L390" t="s">
        <v>246</v>
      </c>
      <c r="M390" t="s">
        <v>664</v>
      </c>
      <c r="N390" t="s">
        <v>665</v>
      </c>
      <c r="O390" t="s">
        <v>666</v>
      </c>
      <c r="P390" s="120">
        <v>41975</v>
      </c>
      <c r="Q390" s="120">
        <v>41977</v>
      </c>
      <c r="R390" s="120">
        <v>42018</v>
      </c>
      <c r="S390" t="s">
        <v>249</v>
      </c>
      <c r="T390">
        <v>2</v>
      </c>
      <c r="U390" t="s">
        <v>2730</v>
      </c>
      <c r="V390">
        <v>2</v>
      </c>
      <c r="W390" t="s">
        <v>2730</v>
      </c>
      <c r="X390">
        <v>2</v>
      </c>
      <c r="Y390">
        <v>2</v>
      </c>
      <c r="Z390">
        <v>2</v>
      </c>
      <c r="AA390">
        <v>9</v>
      </c>
      <c r="AB390" t="s">
        <v>2730</v>
      </c>
      <c r="AC390" t="s">
        <v>2730</v>
      </c>
      <c r="AD390" t="s">
        <v>2730</v>
      </c>
      <c r="AE390" t="s">
        <v>2730</v>
      </c>
      <c r="AF390" t="s">
        <v>2730</v>
      </c>
      <c r="AG390" t="s">
        <v>2730</v>
      </c>
      <c r="AH390" t="s">
        <v>2730</v>
      </c>
    </row>
    <row r="391" spans="1:34">
      <c r="A391" s="149" t="str">
        <f>HYPERLINK("http://www.ofsted.gov.uk/inspection-reports/find-inspection-report/provider/ELS/126523 ","Ofsted School Webpage")</f>
        <v>Ofsted School Webpage</v>
      </c>
      <c r="B391">
        <v>126523</v>
      </c>
      <c r="C391">
        <v>8656005</v>
      </c>
      <c r="D391" t="s">
        <v>1333</v>
      </c>
      <c r="E391" t="s">
        <v>37</v>
      </c>
      <c r="F391" t="s">
        <v>184</v>
      </c>
      <c r="G391" t="s">
        <v>212</v>
      </c>
      <c r="H391" t="s">
        <v>2729</v>
      </c>
      <c r="I391" t="s">
        <v>2730</v>
      </c>
      <c r="J391" t="s">
        <v>186</v>
      </c>
      <c r="K391" t="s">
        <v>225</v>
      </c>
      <c r="L391" t="s">
        <v>225</v>
      </c>
      <c r="M391" t="s">
        <v>226</v>
      </c>
      <c r="N391" t="s">
        <v>1334</v>
      </c>
      <c r="O391" t="s">
        <v>1335</v>
      </c>
      <c r="P391" s="120">
        <v>42172</v>
      </c>
      <c r="Q391" s="120">
        <v>42174</v>
      </c>
      <c r="R391" s="120">
        <v>42255</v>
      </c>
      <c r="S391" t="s">
        <v>196</v>
      </c>
      <c r="T391">
        <v>2</v>
      </c>
      <c r="U391" t="s">
        <v>2730</v>
      </c>
      <c r="V391">
        <v>2</v>
      </c>
      <c r="W391" t="s">
        <v>2730</v>
      </c>
      <c r="X391">
        <v>2</v>
      </c>
      <c r="Y391">
        <v>2</v>
      </c>
      <c r="Z391">
        <v>1</v>
      </c>
      <c r="AA391">
        <v>9</v>
      </c>
      <c r="AB391" t="s">
        <v>2730</v>
      </c>
      <c r="AC391" t="s">
        <v>2730</v>
      </c>
      <c r="AD391" t="s">
        <v>2730</v>
      </c>
      <c r="AE391" t="s">
        <v>2730</v>
      </c>
      <c r="AF391" t="s">
        <v>2730</v>
      </c>
      <c r="AG391" t="s">
        <v>2730</v>
      </c>
      <c r="AH391" t="s">
        <v>2730</v>
      </c>
    </row>
    <row r="392" spans="1:34">
      <c r="A392" s="149" t="str">
        <f>HYPERLINK("http://www.ofsted.gov.uk/inspection-reports/find-inspection-report/provider/ELS/140485 ","Ofsted School Webpage")</f>
        <v>Ofsted School Webpage</v>
      </c>
      <c r="B392">
        <v>140485</v>
      </c>
      <c r="C392">
        <v>9366003</v>
      </c>
      <c r="D392" t="s">
        <v>3043</v>
      </c>
      <c r="E392" t="s">
        <v>37</v>
      </c>
      <c r="F392" t="s">
        <v>184</v>
      </c>
      <c r="G392" t="s">
        <v>184</v>
      </c>
      <c r="H392" t="s">
        <v>2729</v>
      </c>
      <c r="I392" t="s">
        <v>2730</v>
      </c>
      <c r="J392" t="s">
        <v>186</v>
      </c>
      <c r="K392" t="s">
        <v>181</v>
      </c>
      <c r="L392" t="s">
        <v>181</v>
      </c>
      <c r="M392" t="s">
        <v>582</v>
      </c>
      <c r="N392" t="s">
        <v>3044</v>
      </c>
      <c r="O392" t="s">
        <v>3045</v>
      </c>
      <c r="P392" s="120">
        <v>41926</v>
      </c>
      <c r="Q392" s="120">
        <v>41928</v>
      </c>
      <c r="R392" s="120">
        <v>41954</v>
      </c>
      <c r="S392" t="s">
        <v>249</v>
      </c>
      <c r="T392">
        <v>1</v>
      </c>
      <c r="U392" t="s">
        <v>2730</v>
      </c>
      <c r="V392">
        <v>1</v>
      </c>
      <c r="W392" t="s">
        <v>2730</v>
      </c>
      <c r="X392">
        <v>1</v>
      </c>
      <c r="Y392">
        <v>1</v>
      </c>
      <c r="Z392">
        <v>9</v>
      </c>
      <c r="AA392">
        <v>1</v>
      </c>
      <c r="AB392" t="s">
        <v>2730</v>
      </c>
      <c r="AC392" t="s">
        <v>2730</v>
      </c>
      <c r="AD392" t="s">
        <v>2730</v>
      </c>
      <c r="AE392" t="s">
        <v>2730</v>
      </c>
      <c r="AF392" t="s">
        <v>2730</v>
      </c>
      <c r="AG392" t="s">
        <v>2730</v>
      </c>
      <c r="AH392" t="s">
        <v>2730</v>
      </c>
    </row>
    <row r="393" spans="1:34">
      <c r="A393" s="149" t="str">
        <f>HYPERLINK("http://www.ofsted.gov.uk/inspection-reports/find-inspection-report/provider/ELS/137318 ","Ofsted School Webpage")</f>
        <v>Ofsted School Webpage</v>
      </c>
      <c r="B393">
        <v>137318</v>
      </c>
      <c r="C393">
        <v>2046001</v>
      </c>
      <c r="D393" t="s">
        <v>1934</v>
      </c>
      <c r="E393" t="s">
        <v>37</v>
      </c>
      <c r="F393" t="s">
        <v>184</v>
      </c>
      <c r="G393" t="s">
        <v>318</v>
      </c>
      <c r="H393" t="s">
        <v>2729</v>
      </c>
      <c r="I393" t="s">
        <v>2730</v>
      </c>
      <c r="J393" t="s">
        <v>186</v>
      </c>
      <c r="K393" t="s">
        <v>232</v>
      </c>
      <c r="L393" t="s">
        <v>232</v>
      </c>
      <c r="M393" t="s">
        <v>479</v>
      </c>
      <c r="N393" t="s">
        <v>1349</v>
      </c>
      <c r="O393">
        <v>10012792</v>
      </c>
      <c r="P393" s="120">
        <v>42710</v>
      </c>
      <c r="Q393" s="120">
        <v>42712</v>
      </c>
      <c r="R393" s="120">
        <v>42809</v>
      </c>
      <c r="S393" t="s">
        <v>196</v>
      </c>
      <c r="T393">
        <v>4</v>
      </c>
      <c r="U393" t="s">
        <v>128</v>
      </c>
      <c r="V393">
        <v>4</v>
      </c>
      <c r="W393">
        <v>4</v>
      </c>
      <c r="X393">
        <v>4</v>
      </c>
      <c r="Y393">
        <v>4</v>
      </c>
      <c r="Z393">
        <v>4</v>
      </c>
      <c r="AA393" t="s">
        <v>2730</v>
      </c>
      <c r="AB393" t="s">
        <v>2733</v>
      </c>
      <c r="AC393" t="s">
        <v>2730</v>
      </c>
      <c r="AD393" t="s">
        <v>2730</v>
      </c>
      <c r="AE393" t="s">
        <v>2730</v>
      </c>
      <c r="AF393" t="s">
        <v>2730</v>
      </c>
      <c r="AG393" t="s">
        <v>2730</v>
      </c>
      <c r="AH393" t="s">
        <v>2730</v>
      </c>
    </row>
    <row r="394" spans="1:34">
      <c r="A394" s="149" t="str">
        <f>HYPERLINK("http://www.ofsted.gov.uk/inspection-reports/find-inspection-report/provider/ELS/100291 ","Ofsted School Webpage")</f>
        <v>Ofsted School Webpage</v>
      </c>
      <c r="B394">
        <v>100291</v>
      </c>
      <c r="C394">
        <v>2046242</v>
      </c>
      <c r="D394" t="s">
        <v>1935</v>
      </c>
      <c r="E394" t="s">
        <v>37</v>
      </c>
      <c r="F394" t="s">
        <v>184</v>
      </c>
      <c r="G394" t="s">
        <v>825</v>
      </c>
      <c r="H394" t="s">
        <v>2729</v>
      </c>
      <c r="I394" t="s">
        <v>2730</v>
      </c>
      <c r="J394" t="s">
        <v>186</v>
      </c>
      <c r="K394" t="s">
        <v>232</v>
      </c>
      <c r="L394" t="s">
        <v>232</v>
      </c>
      <c r="M394" t="s">
        <v>479</v>
      </c>
      <c r="N394" t="s">
        <v>1889</v>
      </c>
      <c r="O394" t="s">
        <v>1936</v>
      </c>
      <c r="P394" s="120">
        <v>40946</v>
      </c>
      <c r="Q394" s="120">
        <v>40947</v>
      </c>
      <c r="R394" s="120">
        <v>41241</v>
      </c>
      <c r="S394" t="s">
        <v>196</v>
      </c>
      <c r="T394">
        <v>2</v>
      </c>
      <c r="U394" t="s">
        <v>2730</v>
      </c>
      <c r="V394" t="s">
        <v>2730</v>
      </c>
      <c r="W394" t="s">
        <v>2730</v>
      </c>
      <c r="X394">
        <v>2</v>
      </c>
      <c r="Y394">
        <v>2</v>
      </c>
      <c r="Z394">
        <v>8</v>
      </c>
      <c r="AA394" t="s">
        <v>2730</v>
      </c>
      <c r="AB394" t="s">
        <v>2730</v>
      </c>
      <c r="AC394" t="s">
        <v>2730</v>
      </c>
      <c r="AD394" t="s">
        <v>2730</v>
      </c>
      <c r="AE394" t="s">
        <v>2730</v>
      </c>
      <c r="AF394" t="s">
        <v>2730</v>
      </c>
      <c r="AG394" t="s">
        <v>2730</v>
      </c>
      <c r="AH394" t="s">
        <v>2730</v>
      </c>
    </row>
    <row r="395" spans="1:34">
      <c r="A395" s="149" t="str">
        <f>HYPERLINK("http://www.ofsted.gov.uk/inspection-reports/find-inspection-report/provider/ELS/136231 ","Ofsted School Webpage")</f>
        <v>Ofsted School Webpage</v>
      </c>
      <c r="B395">
        <v>136231</v>
      </c>
      <c r="C395">
        <v>3046114</v>
      </c>
      <c r="D395" t="s">
        <v>1937</v>
      </c>
      <c r="E395" t="s">
        <v>37</v>
      </c>
      <c r="F395" t="s">
        <v>184</v>
      </c>
      <c r="G395" t="s">
        <v>318</v>
      </c>
      <c r="H395" t="s">
        <v>2729</v>
      </c>
      <c r="I395" t="s">
        <v>2730</v>
      </c>
      <c r="J395" t="s">
        <v>186</v>
      </c>
      <c r="K395" t="s">
        <v>232</v>
      </c>
      <c r="L395" t="s">
        <v>232</v>
      </c>
      <c r="M395" t="s">
        <v>749</v>
      </c>
      <c r="N395" t="s">
        <v>1938</v>
      </c>
      <c r="O395" t="s">
        <v>1939</v>
      </c>
      <c r="P395" s="120">
        <v>41933</v>
      </c>
      <c r="Q395" s="120">
        <v>41935</v>
      </c>
      <c r="R395" s="120">
        <v>42039</v>
      </c>
      <c r="S395" t="s">
        <v>196</v>
      </c>
      <c r="T395">
        <v>3</v>
      </c>
      <c r="U395" t="s">
        <v>2730</v>
      </c>
      <c r="V395">
        <v>3</v>
      </c>
      <c r="W395" t="s">
        <v>2730</v>
      </c>
      <c r="X395">
        <v>3</v>
      </c>
      <c r="Y395">
        <v>3</v>
      </c>
      <c r="Z395">
        <v>3</v>
      </c>
      <c r="AA395">
        <v>9</v>
      </c>
      <c r="AB395" t="s">
        <v>2730</v>
      </c>
      <c r="AC395" t="s">
        <v>2730</v>
      </c>
      <c r="AD395" t="s">
        <v>2730</v>
      </c>
      <c r="AE395" t="s">
        <v>2730</v>
      </c>
      <c r="AF395" t="s">
        <v>2730</v>
      </c>
      <c r="AG395" t="s">
        <v>2730</v>
      </c>
      <c r="AH395" t="s">
        <v>2730</v>
      </c>
    </row>
    <row r="396" spans="1:34">
      <c r="A396" s="149" t="str">
        <f>HYPERLINK("http://www.ofsted.gov.uk/inspection-reports/find-inspection-report/provider/ELS/140273 ","Ofsted School Webpage")</f>
        <v>Ofsted School Webpage</v>
      </c>
      <c r="B396">
        <v>140273</v>
      </c>
      <c r="C396">
        <v>3356002</v>
      </c>
      <c r="D396" t="s">
        <v>1628</v>
      </c>
      <c r="E396" t="s">
        <v>38</v>
      </c>
      <c r="F396" t="s">
        <v>184</v>
      </c>
      <c r="G396" t="s">
        <v>184</v>
      </c>
      <c r="H396" t="s">
        <v>2729</v>
      </c>
      <c r="I396" t="s">
        <v>2730</v>
      </c>
      <c r="J396" t="s">
        <v>186</v>
      </c>
      <c r="K396" t="s">
        <v>193</v>
      </c>
      <c r="L396" t="s">
        <v>193</v>
      </c>
      <c r="M396" t="s">
        <v>1531</v>
      </c>
      <c r="N396" t="s">
        <v>1016</v>
      </c>
      <c r="O396">
        <v>10026238</v>
      </c>
      <c r="P396" s="120">
        <v>43046</v>
      </c>
      <c r="Q396" s="120">
        <v>43048</v>
      </c>
      <c r="R396" s="120">
        <v>43090</v>
      </c>
      <c r="S396" t="s">
        <v>3119</v>
      </c>
      <c r="T396">
        <v>2</v>
      </c>
      <c r="U396" t="s">
        <v>128</v>
      </c>
      <c r="V396">
        <v>2</v>
      </c>
      <c r="W396">
        <v>2</v>
      </c>
      <c r="X396">
        <v>2</v>
      </c>
      <c r="Y396">
        <v>2</v>
      </c>
      <c r="Z396" t="s">
        <v>2730</v>
      </c>
      <c r="AA396" t="s">
        <v>2730</v>
      </c>
      <c r="AB396" t="s">
        <v>2732</v>
      </c>
      <c r="AC396" t="s">
        <v>2730</v>
      </c>
      <c r="AD396" t="s">
        <v>2730</v>
      </c>
      <c r="AE396" t="s">
        <v>2730</v>
      </c>
      <c r="AF396" t="s">
        <v>2730</v>
      </c>
      <c r="AG396" t="s">
        <v>2730</v>
      </c>
      <c r="AH396" t="s">
        <v>2730</v>
      </c>
    </row>
    <row r="397" spans="1:34">
      <c r="A397" s="149" t="str">
        <f>HYPERLINK("http://www.ofsted.gov.uk/inspection-reports/find-inspection-report/provider/ELS/136057 ","Ofsted School Webpage")</f>
        <v>Ofsted School Webpage</v>
      </c>
      <c r="B397">
        <v>136057</v>
      </c>
      <c r="C397">
        <v>2076005</v>
      </c>
      <c r="D397" t="s">
        <v>1629</v>
      </c>
      <c r="E397" t="s">
        <v>37</v>
      </c>
      <c r="F397" t="s">
        <v>184</v>
      </c>
      <c r="G397" t="s">
        <v>184</v>
      </c>
      <c r="H397" t="s">
        <v>2729</v>
      </c>
      <c r="I397" t="s">
        <v>2730</v>
      </c>
      <c r="J397" t="s">
        <v>186</v>
      </c>
      <c r="K397" t="s">
        <v>232</v>
      </c>
      <c r="L397" t="s">
        <v>232</v>
      </c>
      <c r="M397" t="s">
        <v>294</v>
      </c>
      <c r="N397" t="s">
        <v>1630</v>
      </c>
      <c r="O397" t="s">
        <v>3046</v>
      </c>
      <c r="P397" s="120">
        <v>41968</v>
      </c>
      <c r="Q397" s="120">
        <v>41970</v>
      </c>
      <c r="R397" s="120">
        <v>42039</v>
      </c>
      <c r="S397" t="s">
        <v>196</v>
      </c>
      <c r="T397">
        <v>1</v>
      </c>
      <c r="U397" t="s">
        <v>2730</v>
      </c>
      <c r="V397">
        <v>1</v>
      </c>
      <c r="W397" t="s">
        <v>2730</v>
      </c>
      <c r="X397">
        <v>1</v>
      </c>
      <c r="Y397">
        <v>1</v>
      </c>
      <c r="Z397">
        <v>1</v>
      </c>
      <c r="AA397">
        <v>9</v>
      </c>
      <c r="AB397" t="s">
        <v>2730</v>
      </c>
      <c r="AC397" t="s">
        <v>2730</v>
      </c>
      <c r="AD397" t="s">
        <v>2730</v>
      </c>
      <c r="AE397" t="s">
        <v>2730</v>
      </c>
      <c r="AF397" t="s">
        <v>2730</v>
      </c>
      <c r="AG397" t="s">
        <v>2730</v>
      </c>
      <c r="AH397" t="s">
        <v>2730</v>
      </c>
    </row>
    <row r="398" spans="1:34">
      <c r="A398" s="149" t="str">
        <f>HYPERLINK("http://www.ofsted.gov.uk/inspection-reports/find-inspection-report/provider/ELS/102547 ","Ofsted School Webpage")</f>
        <v>Ofsted School Webpage</v>
      </c>
      <c r="B398">
        <v>102547</v>
      </c>
      <c r="C398">
        <v>3136051</v>
      </c>
      <c r="D398" t="s">
        <v>268</v>
      </c>
      <c r="E398" t="s">
        <v>37</v>
      </c>
      <c r="F398" t="s">
        <v>184</v>
      </c>
      <c r="G398" t="s">
        <v>184</v>
      </c>
      <c r="H398" t="s">
        <v>2729</v>
      </c>
      <c r="I398" t="s">
        <v>2730</v>
      </c>
      <c r="J398" t="s">
        <v>186</v>
      </c>
      <c r="K398" t="s">
        <v>232</v>
      </c>
      <c r="L398" t="s">
        <v>232</v>
      </c>
      <c r="M398" t="s">
        <v>269</v>
      </c>
      <c r="N398" t="s">
        <v>270</v>
      </c>
      <c r="O398">
        <v>10012831</v>
      </c>
      <c r="P398" s="120">
        <v>42997</v>
      </c>
      <c r="Q398" s="120">
        <v>42999</v>
      </c>
      <c r="R398" s="120">
        <v>43025</v>
      </c>
      <c r="S398" t="s">
        <v>196</v>
      </c>
      <c r="T398">
        <v>2</v>
      </c>
      <c r="U398" t="s">
        <v>128</v>
      </c>
      <c r="V398">
        <v>2</v>
      </c>
      <c r="W398">
        <v>1</v>
      </c>
      <c r="X398">
        <v>2</v>
      </c>
      <c r="Y398">
        <v>2</v>
      </c>
      <c r="Z398">
        <v>2</v>
      </c>
      <c r="AA398" t="s">
        <v>2730</v>
      </c>
      <c r="AB398" t="s">
        <v>2732</v>
      </c>
      <c r="AC398" t="s">
        <v>2730</v>
      </c>
      <c r="AD398" t="s">
        <v>2730</v>
      </c>
      <c r="AE398" s="120" t="s">
        <v>2730</v>
      </c>
      <c r="AF398" t="s">
        <v>2730</v>
      </c>
      <c r="AG398" s="120" t="s">
        <v>2730</v>
      </c>
      <c r="AH398" t="s">
        <v>2730</v>
      </c>
    </row>
    <row r="399" spans="1:34">
      <c r="A399" s="149" t="str">
        <f>HYPERLINK("http://www.ofsted.gov.uk/inspection-reports/find-inspection-report/provider/ELS/104730 ","Ofsted School Webpage")</f>
        <v>Ofsted School Webpage</v>
      </c>
      <c r="B399">
        <v>104730</v>
      </c>
      <c r="C399">
        <v>3416040</v>
      </c>
      <c r="D399" t="s">
        <v>673</v>
      </c>
      <c r="E399" t="s">
        <v>37</v>
      </c>
      <c r="F399" t="s">
        <v>212</v>
      </c>
      <c r="G399" t="s">
        <v>212</v>
      </c>
      <c r="H399" t="s">
        <v>2729</v>
      </c>
      <c r="I399" t="s">
        <v>2730</v>
      </c>
      <c r="J399" t="s">
        <v>186</v>
      </c>
      <c r="K399" t="s">
        <v>205</v>
      </c>
      <c r="L399" t="s">
        <v>205</v>
      </c>
      <c r="M399" t="s">
        <v>658</v>
      </c>
      <c r="N399" t="s">
        <v>674</v>
      </c>
      <c r="O399">
        <v>10020913</v>
      </c>
      <c r="P399" s="120">
        <v>42780</v>
      </c>
      <c r="Q399" s="120">
        <v>42782</v>
      </c>
      <c r="R399" s="120">
        <v>42880</v>
      </c>
      <c r="S399" t="s">
        <v>196</v>
      </c>
      <c r="T399">
        <v>2</v>
      </c>
      <c r="U399" t="s">
        <v>128</v>
      </c>
      <c r="V399">
        <v>2</v>
      </c>
      <c r="W399">
        <v>1</v>
      </c>
      <c r="X399">
        <v>2</v>
      </c>
      <c r="Y399">
        <v>2</v>
      </c>
      <c r="Z399">
        <v>2</v>
      </c>
      <c r="AA399" t="s">
        <v>2730</v>
      </c>
      <c r="AB399" t="s">
        <v>2732</v>
      </c>
      <c r="AC399" t="s">
        <v>2730</v>
      </c>
      <c r="AD399" t="s">
        <v>2730</v>
      </c>
      <c r="AE399" s="120" t="s">
        <v>2730</v>
      </c>
      <c r="AF399" t="s">
        <v>2730</v>
      </c>
      <c r="AG399" s="120" t="s">
        <v>2730</v>
      </c>
      <c r="AH399" t="s">
        <v>2730</v>
      </c>
    </row>
    <row r="400" spans="1:34">
      <c r="A400" s="149" t="str">
        <f>HYPERLINK("http://www.ofsted.gov.uk/inspection-reports/find-inspection-report/provider/ELS/141490 ","Ofsted School Webpage")</f>
        <v>Ofsted School Webpage</v>
      </c>
      <c r="B400">
        <v>141490</v>
      </c>
      <c r="C400">
        <v>9256006</v>
      </c>
      <c r="D400" t="s">
        <v>683</v>
      </c>
      <c r="E400" t="s">
        <v>37</v>
      </c>
      <c r="F400" t="s">
        <v>184</v>
      </c>
      <c r="G400" t="s">
        <v>184</v>
      </c>
      <c r="H400" t="s">
        <v>2729</v>
      </c>
      <c r="I400" t="s">
        <v>2730</v>
      </c>
      <c r="J400" t="s">
        <v>186</v>
      </c>
      <c r="K400" t="s">
        <v>214</v>
      </c>
      <c r="L400" t="s">
        <v>214</v>
      </c>
      <c r="M400" t="s">
        <v>684</v>
      </c>
      <c r="N400" t="s">
        <v>685</v>
      </c>
      <c r="O400" t="s">
        <v>686</v>
      </c>
      <c r="P400" s="120">
        <v>42186</v>
      </c>
      <c r="Q400" s="120">
        <v>42188</v>
      </c>
      <c r="R400" s="120">
        <v>42266</v>
      </c>
      <c r="S400" t="s">
        <v>249</v>
      </c>
      <c r="T400">
        <v>2</v>
      </c>
      <c r="U400" t="s">
        <v>2730</v>
      </c>
      <c r="V400">
        <v>2</v>
      </c>
      <c r="W400" t="s">
        <v>2730</v>
      </c>
      <c r="X400">
        <v>2</v>
      </c>
      <c r="Y400">
        <v>2</v>
      </c>
      <c r="Z400">
        <v>9</v>
      </c>
      <c r="AA400">
        <v>2</v>
      </c>
      <c r="AB400" t="s">
        <v>2730</v>
      </c>
      <c r="AC400" t="s">
        <v>2730</v>
      </c>
      <c r="AD400" t="s">
        <v>2730</v>
      </c>
      <c r="AE400" s="120" t="s">
        <v>2730</v>
      </c>
      <c r="AF400" t="s">
        <v>2730</v>
      </c>
      <c r="AG400" s="120" t="s">
        <v>2730</v>
      </c>
      <c r="AH400" t="s">
        <v>2730</v>
      </c>
    </row>
    <row r="401" spans="1:34">
      <c r="A401" s="149" t="str">
        <f>HYPERLINK("http://www.ofsted.gov.uk/inspection-reports/find-inspection-report/provider/ELS/121251 ","Ofsted School Webpage")</f>
        <v>Ofsted School Webpage</v>
      </c>
      <c r="B401">
        <v>121251</v>
      </c>
      <c r="C401">
        <v>9266143</v>
      </c>
      <c r="D401" t="s">
        <v>687</v>
      </c>
      <c r="E401" t="s">
        <v>37</v>
      </c>
      <c r="F401" t="s">
        <v>184</v>
      </c>
      <c r="G401" t="s">
        <v>184</v>
      </c>
      <c r="H401" t="s">
        <v>2729</v>
      </c>
      <c r="I401" t="s">
        <v>2730</v>
      </c>
      <c r="J401" t="s">
        <v>186</v>
      </c>
      <c r="K401" t="s">
        <v>220</v>
      </c>
      <c r="L401" t="s">
        <v>220</v>
      </c>
      <c r="M401" t="s">
        <v>445</v>
      </c>
      <c r="N401" t="s">
        <v>688</v>
      </c>
      <c r="O401" t="s">
        <v>689</v>
      </c>
      <c r="P401" s="120">
        <v>41934</v>
      </c>
      <c r="Q401" s="120">
        <v>41936</v>
      </c>
      <c r="R401" s="120">
        <v>41955</v>
      </c>
      <c r="S401" t="s">
        <v>196</v>
      </c>
      <c r="T401">
        <v>1</v>
      </c>
      <c r="U401" t="s">
        <v>2730</v>
      </c>
      <c r="V401">
        <v>1</v>
      </c>
      <c r="W401" t="s">
        <v>2730</v>
      </c>
      <c r="X401">
        <v>1</v>
      </c>
      <c r="Y401">
        <v>1</v>
      </c>
      <c r="Z401">
        <v>1</v>
      </c>
      <c r="AA401">
        <v>9</v>
      </c>
      <c r="AB401" t="s">
        <v>2730</v>
      </c>
      <c r="AC401" t="s">
        <v>2730</v>
      </c>
      <c r="AD401" t="s">
        <v>2730</v>
      </c>
      <c r="AE401" t="s">
        <v>2730</v>
      </c>
      <c r="AF401" t="s">
        <v>2730</v>
      </c>
      <c r="AG401" t="s">
        <v>2730</v>
      </c>
      <c r="AH401" t="s">
        <v>2730</v>
      </c>
    </row>
    <row r="402" spans="1:34">
      <c r="A402" s="149" t="str">
        <f>HYPERLINK("http://www.ofsted.gov.uk/inspection-reports/find-inspection-report/provider/ELS/131127 ","Ofsted School Webpage")</f>
        <v>Ofsted School Webpage</v>
      </c>
      <c r="B402">
        <v>131127</v>
      </c>
      <c r="C402">
        <v>8466020</v>
      </c>
      <c r="D402" t="s">
        <v>1950</v>
      </c>
      <c r="E402" t="s">
        <v>37</v>
      </c>
      <c r="F402" t="s">
        <v>184</v>
      </c>
      <c r="G402" t="s">
        <v>184</v>
      </c>
      <c r="H402" t="s">
        <v>2729</v>
      </c>
      <c r="I402" t="s">
        <v>2730</v>
      </c>
      <c r="J402" t="s">
        <v>186</v>
      </c>
      <c r="K402" t="s">
        <v>181</v>
      </c>
      <c r="L402" t="s">
        <v>181</v>
      </c>
      <c r="M402" t="s">
        <v>409</v>
      </c>
      <c r="N402" t="s">
        <v>1951</v>
      </c>
      <c r="O402">
        <v>10025980</v>
      </c>
      <c r="P402" s="120">
        <v>42914</v>
      </c>
      <c r="Q402" s="120">
        <v>42916</v>
      </c>
      <c r="R402" s="120">
        <v>42990</v>
      </c>
      <c r="S402" t="s">
        <v>196</v>
      </c>
      <c r="T402">
        <v>3</v>
      </c>
      <c r="U402" t="s">
        <v>128</v>
      </c>
      <c r="V402">
        <v>3</v>
      </c>
      <c r="W402">
        <v>2</v>
      </c>
      <c r="X402">
        <v>3</v>
      </c>
      <c r="Y402">
        <v>3</v>
      </c>
      <c r="Z402" t="s">
        <v>2730</v>
      </c>
      <c r="AA402" t="s">
        <v>2730</v>
      </c>
      <c r="AB402" t="s">
        <v>2732</v>
      </c>
      <c r="AC402" t="s">
        <v>2730</v>
      </c>
      <c r="AD402" t="s">
        <v>2730</v>
      </c>
      <c r="AE402" t="s">
        <v>2730</v>
      </c>
      <c r="AF402" t="s">
        <v>2730</v>
      </c>
      <c r="AG402" t="s">
        <v>2730</v>
      </c>
      <c r="AH402" t="s">
        <v>2730</v>
      </c>
    </row>
    <row r="403" spans="1:34">
      <c r="A403" s="149" t="str">
        <f>HYPERLINK("http://www.ofsted.gov.uk/inspection-reports/find-inspection-report/provider/ELS/120728 ","Ofsted School Webpage")</f>
        <v>Ofsted School Webpage</v>
      </c>
      <c r="B403">
        <v>120728</v>
      </c>
      <c r="C403">
        <v>9256016</v>
      </c>
      <c r="D403" t="s">
        <v>1952</v>
      </c>
      <c r="E403" t="s">
        <v>37</v>
      </c>
      <c r="F403" t="s">
        <v>184</v>
      </c>
      <c r="G403" t="s">
        <v>184</v>
      </c>
      <c r="H403" t="s">
        <v>2729</v>
      </c>
      <c r="I403" t="s">
        <v>2730</v>
      </c>
      <c r="J403" t="s">
        <v>186</v>
      </c>
      <c r="K403" t="s">
        <v>214</v>
      </c>
      <c r="L403" t="s">
        <v>214</v>
      </c>
      <c r="M403" t="s">
        <v>684</v>
      </c>
      <c r="N403" t="s">
        <v>1953</v>
      </c>
      <c r="O403">
        <v>10008570</v>
      </c>
      <c r="P403" s="120">
        <v>42402</v>
      </c>
      <c r="Q403" s="120">
        <v>42404</v>
      </c>
      <c r="R403" s="120">
        <v>42436</v>
      </c>
      <c r="S403" t="s">
        <v>196</v>
      </c>
      <c r="T403">
        <v>2</v>
      </c>
      <c r="U403" t="s">
        <v>128</v>
      </c>
      <c r="V403">
        <v>2</v>
      </c>
      <c r="W403">
        <v>2</v>
      </c>
      <c r="X403">
        <v>2</v>
      </c>
      <c r="Y403">
        <v>2</v>
      </c>
      <c r="Z403">
        <v>1</v>
      </c>
      <c r="AA403" t="s">
        <v>2730</v>
      </c>
      <c r="AB403" t="s">
        <v>2732</v>
      </c>
      <c r="AC403" t="s">
        <v>2730</v>
      </c>
      <c r="AD403" t="s">
        <v>2730</v>
      </c>
      <c r="AE403" t="s">
        <v>2730</v>
      </c>
      <c r="AF403" t="s">
        <v>2730</v>
      </c>
      <c r="AG403" t="s">
        <v>2730</v>
      </c>
      <c r="AH403" t="s">
        <v>2730</v>
      </c>
    </row>
    <row r="404" spans="1:34">
      <c r="A404" s="149" t="str">
        <f>HYPERLINK("http://www.ofsted.gov.uk/inspection-reports/find-inspection-report/provider/ELS/113632 ","Ofsted School Webpage")</f>
        <v>Ofsted School Webpage</v>
      </c>
      <c r="B404">
        <v>113632</v>
      </c>
      <c r="C404">
        <v>8786051</v>
      </c>
      <c r="D404" t="s">
        <v>2023</v>
      </c>
      <c r="E404" t="s">
        <v>37</v>
      </c>
      <c r="F404" t="s">
        <v>184</v>
      </c>
      <c r="G404" t="s">
        <v>184</v>
      </c>
      <c r="H404" t="s">
        <v>2729</v>
      </c>
      <c r="I404" t="s">
        <v>2730</v>
      </c>
      <c r="J404" t="s">
        <v>186</v>
      </c>
      <c r="K404" t="s">
        <v>225</v>
      </c>
      <c r="L404" t="s">
        <v>225</v>
      </c>
      <c r="M404" t="s">
        <v>367</v>
      </c>
      <c r="N404" t="s">
        <v>2024</v>
      </c>
      <c r="O404">
        <v>10020949</v>
      </c>
      <c r="P404" s="120">
        <v>42703</v>
      </c>
      <c r="Q404" s="120">
        <v>42705</v>
      </c>
      <c r="R404" s="120">
        <v>42761</v>
      </c>
      <c r="S404" t="s">
        <v>196</v>
      </c>
      <c r="T404">
        <v>2</v>
      </c>
      <c r="U404" t="s">
        <v>128</v>
      </c>
      <c r="V404">
        <v>2</v>
      </c>
      <c r="W404">
        <v>2</v>
      </c>
      <c r="X404">
        <v>1</v>
      </c>
      <c r="Y404">
        <v>1</v>
      </c>
      <c r="Z404" t="s">
        <v>2730</v>
      </c>
      <c r="AA404">
        <v>1</v>
      </c>
      <c r="AB404" t="s">
        <v>2732</v>
      </c>
      <c r="AC404" t="s">
        <v>2730</v>
      </c>
      <c r="AD404" t="s">
        <v>2730</v>
      </c>
      <c r="AE404" t="s">
        <v>2730</v>
      </c>
      <c r="AF404" t="s">
        <v>2730</v>
      </c>
      <c r="AG404" t="s">
        <v>2730</v>
      </c>
      <c r="AH404" t="s">
        <v>2730</v>
      </c>
    </row>
    <row r="405" spans="1:34">
      <c r="A405" s="149" t="str">
        <f>HYPERLINK("http://www.ofsted.gov.uk/inspection-reports/find-inspection-report/provider/ELS/136265 ","Ofsted School Webpage")</f>
        <v>Ofsted School Webpage</v>
      </c>
      <c r="B405">
        <v>136265</v>
      </c>
      <c r="C405">
        <v>3056082</v>
      </c>
      <c r="D405" t="s">
        <v>1430</v>
      </c>
      <c r="E405" t="s">
        <v>38</v>
      </c>
      <c r="F405" t="s">
        <v>184</v>
      </c>
      <c r="G405" t="s">
        <v>184</v>
      </c>
      <c r="H405" t="s">
        <v>2729</v>
      </c>
      <c r="I405" t="s">
        <v>2730</v>
      </c>
      <c r="J405" t="s">
        <v>186</v>
      </c>
      <c r="K405" t="s">
        <v>232</v>
      </c>
      <c r="L405" t="s">
        <v>232</v>
      </c>
      <c r="M405" t="s">
        <v>587</v>
      </c>
      <c r="N405" t="s">
        <v>1431</v>
      </c>
      <c r="O405" t="s">
        <v>1432</v>
      </c>
      <c r="P405" s="120">
        <v>41926</v>
      </c>
      <c r="Q405" s="120">
        <v>41928</v>
      </c>
      <c r="R405" s="120">
        <v>41965</v>
      </c>
      <c r="S405" t="s">
        <v>196</v>
      </c>
      <c r="T405">
        <v>2</v>
      </c>
      <c r="U405" t="s">
        <v>2730</v>
      </c>
      <c r="V405">
        <v>2</v>
      </c>
      <c r="W405" t="s">
        <v>2730</v>
      </c>
      <c r="X405">
        <v>2</v>
      </c>
      <c r="Y405">
        <v>2</v>
      </c>
      <c r="Z405">
        <v>9</v>
      </c>
      <c r="AA405">
        <v>9</v>
      </c>
      <c r="AB405" t="s">
        <v>2730</v>
      </c>
      <c r="AC405" t="s">
        <v>2730</v>
      </c>
      <c r="AD405" t="s">
        <v>2730</v>
      </c>
      <c r="AE405" t="s">
        <v>2730</v>
      </c>
      <c r="AF405" t="s">
        <v>2730</v>
      </c>
      <c r="AG405" t="s">
        <v>2730</v>
      </c>
      <c r="AH405" t="s">
        <v>2730</v>
      </c>
    </row>
    <row r="406" spans="1:34">
      <c r="A406" s="149" t="str">
        <f>HYPERLINK("http://www.ofsted.gov.uk/inspection-reports/find-inspection-report/provider/ELS/136236 ","Ofsted School Webpage")</f>
        <v>Ofsted School Webpage</v>
      </c>
      <c r="B406">
        <v>136236</v>
      </c>
      <c r="C406">
        <v>8736028</v>
      </c>
      <c r="D406" t="s">
        <v>520</v>
      </c>
      <c r="E406" t="s">
        <v>38</v>
      </c>
      <c r="F406" t="s">
        <v>184</v>
      </c>
      <c r="G406" t="s">
        <v>184</v>
      </c>
      <c r="H406" t="s">
        <v>2729</v>
      </c>
      <c r="I406" t="s">
        <v>2730</v>
      </c>
      <c r="J406" t="s">
        <v>186</v>
      </c>
      <c r="K406" t="s">
        <v>220</v>
      </c>
      <c r="L406" t="s">
        <v>220</v>
      </c>
      <c r="M406" t="s">
        <v>284</v>
      </c>
      <c r="N406" t="s">
        <v>521</v>
      </c>
      <c r="O406">
        <v>10038908</v>
      </c>
      <c r="P406" s="120">
        <v>43004</v>
      </c>
      <c r="Q406" s="120">
        <v>43006</v>
      </c>
      <c r="R406" s="120">
        <v>43049</v>
      </c>
      <c r="S406" t="s">
        <v>3119</v>
      </c>
      <c r="T406">
        <v>3</v>
      </c>
      <c r="U406" t="s">
        <v>128</v>
      </c>
      <c r="V406">
        <v>3</v>
      </c>
      <c r="W406">
        <v>3</v>
      </c>
      <c r="X406">
        <v>3</v>
      </c>
      <c r="Y406">
        <v>3</v>
      </c>
      <c r="Z406" t="s">
        <v>2730</v>
      </c>
      <c r="AA406" t="s">
        <v>2730</v>
      </c>
      <c r="AB406" t="s">
        <v>2733</v>
      </c>
      <c r="AC406" t="s">
        <v>2730</v>
      </c>
      <c r="AD406" t="s">
        <v>2730</v>
      </c>
      <c r="AE406" s="120" t="s">
        <v>2730</v>
      </c>
      <c r="AF406" t="s">
        <v>2730</v>
      </c>
      <c r="AG406" s="120" t="s">
        <v>2730</v>
      </c>
      <c r="AH406" t="s">
        <v>2730</v>
      </c>
    </row>
    <row r="407" spans="1:34">
      <c r="A407" s="149" t="str">
        <f>HYPERLINK("http://www.ofsted.gov.uk/inspection-reports/find-inspection-report/provider/ELS/109382 ","Ofsted School Webpage")</f>
        <v>Ofsted School Webpage</v>
      </c>
      <c r="B407">
        <v>109382</v>
      </c>
      <c r="C407">
        <v>8016019</v>
      </c>
      <c r="D407" t="s">
        <v>3047</v>
      </c>
      <c r="E407" t="s">
        <v>38</v>
      </c>
      <c r="F407" t="s">
        <v>184</v>
      </c>
      <c r="G407" t="s">
        <v>184</v>
      </c>
      <c r="H407" t="s">
        <v>2729</v>
      </c>
      <c r="I407" t="s">
        <v>2730</v>
      </c>
      <c r="J407" t="s">
        <v>186</v>
      </c>
      <c r="K407" t="s">
        <v>225</v>
      </c>
      <c r="L407" t="s">
        <v>225</v>
      </c>
      <c r="M407" t="s">
        <v>361</v>
      </c>
      <c r="N407" t="s">
        <v>3048</v>
      </c>
      <c r="O407">
        <v>10006130</v>
      </c>
      <c r="P407" s="120">
        <v>42269</v>
      </c>
      <c r="Q407" s="120">
        <v>42271</v>
      </c>
      <c r="R407" s="120">
        <v>42325</v>
      </c>
      <c r="S407" t="s">
        <v>196</v>
      </c>
      <c r="T407">
        <v>2</v>
      </c>
      <c r="U407" t="s">
        <v>128</v>
      </c>
      <c r="V407">
        <v>2</v>
      </c>
      <c r="W407">
        <v>2</v>
      </c>
      <c r="X407">
        <v>2</v>
      </c>
      <c r="Y407">
        <v>2</v>
      </c>
      <c r="Z407" t="s">
        <v>2730</v>
      </c>
      <c r="AA407" t="s">
        <v>2730</v>
      </c>
      <c r="AB407" t="s">
        <v>2732</v>
      </c>
      <c r="AC407" t="s">
        <v>2730</v>
      </c>
      <c r="AD407" t="s">
        <v>2730</v>
      </c>
      <c r="AE407" t="s">
        <v>2730</v>
      </c>
      <c r="AF407" t="s">
        <v>2730</v>
      </c>
      <c r="AG407" t="s">
        <v>2730</v>
      </c>
      <c r="AH407" t="s">
        <v>2730</v>
      </c>
    </row>
    <row r="408" spans="1:34">
      <c r="A408" s="149" t="str">
        <f>HYPERLINK("http://www.ofsted.gov.uk/inspection-reports/find-inspection-report/provider/ELS/131025 ","Ofsted School Webpage")</f>
        <v>Ofsted School Webpage</v>
      </c>
      <c r="B408">
        <v>131025</v>
      </c>
      <c r="C408">
        <v>8886029</v>
      </c>
      <c r="D408" t="s">
        <v>994</v>
      </c>
      <c r="E408" t="s">
        <v>38</v>
      </c>
      <c r="F408" t="s">
        <v>184</v>
      </c>
      <c r="G408" t="s">
        <v>184</v>
      </c>
      <c r="H408" t="s">
        <v>2729</v>
      </c>
      <c r="I408" t="s">
        <v>2730</v>
      </c>
      <c r="J408" t="s">
        <v>186</v>
      </c>
      <c r="K408" t="s">
        <v>205</v>
      </c>
      <c r="L408" t="s">
        <v>205</v>
      </c>
      <c r="M408" t="s">
        <v>206</v>
      </c>
      <c r="N408" t="s">
        <v>995</v>
      </c>
      <c r="O408" t="s">
        <v>996</v>
      </c>
      <c r="P408" s="120">
        <v>42185</v>
      </c>
      <c r="Q408" s="120">
        <v>42187</v>
      </c>
      <c r="R408" s="120">
        <v>42228</v>
      </c>
      <c r="S408" t="s">
        <v>3119</v>
      </c>
      <c r="T408">
        <v>1</v>
      </c>
      <c r="U408" t="s">
        <v>2730</v>
      </c>
      <c r="V408">
        <v>1</v>
      </c>
      <c r="W408" t="s">
        <v>2730</v>
      </c>
      <c r="X408">
        <v>1</v>
      </c>
      <c r="Y408">
        <v>1</v>
      </c>
      <c r="Z408">
        <v>9</v>
      </c>
      <c r="AA408">
        <v>9</v>
      </c>
      <c r="AB408" t="s">
        <v>2730</v>
      </c>
      <c r="AC408" t="s">
        <v>2730</v>
      </c>
      <c r="AD408" t="s">
        <v>2730</v>
      </c>
      <c r="AE408" t="s">
        <v>2730</v>
      </c>
      <c r="AF408" t="s">
        <v>2730</v>
      </c>
      <c r="AG408" t="s">
        <v>2730</v>
      </c>
      <c r="AH408" t="s">
        <v>2730</v>
      </c>
    </row>
    <row r="409" spans="1:34">
      <c r="A409" s="149" t="str">
        <f>HYPERLINK("http://www.ofsted.gov.uk/inspection-reports/find-inspection-report/provider/ELS/117030 ","Ofsted School Webpage")</f>
        <v>Ofsted School Webpage</v>
      </c>
      <c r="B409">
        <v>117030</v>
      </c>
      <c r="C409">
        <v>8856021</v>
      </c>
      <c r="D409" t="s">
        <v>1002</v>
      </c>
      <c r="E409" t="s">
        <v>38</v>
      </c>
      <c r="F409" t="s">
        <v>184</v>
      </c>
      <c r="G409" t="s">
        <v>184</v>
      </c>
      <c r="H409" t="s">
        <v>2729</v>
      </c>
      <c r="I409" t="s">
        <v>2730</v>
      </c>
      <c r="J409" t="s">
        <v>186</v>
      </c>
      <c r="K409" t="s">
        <v>193</v>
      </c>
      <c r="L409" t="s">
        <v>193</v>
      </c>
      <c r="M409" t="s">
        <v>891</v>
      </c>
      <c r="N409" t="s">
        <v>1003</v>
      </c>
      <c r="O409" t="s">
        <v>3049</v>
      </c>
      <c r="P409" s="120">
        <v>41309</v>
      </c>
      <c r="Q409" s="120">
        <v>41311</v>
      </c>
      <c r="R409" s="120">
        <v>41333</v>
      </c>
      <c r="S409" t="s">
        <v>196</v>
      </c>
      <c r="T409">
        <v>2</v>
      </c>
      <c r="U409" t="s">
        <v>2730</v>
      </c>
      <c r="V409">
        <v>2</v>
      </c>
      <c r="W409" t="s">
        <v>2730</v>
      </c>
      <c r="X409">
        <v>2</v>
      </c>
      <c r="Y409">
        <v>2</v>
      </c>
      <c r="Z409" t="s">
        <v>2730</v>
      </c>
      <c r="AA409" t="s">
        <v>2730</v>
      </c>
      <c r="AB409" t="s">
        <v>2730</v>
      </c>
      <c r="AC409" t="s">
        <v>2730</v>
      </c>
      <c r="AD409" t="s">
        <v>2730</v>
      </c>
      <c r="AE409" s="120" t="s">
        <v>2730</v>
      </c>
      <c r="AF409" t="s">
        <v>2730</v>
      </c>
      <c r="AG409" s="120" t="s">
        <v>2730</v>
      </c>
      <c r="AH409" t="s">
        <v>2730</v>
      </c>
    </row>
    <row r="410" spans="1:34">
      <c r="A410" s="149" t="str">
        <f>HYPERLINK("http://www.ofsted.gov.uk/inspection-reports/find-inspection-report/provider/ELS/134660 ","Ofsted School Webpage")</f>
        <v>Ofsted School Webpage</v>
      </c>
      <c r="B410">
        <v>134660</v>
      </c>
      <c r="C410">
        <v>8156036</v>
      </c>
      <c r="D410" t="s">
        <v>1004</v>
      </c>
      <c r="E410" t="s">
        <v>38</v>
      </c>
      <c r="F410" t="s">
        <v>184</v>
      </c>
      <c r="G410" t="s">
        <v>184</v>
      </c>
      <c r="H410" t="s">
        <v>2729</v>
      </c>
      <c r="I410" t="s">
        <v>2730</v>
      </c>
      <c r="J410" t="s">
        <v>186</v>
      </c>
      <c r="K410" t="s">
        <v>245</v>
      </c>
      <c r="L410" t="s">
        <v>246</v>
      </c>
      <c r="M410" t="s">
        <v>554</v>
      </c>
      <c r="N410" t="s">
        <v>1005</v>
      </c>
      <c r="O410" t="s">
        <v>1006</v>
      </c>
      <c r="P410" s="120">
        <v>42122</v>
      </c>
      <c r="Q410" s="120">
        <v>42124</v>
      </c>
      <c r="R410" s="120">
        <v>42160</v>
      </c>
      <c r="S410" t="s">
        <v>196</v>
      </c>
      <c r="T410">
        <v>2</v>
      </c>
      <c r="U410" t="s">
        <v>2730</v>
      </c>
      <c r="V410">
        <v>2</v>
      </c>
      <c r="W410" t="s">
        <v>2730</v>
      </c>
      <c r="X410">
        <v>2</v>
      </c>
      <c r="Y410">
        <v>2</v>
      </c>
      <c r="Z410">
        <v>9</v>
      </c>
      <c r="AA410">
        <v>2</v>
      </c>
      <c r="AB410" t="s">
        <v>2730</v>
      </c>
      <c r="AC410" t="s">
        <v>2730</v>
      </c>
      <c r="AD410" t="s">
        <v>2730</v>
      </c>
      <c r="AE410" s="120" t="s">
        <v>2730</v>
      </c>
      <c r="AF410" t="s">
        <v>2730</v>
      </c>
      <c r="AG410" s="120" t="s">
        <v>2730</v>
      </c>
      <c r="AH410" t="s">
        <v>2730</v>
      </c>
    </row>
    <row r="411" spans="1:34">
      <c r="A411" s="149" t="str">
        <f>HYPERLINK("http://www.ofsted.gov.uk/inspection-reports/find-inspection-report/provider/ELS/131455 ","Ofsted School Webpage")</f>
        <v>Ofsted School Webpage</v>
      </c>
      <c r="B411">
        <v>131455</v>
      </c>
      <c r="C411">
        <v>9336211</v>
      </c>
      <c r="D411" t="s">
        <v>1007</v>
      </c>
      <c r="E411" t="s">
        <v>38</v>
      </c>
      <c r="F411" t="s">
        <v>184</v>
      </c>
      <c r="G411" t="s">
        <v>184</v>
      </c>
      <c r="H411" t="s">
        <v>2729</v>
      </c>
      <c r="I411" t="s">
        <v>2730</v>
      </c>
      <c r="J411" t="s">
        <v>186</v>
      </c>
      <c r="K411" t="s">
        <v>225</v>
      </c>
      <c r="L411" t="s">
        <v>225</v>
      </c>
      <c r="M411" t="s">
        <v>262</v>
      </c>
      <c r="N411" t="s">
        <v>1008</v>
      </c>
      <c r="O411" t="s">
        <v>1009</v>
      </c>
      <c r="P411" s="120">
        <v>42087</v>
      </c>
      <c r="Q411" s="120">
        <v>42089</v>
      </c>
      <c r="R411" s="120">
        <v>42129</v>
      </c>
      <c r="S411" t="s">
        <v>196</v>
      </c>
      <c r="T411">
        <v>2</v>
      </c>
      <c r="U411" t="s">
        <v>2730</v>
      </c>
      <c r="V411">
        <v>2</v>
      </c>
      <c r="W411" t="s">
        <v>2730</v>
      </c>
      <c r="X411">
        <v>2</v>
      </c>
      <c r="Y411">
        <v>2</v>
      </c>
      <c r="Z411">
        <v>9</v>
      </c>
      <c r="AA411">
        <v>9</v>
      </c>
      <c r="AB411" t="s">
        <v>2730</v>
      </c>
      <c r="AC411" t="s">
        <v>2730</v>
      </c>
      <c r="AD411" t="s">
        <v>2730</v>
      </c>
      <c r="AE411" t="s">
        <v>2730</v>
      </c>
      <c r="AF411" t="s">
        <v>2730</v>
      </c>
      <c r="AG411" t="s">
        <v>2730</v>
      </c>
      <c r="AH411" t="s">
        <v>2730</v>
      </c>
    </row>
    <row r="412" spans="1:34">
      <c r="A412" s="149" t="str">
        <f>HYPERLINK("http://www.ofsted.gov.uk/inspection-reports/find-inspection-report/provider/ELS/138881 ","Ofsted School Webpage")</f>
        <v>Ofsted School Webpage</v>
      </c>
      <c r="B412">
        <v>138881</v>
      </c>
      <c r="C412">
        <v>9166004</v>
      </c>
      <c r="D412" t="s">
        <v>1143</v>
      </c>
      <c r="E412" t="s">
        <v>38</v>
      </c>
      <c r="F412" t="s">
        <v>184</v>
      </c>
      <c r="G412" t="s">
        <v>184</v>
      </c>
      <c r="H412" t="s">
        <v>2729</v>
      </c>
      <c r="I412" t="s">
        <v>2730</v>
      </c>
      <c r="J412" t="s">
        <v>186</v>
      </c>
      <c r="K412" t="s">
        <v>225</v>
      </c>
      <c r="L412" t="s">
        <v>225</v>
      </c>
      <c r="M412" t="s">
        <v>265</v>
      </c>
      <c r="N412" t="s">
        <v>1144</v>
      </c>
      <c r="O412">
        <v>10020815</v>
      </c>
      <c r="P412" s="120">
        <v>42633</v>
      </c>
      <c r="Q412" s="120">
        <v>42635</v>
      </c>
      <c r="R412" s="120">
        <v>42683</v>
      </c>
      <c r="S412" t="s">
        <v>3119</v>
      </c>
      <c r="T412">
        <v>4</v>
      </c>
      <c r="U412" t="s">
        <v>129</v>
      </c>
      <c r="V412">
        <v>4</v>
      </c>
      <c r="W412">
        <v>4</v>
      </c>
      <c r="X412">
        <v>4</v>
      </c>
      <c r="Y412">
        <v>4</v>
      </c>
      <c r="Z412">
        <v>2</v>
      </c>
      <c r="AA412">
        <v>3</v>
      </c>
      <c r="AB412" t="s">
        <v>2733</v>
      </c>
      <c r="AC412">
        <v>10034335</v>
      </c>
      <c r="AD412" t="s">
        <v>187</v>
      </c>
      <c r="AE412" s="120">
        <v>42874</v>
      </c>
      <c r="AF412" t="s">
        <v>2769</v>
      </c>
      <c r="AG412" s="120">
        <v>42905</v>
      </c>
      <c r="AH412" t="s">
        <v>189</v>
      </c>
    </row>
    <row r="413" spans="1:34">
      <c r="A413" s="149" t="str">
        <f>HYPERLINK("http://www.ofsted.gov.uk/inspection-reports/find-inspection-report/provider/ELS/139963 ","Ofsted School Webpage")</f>
        <v>Ofsted School Webpage</v>
      </c>
      <c r="B413">
        <v>139963</v>
      </c>
      <c r="C413">
        <v>8696017</v>
      </c>
      <c r="D413" t="s">
        <v>1084</v>
      </c>
      <c r="E413" t="s">
        <v>38</v>
      </c>
      <c r="F413" t="s">
        <v>184</v>
      </c>
      <c r="G413" t="s">
        <v>184</v>
      </c>
      <c r="H413" t="s">
        <v>2729</v>
      </c>
      <c r="I413" t="s">
        <v>2730</v>
      </c>
      <c r="J413" t="s">
        <v>186</v>
      </c>
      <c r="K413" t="s">
        <v>181</v>
      </c>
      <c r="L413" t="s">
        <v>181</v>
      </c>
      <c r="M413" t="s">
        <v>599</v>
      </c>
      <c r="N413" t="s">
        <v>1085</v>
      </c>
      <c r="O413">
        <v>10033958</v>
      </c>
      <c r="P413" s="120">
        <v>42913</v>
      </c>
      <c r="Q413" s="120">
        <v>42915</v>
      </c>
      <c r="R413" s="120">
        <v>42982</v>
      </c>
      <c r="S413" t="s">
        <v>196</v>
      </c>
      <c r="T413">
        <v>2</v>
      </c>
      <c r="U413" t="s">
        <v>128</v>
      </c>
      <c r="V413">
        <v>2</v>
      </c>
      <c r="W413">
        <v>2</v>
      </c>
      <c r="X413">
        <v>2</v>
      </c>
      <c r="Y413">
        <v>2</v>
      </c>
      <c r="Z413" t="s">
        <v>2730</v>
      </c>
      <c r="AA413">
        <v>2</v>
      </c>
      <c r="AB413" t="s">
        <v>2732</v>
      </c>
      <c r="AC413" t="s">
        <v>2730</v>
      </c>
      <c r="AD413" t="s">
        <v>2730</v>
      </c>
      <c r="AE413" t="s">
        <v>2730</v>
      </c>
      <c r="AF413" t="s">
        <v>2730</v>
      </c>
      <c r="AG413" t="s">
        <v>2730</v>
      </c>
      <c r="AH413" t="s">
        <v>2730</v>
      </c>
    </row>
    <row r="414" spans="1:34">
      <c r="A414" s="149" t="str">
        <f>HYPERLINK("http://www.ofsted.gov.uk/inspection-reports/find-inspection-report/provider/ELS/135150 ","Ofsted School Webpage")</f>
        <v>Ofsted School Webpage</v>
      </c>
      <c r="B414">
        <v>135150</v>
      </c>
      <c r="C414">
        <v>8816056</v>
      </c>
      <c r="D414" t="s">
        <v>1382</v>
      </c>
      <c r="E414" t="s">
        <v>38</v>
      </c>
      <c r="F414" t="s">
        <v>184</v>
      </c>
      <c r="G414" t="s">
        <v>184</v>
      </c>
      <c r="H414" t="s">
        <v>2729</v>
      </c>
      <c r="I414" t="s">
        <v>2730</v>
      </c>
      <c r="J414" t="s">
        <v>186</v>
      </c>
      <c r="K414" t="s">
        <v>220</v>
      </c>
      <c r="L414" t="s">
        <v>220</v>
      </c>
      <c r="M414" t="s">
        <v>323</v>
      </c>
      <c r="N414" t="s">
        <v>1383</v>
      </c>
      <c r="O414">
        <v>10034755</v>
      </c>
      <c r="P414" s="120">
        <v>42892</v>
      </c>
      <c r="Q414" s="120">
        <v>42894</v>
      </c>
      <c r="R414" s="120">
        <v>42933</v>
      </c>
      <c r="S414" t="s">
        <v>196</v>
      </c>
      <c r="T414">
        <v>3</v>
      </c>
      <c r="U414" t="s">
        <v>128</v>
      </c>
      <c r="V414">
        <v>3</v>
      </c>
      <c r="W414">
        <v>3</v>
      </c>
      <c r="X414">
        <v>2</v>
      </c>
      <c r="Y414">
        <v>2</v>
      </c>
      <c r="Z414" t="s">
        <v>2730</v>
      </c>
      <c r="AA414">
        <v>2</v>
      </c>
      <c r="AB414" t="s">
        <v>2733</v>
      </c>
      <c r="AC414" t="s">
        <v>2730</v>
      </c>
      <c r="AD414" t="s">
        <v>2730</v>
      </c>
      <c r="AE414" t="s">
        <v>2730</v>
      </c>
      <c r="AF414" t="s">
        <v>2730</v>
      </c>
      <c r="AG414" t="s">
        <v>2730</v>
      </c>
      <c r="AH414" t="s">
        <v>2730</v>
      </c>
    </row>
    <row r="415" spans="1:34">
      <c r="A415" s="149" t="str">
        <f>HYPERLINK("http://www.ofsted.gov.uk/inspection-reports/find-inspection-report/provider/ELS/134940 ","Ofsted School Webpage")</f>
        <v>Ofsted School Webpage</v>
      </c>
      <c r="B415">
        <v>134940</v>
      </c>
      <c r="C415">
        <v>8826053</v>
      </c>
      <c r="D415" t="s">
        <v>1384</v>
      </c>
      <c r="E415" t="s">
        <v>38</v>
      </c>
      <c r="F415" t="s">
        <v>184</v>
      </c>
      <c r="G415" t="s">
        <v>184</v>
      </c>
      <c r="H415" t="s">
        <v>2729</v>
      </c>
      <c r="I415" t="s">
        <v>2730</v>
      </c>
      <c r="J415" t="s">
        <v>186</v>
      </c>
      <c r="K415" t="s">
        <v>220</v>
      </c>
      <c r="L415" t="s">
        <v>220</v>
      </c>
      <c r="M415" t="s">
        <v>746</v>
      </c>
      <c r="N415" t="s">
        <v>1385</v>
      </c>
      <c r="O415" t="s">
        <v>1386</v>
      </c>
      <c r="P415" s="120">
        <v>42172</v>
      </c>
      <c r="Q415" s="120">
        <v>42174</v>
      </c>
      <c r="R415" s="120">
        <v>42202</v>
      </c>
      <c r="S415" t="s">
        <v>3119</v>
      </c>
      <c r="T415">
        <v>2</v>
      </c>
      <c r="U415" t="s">
        <v>2730</v>
      </c>
      <c r="V415">
        <v>2</v>
      </c>
      <c r="W415" t="s">
        <v>2730</v>
      </c>
      <c r="X415">
        <v>2</v>
      </c>
      <c r="Y415">
        <v>2</v>
      </c>
      <c r="Z415">
        <v>9</v>
      </c>
      <c r="AA415">
        <v>2</v>
      </c>
      <c r="AB415" t="s">
        <v>2730</v>
      </c>
      <c r="AC415" t="s">
        <v>2730</v>
      </c>
      <c r="AD415" t="s">
        <v>2730</v>
      </c>
      <c r="AE415" t="s">
        <v>2730</v>
      </c>
      <c r="AF415" t="s">
        <v>2730</v>
      </c>
      <c r="AG415" t="s">
        <v>2730</v>
      </c>
      <c r="AH415" t="s">
        <v>2730</v>
      </c>
    </row>
    <row r="416" spans="1:34">
      <c r="A416" s="149" t="str">
        <f>HYPERLINK("http://www.ofsted.gov.uk/inspection-reports/find-inspection-report/provider/ELS/140421 ","Ofsted School Webpage")</f>
        <v>Ofsted School Webpage</v>
      </c>
      <c r="B416">
        <v>140421</v>
      </c>
      <c r="C416">
        <v>3156005</v>
      </c>
      <c r="D416" t="s">
        <v>1387</v>
      </c>
      <c r="E416" t="s">
        <v>38</v>
      </c>
      <c r="F416" t="s">
        <v>184</v>
      </c>
      <c r="G416" t="s">
        <v>184</v>
      </c>
      <c r="H416" t="s">
        <v>2729</v>
      </c>
      <c r="I416" t="s">
        <v>2730</v>
      </c>
      <c r="J416" t="s">
        <v>186</v>
      </c>
      <c r="K416" t="s">
        <v>232</v>
      </c>
      <c r="L416" t="s">
        <v>232</v>
      </c>
      <c r="M416" t="s">
        <v>236</v>
      </c>
      <c r="N416" t="s">
        <v>1388</v>
      </c>
      <c r="O416" t="s">
        <v>3050</v>
      </c>
      <c r="P416" s="120">
        <v>41982</v>
      </c>
      <c r="Q416" s="120">
        <v>41984</v>
      </c>
      <c r="R416" s="120">
        <v>42039</v>
      </c>
      <c r="S416" t="s">
        <v>249</v>
      </c>
      <c r="T416">
        <v>2</v>
      </c>
      <c r="U416" t="s">
        <v>2730</v>
      </c>
      <c r="V416">
        <v>2</v>
      </c>
      <c r="W416" t="s">
        <v>2730</v>
      </c>
      <c r="X416">
        <v>2</v>
      </c>
      <c r="Y416">
        <v>2</v>
      </c>
      <c r="Z416">
        <v>9</v>
      </c>
      <c r="AA416">
        <v>9</v>
      </c>
      <c r="AB416" t="s">
        <v>2730</v>
      </c>
      <c r="AC416" t="s">
        <v>2730</v>
      </c>
      <c r="AD416" t="s">
        <v>2730</v>
      </c>
      <c r="AE416" t="s">
        <v>2730</v>
      </c>
      <c r="AF416" t="s">
        <v>2730</v>
      </c>
      <c r="AG416" t="s">
        <v>2730</v>
      </c>
      <c r="AH416" t="s">
        <v>2730</v>
      </c>
    </row>
    <row r="417" spans="1:34">
      <c r="A417" s="149" t="str">
        <f>HYPERLINK("http://www.ofsted.gov.uk/inspection-reports/find-inspection-report/provider/ELS/138243 ","Ofsted School Webpage")</f>
        <v>Ofsted School Webpage</v>
      </c>
      <c r="B417">
        <v>138243</v>
      </c>
      <c r="C417">
        <v>8606040</v>
      </c>
      <c r="D417" t="s">
        <v>1161</v>
      </c>
      <c r="E417" t="s">
        <v>38</v>
      </c>
      <c r="F417" t="s">
        <v>184</v>
      </c>
      <c r="G417" t="s">
        <v>184</v>
      </c>
      <c r="H417" t="s">
        <v>2729</v>
      </c>
      <c r="I417" t="s">
        <v>2730</v>
      </c>
      <c r="J417" t="s">
        <v>186</v>
      </c>
      <c r="K417" t="s">
        <v>193</v>
      </c>
      <c r="L417" t="s">
        <v>193</v>
      </c>
      <c r="M417" t="s">
        <v>314</v>
      </c>
      <c r="N417" t="s">
        <v>1162</v>
      </c>
      <c r="O417">
        <v>10010818</v>
      </c>
      <c r="P417" s="120">
        <v>42528</v>
      </c>
      <c r="Q417" s="120">
        <v>42530</v>
      </c>
      <c r="R417" s="120">
        <v>42571</v>
      </c>
      <c r="S417" t="s">
        <v>3119</v>
      </c>
      <c r="T417">
        <v>1</v>
      </c>
      <c r="U417" t="s">
        <v>128</v>
      </c>
      <c r="V417">
        <v>1</v>
      </c>
      <c r="W417">
        <v>1</v>
      </c>
      <c r="X417">
        <v>1</v>
      </c>
      <c r="Y417">
        <v>1</v>
      </c>
      <c r="Z417" t="s">
        <v>2730</v>
      </c>
      <c r="AA417" t="s">
        <v>2730</v>
      </c>
      <c r="AB417" t="s">
        <v>2732</v>
      </c>
      <c r="AC417" t="s">
        <v>2730</v>
      </c>
      <c r="AD417" t="s">
        <v>2730</v>
      </c>
      <c r="AE417" t="s">
        <v>2730</v>
      </c>
      <c r="AF417" t="s">
        <v>2730</v>
      </c>
      <c r="AG417" t="s">
        <v>2730</v>
      </c>
      <c r="AH417" t="s">
        <v>2730</v>
      </c>
    </row>
    <row r="418" spans="1:34">
      <c r="A418" s="149" t="str">
        <f>HYPERLINK("http://www.ofsted.gov.uk/inspection-reports/find-inspection-report/provider/ELS/134388 ","Ofsted School Webpage")</f>
        <v>Ofsted School Webpage</v>
      </c>
      <c r="B418">
        <v>134388</v>
      </c>
      <c r="C418">
        <v>3016002</v>
      </c>
      <c r="D418" t="s">
        <v>1163</v>
      </c>
      <c r="E418" t="s">
        <v>38</v>
      </c>
      <c r="F418" t="s">
        <v>184</v>
      </c>
      <c r="G418" t="s">
        <v>184</v>
      </c>
      <c r="H418" t="s">
        <v>2729</v>
      </c>
      <c r="I418" t="s">
        <v>2730</v>
      </c>
      <c r="J418" t="s">
        <v>186</v>
      </c>
      <c r="K418" t="s">
        <v>232</v>
      </c>
      <c r="L418" t="s">
        <v>232</v>
      </c>
      <c r="M418" t="s">
        <v>1164</v>
      </c>
      <c r="N418" t="s">
        <v>1165</v>
      </c>
      <c r="O418">
        <v>10038168</v>
      </c>
      <c r="P418" s="120">
        <v>43054</v>
      </c>
      <c r="Q418" s="120">
        <v>43056</v>
      </c>
      <c r="R418" s="120">
        <v>43097</v>
      </c>
      <c r="S418" t="s">
        <v>196</v>
      </c>
      <c r="T418">
        <v>3</v>
      </c>
      <c r="U418" t="s">
        <v>128</v>
      </c>
      <c r="V418">
        <v>2</v>
      </c>
      <c r="W418">
        <v>3</v>
      </c>
      <c r="X418">
        <v>3</v>
      </c>
      <c r="Y418">
        <v>3</v>
      </c>
      <c r="Z418" t="s">
        <v>2730</v>
      </c>
      <c r="AA418" t="s">
        <v>2730</v>
      </c>
      <c r="AB418" t="s">
        <v>2732</v>
      </c>
      <c r="AC418" t="s">
        <v>2730</v>
      </c>
      <c r="AD418" t="s">
        <v>2730</v>
      </c>
      <c r="AE418" t="s">
        <v>2730</v>
      </c>
      <c r="AF418" t="s">
        <v>2730</v>
      </c>
      <c r="AG418" t="s">
        <v>2730</v>
      </c>
      <c r="AH418" t="s">
        <v>2730</v>
      </c>
    </row>
    <row r="419" spans="1:34">
      <c r="A419" s="149" t="str">
        <f>HYPERLINK("http://www.ofsted.gov.uk/inspection-reports/find-inspection-report/provider/ELS/133640 ","Ofsted School Webpage")</f>
        <v>Ofsted School Webpage</v>
      </c>
      <c r="B419">
        <v>133640</v>
      </c>
      <c r="C419">
        <v>8106004</v>
      </c>
      <c r="D419" t="s">
        <v>1166</v>
      </c>
      <c r="E419" t="s">
        <v>38</v>
      </c>
      <c r="F419" t="s">
        <v>184</v>
      </c>
      <c r="G419" t="s">
        <v>184</v>
      </c>
      <c r="H419" t="s">
        <v>2729</v>
      </c>
      <c r="I419" t="s">
        <v>2730</v>
      </c>
      <c r="J419" t="s">
        <v>186</v>
      </c>
      <c r="K419" t="s">
        <v>245</v>
      </c>
      <c r="L419" t="s">
        <v>246</v>
      </c>
      <c r="M419" t="s">
        <v>254</v>
      </c>
      <c r="N419" t="s">
        <v>1167</v>
      </c>
      <c r="O419">
        <v>10020903</v>
      </c>
      <c r="P419" s="120">
        <v>42696</v>
      </c>
      <c r="Q419" s="120">
        <v>42698</v>
      </c>
      <c r="R419" s="120">
        <v>42727</v>
      </c>
      <c r="S419" t="s">
        <v>196</v>
      </c>
      <c r="T419">
        <v>3</v>
      </c>
      <c r="U419" t="s">
        <v>128</v>
      </c>
      <c r="V419">
        <v>3</v>
      </c>
      <c r="W419">
        <v>2</v>
      </c>
      <c r="X419">
        <v>3</v>
      </c>
      <c r="Y419">
        <v>3</v>
      </c>
      <c r="Z419" t="s">
        <v>2730</v>
      </c>
      <c r="AA419" t="s">
        <v>2730</v>
      </c>
      <c r="AB419" t="s">
        <v>2732</v>
      </c>
      <c r="AC419" t="s">
        <v>2730</v>
      </c>
      <c r="AD419" t="s">
        <v>2730</v>
      </c>
      <c r="AE419" t="s">
        <v>2730</v>
      </c>
      <c r="AF419" t="s">
        <v>2730</v>
      </c>
      <c r="AG419" t="s">
        <v>2730</v>
      </c>
      <c r="AH419" t="s">
        <v>2730</v>
      </c>
    </row>
    <row r="420" spans="1:34">
      <c r="A420" s="149" t="str">
        <f>HYPERLINK("http://www.ofsted.gov.uk/inspection-reports/find-inspection-report/provider/ELS/132855 ","Ofsted School Webpage")</f>
        <v>Ofsted School Webpage</v>
      </c>
      <c r="B420">
        <v>132855</v>
      </c>
      <c r="C420">
        <v>9296046</v>
      </c>
      <c r="D420" t="s">
        <v>887</v>
      </c>
      <c r="E420" t="s">
        <v>38</v>
      </c>
      <c r="F420" t="s">
        <v>184</v>
      </c>
      <c r="G420" t="s">
        <v>184</v>
      </c>
      <c r="H420" t="s">
        <v>2729</v>
      </c>
      <c r="I420" t="s">
        <v>2730</v>
      </c>
      <c r="J420" t="s">
        <v>186</v>
      </c>
      <c r="K420" t="s">
        <v>245</v>
      </c>
      <c r="L420" t="s">
        <v>277</v>
      </c>
      <c r="M420" t="s">
        <v>888</v>
      </c>
      <c r="N420" t="s">
        <v>889</v>
      </c>
      <c r="O420">
        <v>10012944</v>
      </c>
      <c r="P420" s="120">
        <v>42675</v>
      </c>
      <c r="Q420" s="120">
        <v>42677</v>
      </c>
      <c r="R420" s="120">
        <v>42717</v>
      </c>
      <c r="S420" t="s">
        <v>3119</v>
      </c>
      <c r="T420">
        <v>2</v>
      </c>
      <c r="U420" t="s">
        <v>128</v>
      </c>
      <c r="V420">
        <v>2</v>
      </c>
      <c r="W420">
        <v>2</v>
      </c>
      <c r="X420">
        <v>2</v>
      </c>
      <c r="Y420">
        <v>2</v>
      </c>
      <c r="Z420" t="s">
        <v>2730</v>
      </c>
      <c r="AA420" t="s">
        <v>2730</v>
      </c>
      <c r="AB420" t="s">
        <v>2732</v>
      </c>
      <c r="AC420" t="s">
        <v>2730</v>
      </c>
      <c r="AD420" t="s">
        <v>2730</v>
      </c>
      <c r="AE420" t="s">
        <v>2730</v>
      </c>
      <c r="AF420" t="s">
        <v>2730</v>
      </c>
      <c r="AG420" t="s">
        <v>2730</v>
      </c>
      <c r="AH420" t="s">
        <v>2730</v>
      </c>
    </row>
    <row r="421" spans="1:34">
      <c r="A421" s="149" t="str">
        <f>HYPERLINK("http://www.ofsted.gov.uk/inspection-reports/find-inspection-report/provider/ELS/110564 ","Ofsted School Webpage")</f>
        <v>Ofsted School Webpage</v>
      </c>
      <c r="B421">
        <v>110564</v>
      </c>
      <c r="C421">
        <v>8256011</v>
      </c>
      <c r="D421" t="s">
        <v>984</v>
      </c>
      <c r="E421" t="s">
        <v>38</v>
      </c>
      <c r="F421" t="s">
        <v>184</v>
      </c>
      <c r="G421" t="s">
        <v>184</v>
      </c>
      <c r="H421" t="s">
        <v>2729</v>
      </c>
      <c r="I421" t="s">
        <v>2730</v>
      </c>
      <c r="J421" t="s">
        <v>186</v>
      </c>
      <c r="K421" t="s">
        <v>181</v>
      </c>
      <c r="L421" t="s">
        <v>181</v>
      </c>
      <c r="M421" t="s">
        <v>251</v>
      </c>
      <c r="N421" t="s">
        <v>985</v>
      </c>
      <c r="O421">
        <v>10025975</v>
      </c>
      <c r="P421" s="120">
        <v>42899</v>
      </c>
      <c r="Q421" s="120">
        <v>42901</v>
      </c>
      <c r="R421" s="120">
        <v>42922</v>
      </c>
      <c r="S421" t="s">
        <v>196</v>
      </c>
      <c r="T421">
        <v>2</v>
      </c>
      <c r="U421" t="s">
        <v>128</v>
      </c>
      <c r="V421">
        <v>2</v>
      </c>
      <c r="W421">
        <v>1</v>
      </c>
      <c r="X421">
        <v>2</v>
      </c>
      <c r="Y421">
        <v>2</v>
      </c>
      <c r="Z421" t="s">
        <v>2730</v>
      </c>
      <c r="AA421">
        <v>2</v>
      </c>
      <c r="AB421" t="s">
        <v>2732</v>
      </c>
      <c r="AC421" t="s">
        <v>2730</v>
      </c>
      <c r="AD421" t="s">
        <v>2730</v>
      </c>
      <c r="AE421" t="s">
        <v>2730</v>
      </c>
      <c r="AF421" t="s">
        <v>2730</v>
      </c>
      <c r="AG421" t="s">
        <v>2730</v>
      </c>
      <c r="AH421" t="s">
        <v>2730</v>
      </c>
    </row>
    <row r="422" spans="1:34">
      <c r="A422" s="149" t="str">
        <f>HYPERLINK("http://www.ofsted.gov.uk/inspection-reports/find-inspection-report/provider/ELS/139787 ","Ofsted School Webpage")</f>
        <v>Ofsted School Webpage</v>
      </c>
      <c r="B422">
        <v>139787</v>
      </c>
      <c r="C422">
        <v>8316012</v>
      </c>
      <c r="D422" t="s">
        <v>1168</v>
      </c>
      <c r="E422" t="s">
        <v>38</v>
      </c>
      <c r="F422" t="s">
        <v>184</v>
      </c>
      <c r="G422" t="s">
        <v>184</v>
      </c>
      <c r="H422" t="s">
        <v>2729</v>
      </c>
      <c r="I422" t="s">
        <v>2730</v>
      </c>
      <c r="J422" t="s">
        <v>186</v>
      </c>
      <c r="K422" t="s">
        <v>214</v>
      </c>
      <c r="L422" t="s">
        <v>214</v>
      </c>
      <c r="M422" t="s">
        <v>420</v>
      </c>
      <c r="N422" t="s">
        <v>1169</v>
      </c>
      <c r="O422" t="s">
        <v>1170</v>
      </c>
      <c r="P422" s="120">
        <v>41898</v>
      </c>
      <c r="Q422" s="120">
        <v>41899</v>
      </c>
      <c r="R422" s="120">
        <v>41919</v>
      </c>
      <c r="S422" t="s">
        <v>196</v>
      </c>
      <c r="T422">
        <v>2</v>
      </c>
      <c r="U422" t="s">
        <v>2730</v>
      </c>
      <c r="V422">
        <v>2</v>
      </c>
      <c r="W422" t="s">
        <v>2730</v>
      </c>
      <c r="X422">
        <v>2</v>
      </c>
      <c r="Y422">
        <v>2</v>
      </c>
      <c r="Z422" t="s">
        <v>2730</v>
      </c>
      <c r="AA422" t="s">
        <v>2730</v>
      </c>
      <c r="AB422" t="s">
        <v>2730</v>
      </c>
      <c r="AC422" t="s">
        <v>2730</v>
      </c>
      <c r="AD422" t="s">
        <v>2730</v>
      </c>
      <c r="AE422" t="s">
        <v>2730</v>
      </c>
      <c r="AF422" t="s">
        <v>2730</v>
      </c>
      <c r="AG422" t="s">
        <v>2730</v>
      </c>
      <c r="AH422" t="s">
        <v>2730</v>
      </c>
    </row>
    <row r="423" spans="1:34">
      <c r="A423" s="149" t="str">
        <f>HYPERLINK("http://www.ofsted.gov.uk/inspection-reports/find-inspection-report/provider/ELS/140615 ","Ofsted School Webpage")</f>
        <v>Ofsted School Webpage</v>
      </c>
      <c r="B423">
        <v>140615</v>
      </c>
      <c r="C423">
        <v>8116013</v>
      </c>
      <c r="D423" t="s">
        <v>1171</v>
      </c>
      <c r="E423" t="s">
        <v>38</v>
      </c>
      <c r="F423" t="s">
        <v>184</v>
      </c>
      <c r="G423" t="s">
        <v>184</v>
      </c>
      <c r="H423" t="s">
        <v>2729</v>
      </c>
      <c r="I423" t="s">
        <v>2730</v>
      </c>
      <c r="J423" t="s">
        <v>186</v>
      </c>
      <c r="K423" t="s">
        <v>245</v>
      </c>
      <c r="L423" t="s">
        <v>246</v>
      </c>
      <c r="M423" t="s">
        <v>704</v>
      </c>
      <c r="N423" t="s">
        <v>1016</v>
      </c>
      <c r="O423" t="s">
        <v>1172</v>
      </c>
      <c r="P423" s="120">
        <v>42080</v>
      </c>
      <c r="Q423" s="120">
        <v>42081</v>
      </c>
      <c r="R423" s="120">
        <v>42117</v>
      </c>
      <c r="S423" t="s">
        <v>249</v>
      </c>
      <c r="T423">
        <v>2</v>
      </c>
      <c r="U423" t="s">
        <v>2730</v>
      </c>
      <c r="V423">
        <v>2</v>
      </c>
      <c r="W423" t="s">
        <v>2730</v>
      </c>
      <c r="X423">
        <v>2</v>
      </c>
      <c r="Y423">
        <v>2</v>
      </c>
      <c r="Z423">
        <v>9</v>
      </c>
      <c r="AA423">
        <v>9</v>
      </c>
      <c r="AB423" t="s">
        <v>2730</v>
      </c>
      <c r="AC423" t="s">
        <v>2730</v>
      </c>
      <c r="AD423" t="s">
        <v>2730</v>
      </c>
      <c r="AE423" t="s">
        <v>2730</v>
      </c>
      <c r="AF423" t="s">
        <v>2730</v>
      </c>
      <c r="AG423" t="s">
        <v>2730</v>
      </c>
      <c r="AH423" t="s">
        <v>2730</v>
      </c>
    </row>
    <row r="424" spans="1:34">
      <c r="A424" s="149" t="str">
        <f>HYPERLINK("http://www.ofsted.gov.uk/inspection-reports/find-inspection-report/provider/ELS/124488 ","Ofsted School Webpage")</f>
        <v>Ofsted School Webpage</v>
      </c>
      <c r="B424">
        <v>124488</v>
      </c>
      <c r="C424">
        <v>8606022</v>
      </c>
      <c r="D424" t="s">
        <v>313</v>
      </c>
      <c r="E424" t="s">
        <v>38</v>
      </c>
      <c r="F424" t="s">
        <v>184</v>
      </c>
      <c r="G424" t="s">
        <v>184</v>
      </c>
      <c r="H424" t="s">
        <v>2729</v>
      </c>
      <c r="I424" t="s">
        <v>2730</v>
      </c>
      <c r="J424" t="s">
        <v>186</v>
      </c>
      <c r="K424" t="s">
        <v>193</v>
      </c>
      <c r="L424" t="s">
        <v>193</v>
      </c>
      <c r="M424" t="s">
        <v>314</v>
      </c>
      <c r="N424" t="s">
        <v>315</v>
      </c>
      <c r="O424">
        <v>10026104</v>
      </c>
      <c r="P424" s="120">
        <v>43039</v>
      </c>
      <c r="Q424" s="120">
        <v>43041</v>
      </c>
      <c r="R424" s="120">
        <v>43063</v>
      </c>
      <c r="S424" t="s">
        <v>196</v>
      </c>
      <c r="T424">
        <v>1</v>
      </c>
      <c r="U424" t="s">
        <v>128</v>
      </c>
      <c r="V424">
        <v>1</v>
      </c>
      <c r="W424">
        <v>1</v>
      </c>
      <c r="X424">
        <v>1</v>
      </c>
      <c r="Y424">
        <v>1</v>
      </c>
      <c r="Z424" t="s">
        <v>2730</v>
      </c>
      <c r="AA424" t="s">
        <v>2730</v>
      </c>
      <c r="AB424" t="s">
        <v>2732</v>
      </c>
      <c r="AC424" t="s">
        <v>2730</v>
      </c>
      <c r="AD424" t="s">
        <v>2730</v>
      </c>
      <c r="AE424" t="s">
        <v>2730</v>
      </c>
      <c r="AF424" t="s">
        <v>2730</v>
      </c>
      <c r="AG424" t="s">
        <v>2730</v>
      </c>
      <c r="AH424" t="s">
        <v>2730</v>
      </c>
    </row>
    <row r="425" spans="1:34">
      <c r="A425" s="149" t="str">
        <f>HYPERLINK("http://www.ofsted.gov.uk/inspection-reports/find-inspection-report/provider/ELS/123920 ","Ofsted School Webpage")</f>
        <v>Ofsted School Webpage</v>
      </c>
      <c r="B425">
        <v>123920</v>
      </c>
      <c r="C425">
        <v>9336089</v>
      </c>
      <c r="D425" t="s">
        <v>1173</v>
      </c>
      <c r="E425" t="s">
        <v>38</v>
      </c>
      <c r="F425" t="s">
        <v>184</v>
      </c>
      <c r="G425" t="s">
        <v>184</v>
      </c>
      <c r="H425" t="s">
        <v>2729</v>
      </c>
      <c r="I425" t="s">
        <v>2730</v>
      </c>
      <c r="J425" t="s">
        <v>186</v>
      </c>
      <c r="K425" t="s">
        <v>225</v>
      </c>
      <c r="L425" t="s">
        <v>225</v>
      </c>
      <c r="M425" t="s">
        <v>262</v>
      </c>
      <c r="N425" t="s">
        <v>1174</v>
      </c>
      <c r="O425">
        <v>10008941</v>
      </c>
      <c r="P425" s="120">
        <v>42815</v>
      </c>
      <c r="Q425" s="120">
        <v>42817</v>
      </c>
      <c r="R425" s="120">
        <v>42859</v>
      </c>
      <c r="S425" t="s">
        <v>267</v>
      </c>
      <c r="T425">
        <v>2</v>
      </c>
      <c r="U425" t="s">
        <v>128</v>
      </c>
      <c r="V425">
        <v>2</v>
      </c>
      <c r="W425">
        <v>2</v>
      </c>
      <c r="X425">
        <v>2</v>
      </c>
      <c r="Y425">
        <v>2</v>
      </c>
      <c r="Z425" t="s">
        <v>2730</v>
      </c>
      <c r="AA425" t="s">
        <v>2730</v>
      </c>
      <c r="AB425" t="s">
        <v>2732</v>
      </c>
      <c r="AC425" t="s">
        <v>2730</v>
      </c>
      <c r="AD425" t="s">
        <v>2730</v>
      </c>
      <c r="AE425" t="s">
        <v>2730</v>
      </c>
      <c r="AF425" t="s">
        <v>2730</v>
      </c>
      <c r="AG425" t="s">
        <v>2730</v>
      </c>
      <c r="AH425" t="s">
        <v>2730</v>
      </c>
    </row>
    <row r="426" spans="1:34">
      <c r="A426" s="149" t="str">
        <f>HYPERLINK("http://www.ofsted.gov.uk/inspection-reports/find-inspection-report/provider/ELS/131033 ","Ofsted School Webpage")</f>
        <v>Ofsted School Webpage</v>
      </c>
      <c r="B426">
        <v>131033</v>
      </c>
      <c r="C426">
        <v>8936097</v>
      </c>
      <c r="D426" t="s">
        <v>594</v>
      </c>
      <c r="E426" t="s">
        <v>38</v>
      </c>
      <c r="F426" t="s">
        <v>184</v>
      </c>
      <c r="G426" t="s">
        <v>184</v>
      </c>
      <c r="H426" t="s">
        <v>2729</v>
      </c>
      <c r="I426" t="s">
        <v>2730</v>
      </c>
      <c r="J426" t="s">
        <v>186</v>
      </c>
      <c r="K426" t="s">
        <v>193</v>
      </c>
      <c r="L426" t="s">
        <v>193</v>
      </c>
      <c r="M426" t="s">
        <v>194</v>
      </c>
      <c r="N426" t="s">
        <v>1016</v>
      </c>
      <c r="O426" t="s">
        <v>1203</v>
      </c>
      <c r="P426" s="120">
        <v>42137</v>
      </c>
      <c r="Q426" s="120">
        <v>42139</v>
      </c>
      <c r="R426" s="120">
        <v>42167</v>
      </c>
      <c r="S426" t="s">
        <v>196</v>
      </c>
      <c r="T426">
        <v>2</v>
      </c>
      <c r="U426" t="s">
        <v>2730</v>
      </c>
      <c r="V426">
        <v>2</v>
      </c>
      <c r="W426" t="s">
        <v>2730</v>
      </c>
      <c r="X426">
        <v>2</v>
      </c>
      <c r="Y426">
        <v>2</v>
      </c>
      <c r="Z426">
        <v>9</v>
      </c>
      <c r="AA426">
        <v>9</v>
      </c>
      <c r="AB426" t="s">
        <v>2730</v>
      </c>
      <c r="AC426" t="s">
        <v>2730</v>
      </c>
      <c r="AD426" t="s">
        <v>2730</v>
      </c>
      <c r="AE426" t="s">
        <v>2730</v>
      </c>
      <c r="AF426" t="s">
        <v>2730</v>
      </c>
      <c r="AG426" t="s">
        <v>2730</v>
      </c>
      <c r="AH426" t="s">
        <v>2730</v>
      </c>
    </row>
    <row r="427" spans="1:34">
      <c r="A427" s="149" t="str">
        <f>HYPERLINK("http://www.ofsted.gov.uk/inspection-reports/find-inspection-report/provider/ELS/137562 ","Ofsted School Webpage")</f>
        <v>Ofsted School Webpage</v>
      </c>
      <c r="B427">
        <v>137562</v>
      </c>
      <c r="C427">
        <v>8826010</v>
      </c>
      <c r="D427" t="s">
        <v>1204</v>
      </c>
      <c r="E427" t="s">
        <v>38</v>
      </c>
      <c r="F427" t="s">
        <v>184</v>
      </c>
      <c r="G427" t="s">
        <v>184</v>
      </c>
      <c r="H427" t="s">
        <v>2729</v>
      </c>
      <c r="I427" t="s">
        <v>2730</v>
      </c>
      <c r="J427" t="s">
        <v>186</v>
      </c>
      <c r="K427" t="s">
        <v>220</v>
      </c>
      <c r="L427" t="s">
        <v>220</v>
      </c>
      <c r="M427" t="s">
        <v>746</v>
      </c>
      <c r="N427" t="s">
        <v>1205</v>
      </c>
      <c r="O427">
        <v>10043122</v>
      </c>
      <c r="P427" s="120">
        <v>43053</v>
      </c>
      <c r="Q427" s="120">
        <v>43055</v>
      </c>
      <c r="R427" s="120">
        <v>43081</v>
      </c>
      <c r="S427" t="s">
        <v>196</v>
      </c>
      <c r="T427">
        <v>3</v>
      </c>
      <c r="U427" t="s">
        <v>128</v>
      </c>
      <c r="V427">
        <v>3</v>
      </c>
      <c r="W427">
        <v>3</v>
      </c>
      <c r="X427">
        <v>3</v>
      </c>
      <c r="Y427">
        <v>3</v>
      </c>
      <c r="Z427" t="s">
        <v>2730</v>
      </c>
      <c r="AA427" t="s">
        <v>2730</v>
      </c>
      <c r="AB427" t="s">
        <v>2733</v>
      </c>
      <c r="AC427" t="s">
        <v>2730</v>
      </c>
      <c r="AD427" t="s">
        <v>2730</v>
      </c>
      <c r="AE427" s="120" t="s">
        <v>2730</v>
      </c>
      <c r="AF427" t="s">
        <v>2730</v>
      </c>
      <c r="AG427" s="120" t="s">
        <v>2730</v>
      </c>
      <c r="AH427" t="s">
        <v>2730</v>
      </c>
    </row>
    <row r="428" spans="1:34">
      <c r="A428" s="149" t="str">
        <f>HYPERLINK("http://www.ofsted.gov.uk/inspection-reports/find-inspection-report/provider/ELS/138803 ","Ofsted School Webpage")</f>
        <v>Ofsted School Webpage</v>
      </c>
      <c r="B428">
        <v>138803</v>
      </c>
      <c r="C428">
        <v>2086001</v>
      </c>
      <c r="D428" t="s">
        <v>1206</v>
      </c>
      <c r="E428" t="s">
        <v>38</v>
      </c>
      <c r="F428" t="s">
        <v>184</v>
      </c>
      <c r="G428" t="s">
        <v>184</v>
      </c>
      <c r="H428" t="s">
        <v>2729</v>
      </c>
      <c r="I428" t="s">
        <v>2730</v>
      </c>
      <c r="J428" t="s">
        <v>186</v>
      </c>
      <c r="K428" t="s">
        <v>232</v>
      </c>
      <c r="L428" t="s">
        <v>232</v>
      </c>
      <c r="M428" t="s">
        <v>1207</v>
      </c>
      <c r="N428" t="s">
        <v>1208</v>
      </c>
      <c r="O428" t="s">
        <v>1209</v>
      </c>
      <c r="P428" s="120">
        <v>41464</v>
      </c>
      <c r="Q428" s="120">
        <v>41466</v>
      </c>
      <c r="R428" s="120">
        <v>41522</v>
      </c>
      <c r="S428" t="s">
        <v>249</v>
      </c>
      <c r="T428">
        <v>2</v>
      </c>
      <c r="U428" t="s">
        <v>2730</v>
      </c>
      <c r="V428">
        <v>2</v>
      </c>
      <c r="W428" t="s">
        <v>2730</v>
      </c>
      <c r="X428">
        <v>2</v>
      </c>
      <c r="Y428">
        <v>2</v>
      </c>
      <c r="Z428" t="s">
        <v>2730</v>
      </c>
      <c r="AA428" t="s">
        <v>2730</v>
      </c>
      <c r="AB428" t="s">
        <v>2730</v>
      </c>
      <c r="AC428" t="s">
        <v>2730</v>
      </c>
      <c r="AD428" t="s">
        <v>2730</v>
      </c>
      <c r="AE428" t="s">
        <v>2730</v>
      </c>
      <c r="AF428" t="s">
        <v>2730</v>
      </c>
      <c r="AG428" t="s">
        <v>2730</v>
      </c>
      <c r="AH428" t="s">
        <v>2730</v>
      </c>
    </row>
    <row r="429" spans="1:34">
      <c r="A429" s="149" t="str">
        <f>HYPERLINK("http://www.ofsted.gov.uk/inspection-reports/find-inspection-report/provider/ELS/136168 ","Ofsted School Webpage")</f>
        <v>Ofsted School Webpage</v>
      </c>
      <c r="B429">
        <v>136168</v>
      </c>
      <c r="C429">
        <v>8306038</v>
      </c>
      <c r="D429" t="s">
        <v>1210</v>
      </c>
      <c r="E429" t="s">
        <v>38</v>
      </c>
      <c r="F429" t="s">
        <v>184</v>
      </c>
      <c r="G429" t="s">
        <v>184</v>
      </c>
      <c r="H429" t="s">
        <v>2729</v>
      </c>
      <c r="I429" t="s">
        <v>2730</v>
      </c>
      <c r="J429" t="s">
        <v>186</v>
      </c>
      <c r="K429" t="s">
        <v>214</v>
      </c>
      <c r="L429" t="s">
        <v>214</v>
      </c>
      <c r="M429" t="s">
        <v>364</v>
      </c>
      <c r="N429" t="s">
        <v>1211</v>
      </c>
      <c r="O429" t="s">
        <v>1212</v>
      </c>
      <c r="P429" s="120">
        <v>41954</v>
      </c>
      <c r="Q429" s="120">
        <v>41955</v>
      </c>
      <c r="R429" s="120">
        <v>41985</v>
      </c>
      <c r="S429" t="s">
        <v>3119</v>
      </c>
      <c r="T429">
        <v>2</v>
      </c>
      <c r="U429" t="s">
        <v>2730</v>
      </c>
      <c r="V429">
        <v>2</v>
      </c>
      <c r="W429" t="s">
        <v>2730</v>
      </c>
      <c r="X429">
        <v>2</v>
      </c>
      <c r="Y429">
        <v>2</v>
      </c>
      <c r="Z429">
        <v>9</v>
      </c>
      <c r="AA429">
        <v>9</v>
      </c>
      <c r="AB429" t="s">
        <v>2730</v>
      </c>
      <c r="AC429" t="s">
        <v>2730</v>
      </c>
      <c r="AD429" t="s">
        <v>2730</v>
      </c>
      <c r="AE429" t="s">
        <v>2730</v>
      </c>
      <c r="AF429" t="s">
        <v>2730</v>
      </c>
      <c r="AG429" t="s">
        <v>2730</v>
      </c>
      <c r="AH429" t="s">
        <v>2730</v>
      </c>
    </row>
    <row r="430" spans="1:34">
      <c r="A430" s="149" t="str">
        <f>HYPERLINK("http://www.ofsted.gov.uk/inspection-reports/find-inspection-report/provider/ELS/131138 ","Ofsted School Webpage")</f>
        <v>Ofsted School Webpage</v>
      </c>
      <c r="B430">
        <v>131138</v>
      </c>
      <c r="C430">
        <v>8886030</v>
      </c>
      <c r="D430" t="s">
        <v>1480</v>
      </c>
      <c r="E430" t="s">
        <v>38</v>
      </c>
      <c r="F430" t="s">
        <v>184</v>
      </c>
      <c r="G430" t="s">
        <v>184</v>
      </c>
      <c r="H430" t="s">
        <v>2729</v>
      </c>
      <c r="I430" t="s">
        <v>2730</v>
      </c>
      <c r="J430" t="s">
        <v>186</v>
      </c>
      <c r="K430" t="s">
        <v>205</v>
      </c>
      <c r="L430" t="s">
        <v>205</v>
      </c>
      <c r="M430" t="s">
        <v>206</v>
      </c>
      <c r="N430" t="s">
        <v>1481</v>
      </c>
      <c r="O430">
        <v>10012964</v>
      </c>
      <c r="P430" s="120">
        <v>42850</v>
      </c>
      <c r="Q430" s="120">
        <v>42852</v>
      </c>
      <c r="R430" s="120">
        <v>42873</v>
      </c>
      <c r="S430" t="s">
        <v>196</v>
      </c>
      <c r="T430">
        <v>2</v>
      </c>
      <c r="U430" t="s">
        <v>128</v>
      </c>
      <c r="V430">
        <v>1</v>
      </c>
      <c r="W430">
        <v>2</v>
      </c>
      <c r="X430">
        <v>2</v>
      </c>
      <c r="Y430">
        <v>2</v>
      </c>
      <c r="Z430" t="s">
        <v>2730</v>
      </c>
      <c r="AA430">
        <v>2</v>
      </c>
      <c r="AB430" t="s">
        <v>2732</v>
      </c>
      <c r="AC430" t="s">
        <v>2730</v>
      </c>
      <c r="AD430" t="s">
        <v>2730</v>
      </c>
      <c r="AE430" t="s">
        <v>2730</v>
      </c>
      <c r="AF430" t="s">
        <v>2730</v>
      </c>
      <c r="AG430" t="s">
        <v>2730</v>
      </c>
      <c r="AH430" t="s">
        <v>2730</v>
      </c>
    </row>
    <row r="431" spans="1:34">
      <c r="A431" s="149" t="str">
        <f>HYPERLINK("http://www.ofsted.gov.uk/inspection-reports/find-inspection-report/provider/ELS/113950 ","Ofsted School Webpage")</f>
        <v>Ofsted School Webpage</v>
      </c>
      <c r="B431">
        <v>113950</v>
      </c>
      <c r="C431">
        <v>8356016</v>
      </c>
      <c r="D431" t="s">
        <v>1482</v>
      </c>
      <c r="E431" t="s">
        <v>38</v>
      </c>
      <c r="F431" t="s">
        <v>184</v>
      </c>
      <c r="G431" t="s">
        <v>184</v>
      </c>
      <c r="H431" t="s">
        <v>2729</v>
      </c>
      <c r="I431" t="s">
        <v>2730</v>
      </c>
      <c r="J431" t="s">
        <v>186</v>
      </c>
      <c r="K431" t="s">
        <v>225</v>
      </c>
      <c r="L431" t="s">
        <v>225</v>
      </c>
      <c r="M431" t="s">
        <v>611</v>
      </c>
      <c r="N431" t="s">
        <v>1483</v>
      </c>
      <c r="O431">
        <v>10026039</v>
      </c>
      <c r="P431" s="120">
        <v>42913</v>
      </c>
      <c r="Q431" s="120">
        <v>42915</v>
      </c>
      <c r="R431" s="120">
        <v>42948</v>
      </c>
      <c r="S431" t="s">
        <v>196</v>
      </c>
      <c r="T431">
        <v>4</v>
      </c>
      <c r="U431" t="s">
        <v>129</v>
      </c>
      <c r="V431">
        <v>4</v>
      </c>
      <c r="W431">
        <v>4</v>
      </c>
      <c r="X431">
        <v>2</v>
      </c>
      <c r="Y431">
        <v>2</v>
      </c>
      <c r="Z431" t="s">
        <v>2730</v>
      </c>
      <c r="AA431">
        <v>4</v>
      </c>
      <c r="AB431" t="s">
        <v>2733</v>
      </c>
      <c r="AC431" t="s">
        <v>2730</v>
      </c>
      <c r="AD431" t="s">
        <v>2730</v>
      </c>
      <c r="AE431" t="s">
        <v>2730</v>
      </c>
      <c r="AF431" t="s">
        <v>2730</v>
      </c>
      <c r="AG431" t="s">
        <v>2730</v>
      </c>
      <c r="AH431" t="s">
        <v>2730</v>
      </c>
    </row>
    <row r="432" spans="1:34">
      <c r="A432" s="149" t="str">
        <f>HYPERLINK("http://www.ofsted.gov.uk/inspection-reports/find-inspection-report/provider/ELS/131353 ","Ofsted School Webpage")</f>
        <v>Ofsted School Webpage</v>
      </c>
      <c r="B432">
        <v>131353</v>
      </c>
      <c r="C432">
        <v>8846011</v>
      </c>
      <c r="D432" t="s">
        <v>737</v>
      </c>
      <c r="E432" t="s">
        <v>38</v>
      </c>
      <c r="F432" t="s">
        <v>184</v>
      </c>
      <c r="G432" t="s">
        <v>184</v>
      </c>
      <c r="H432" t="s">
        <v>2729</v>
      </c>
      <c r="I432" t="s">
        <v>2730</v>
      </c>
      <c r="J432" t="s">
        <v>186</v>
      </c>
      <c r="K432" t="s">
        <v>193</v>
      </c>
      <c r="L432" t="s">
        <v>193</v>
      </c>
      <c r="M432" t="s">
        <v>1077</v>
      </c>
      <c r="N432" t="s">
        <v>1484</v>
      </c>
      <c r="O432" t="s">
        <v>1485</v>
      </c>
      <c r="P432" s="120">
        <v>42185</v>
      </c>
      <c r="Q432" s="120">
        <v>42187</v>
      </c>
      <c r="R432" s="120">
        <v>42258</v>
      </c>
      <c r="S432" t="s">
        <v>196</v>
      </c>
      <c r="T432">
        <v>2</v>
      </c>
      <c r="U432" t="s">
        <v>2730</v>
      </c>
      <c r="V432">
        <v>2</v>
      </c>
      <c r="W432" t="s">
        <v>2730</v>
      </c>
      <c r="X432">
        <v>2</v>
      </c>
      <c r="Y432">
        <v>2</v>
      </c>
      <c r="Z432">
        <v>9</v>
      </c>
      <c r="AA432">
        <v>2</v>
      </c>
      <c r="AB432" t="s">
        <v>2730</v>
      </c>
      <c r="AC432" t="s">
        <v>2730</v>
      </c>
      <c r="AD432" t="s">
        <v>2730</v>
      </c>
      <c r="AE432" s="120" t="s">
        <v>2730</v>
      </c>
      <c r="AF432" t="s">
        <v>2730</v>
      </c>
      <c r="AG432" s="120" t="s">
        <v>2730</v>
      </c>
      <c r="AH432" t="s">
        <v>2730</v>
      </c>
    </row>
    <row r="433" spans="1:34">
      <c r="A433" s="149" t="str">
        <f>HYPERLINK("http://www.ofsted.gov.uk/inspection-reports/find-inspection-report/provider/ELS/139603 ","Ofsted School Webpage")</f>
        <v>Ofsted School Webpage</v>
      </c>
      <c r="B433">
        <v>139603</v>
      </c>
      <c r="C433">
        <v>8916023</v>
      </c>
      <c r="D433" t="s">
        <v>1486</v>
      </c>
      <c r="E433" t="s">
        <v>38</v>
      </c>
      <c r="F433" t="s">
        <v>184</v>
      </c>
      <c r="G433" t="s">
        <v>184</v>
      </c>
      <c r="H433" t="s">
        <v>2729</v>
      </c>
      <c r="I433" t="s">
        <v>2730</v>
      </c>
      <c r="J433" t="s">
        <v>186</v>
      </c>
      <c r="K433" t="s">
        <v>214</v>
      </c>
      <c r="L433" t="s">
        <v>214</v>
      </c>
      <c r="M433" t="s">
        <v>320</v>
      </c>
      <c r="N433" t="s">
        <v>1487</v>
      </c>
      <c r="O433">
        <v>10026053</v>
      </c>
      <c r="P433" s="120">
        <v>42927</v>
      </c>
      <c r="Q433" s="120">
        <v>42929</v>
      </c>
      <c r="R433" s="120">
        <v>42989</v>
      </c>
      <c r="S433" t="s">
        <v>196</v>
      </c>
      <c r="T433">
        <v>2</v>
      </c>
      <c r="U433" t="s">
        <v>128</v>
      </c>
      <c r="V433">
        <v>1</v>
      </c>
      <c r="W433">
        <v>1</v>
      </c>
      <c r="X433">
        <v>2</v>
      </c>
      <c r="Y433">
        <v>2</v>
      </c>
      <c r="Z433" t="s">
        <v>2730</v>
      </c>
      <c r="AA433">
        <v>2</v>
      </c>
      <c r="AB433" t="s">
        <v>2732</v>
      </c>
      <c r="AC433" t="s">
        <v>2730</v>
      </c>
      <c r="AD433" t="s">
        <v>2730</v>
      </c>
      <c r="AE433" s="120" t="s">
        <v>2730</v>
      </c>
      <c r="AF433" t="s">
        <v>2730</v>
      </c>
      <c r="AG433" s="120" t="s">
        <v>2730</v>
      </c>
      <c r="AH433" t="s">
        <v>2730</v>
      </c>
    </row>
    <row r="434" spans="1:34">
      <c r="A434" s="149" t="str">
        <f>HYPERLINK("http://www.ofsted.gov.uk/inspection-reports/find-inspection-report/provider/ELS/134000 ","Ofsted School Webpage")</f>
        <v>Ofsted School Webpage</v>
      </c>
      <c r="B434">
        <v>134000</v>
      </c>
      <c r="C434">
        <v>8936026</v>
      </c>
      <c r="D434" t="s">
        <v>1895</v>
      </c>
      <c r="E434" t="s">
        <v>38</v>
      </c>
      <c r="F434" t="s">
        <v>184</v>
      </c>
      <c r="G434" t="s">
        <v>184</v>
      </c>
      <c r="H434" t="s">
        <v>2729</v>
      </c>
      <c r="I434" t="s">
        <v>2730</v>
      </c>
      <c r="J434" t="s">
        <v>186</v>
      </c>
      <c r="K434" t="s">
        <v>193</v>
      </c>
      <c r="L434" t="s">
        <v>193</v>
      </c>
      <c r="M434" t="s">
        <v>194</v>
      </c>
      <c r="N434" t="s">
        <v>1896</v>
      </c>
      <c r="O434">
        <v>10012915</v>
      </c>
      <c r="P434" s="120">
        <v>42906</v>
      </c>
      <c r="Q434" s="120">
        <v>42908</v>
      </c>
      <c r="R434" s="120">
        <v>42933</v>
      </c>
      <c r="S434" t="s">
        <v>196</v>
      </c>
      <c r="T434">
        <v>2</v>
      </c>
      <c r="U434" t="s">
        <v>128</v>
      </c>
      <c r="V434">
        <v>2</v>
      </c>
      <c r="W434">
        <v>2</v>
      </c>
      <c r="X434">
        <v>2</v>
      </c>
      <c r="Y434">
        <v>2</v>
      </c>
      <c r="Z434" t="s">
        <v>2730</v>
      </c>
      <c r="AA434">
        <v>2</v>
      </c>
      <c r="AB434" t="s">
        <v>2732</v>
      </c>
      <c r="AC434" t="s">
        <v>2730</v>
      </c>
      <c r="AD434" t="s">
        <v>2730</v>
      </c>
      <c r="AE434" t="s">
        <v>2730</v>
      </c>
      <c r="AF434" t="s">
        <v>2730</v>
      </c>
      <c r="AG434" t="s">
        <v>2730</v>
      </c>
      <c r="AH434" t="s">
        <v>2730</v>
      </c>
    </row>
    <row r="435" spans="1:34">
      <c r="A435" s="149" t="str">
        <f>HYPERLINK("http://www.ofsted.gov.uk/inspection-reports/find-inspection-report/provider/ELS/135616 ","Ofsted School Webpage")</f>
        <v>Ofsted School Webpage</v>
      </c>
      <c r="B435">
        <v>135616</v>
      </c>
      <c r="C435">
        <v>2076408</v>
      </c>
      <c r="D435" t="s">
        <v>1897</v>
      </c>
      <c r="E435" t="s">
        <v>38</v>
      </c>
      <c r="F435" t="s">
        <v>184</v>
      </c>
      <c r="G435" t="s">
        <v>184</v>
      </c>
      <c r="H435" t="s">
        <v>2729</v>
      </c>
      <c r="I435" t="s">
        <v>2730</v>
      </c>
      <c r="J435" t="s">
        <v>186</v>
      </c>
      <c r="K435" t="s">
        <v>232</v>
      </c>
      <c r="L435" t="s">
        <v>232</v>
      </c>
      <c r="M435" t="s">
        <v>294</v>
      </c>
      <c r="N435" t="s">
        <v>1898</v>
      </c>
      <c r="O435">
        <v>10008525</v>
      </c>
      <c r="P435" s="120">
        <v>42381</v>
      </c>
      <c r="Q435" s="120">
        <v>42383</v>
      </c>
      <c r="R435" s="120">
        <v>42403</v>
      </c>
      <c r="S435" t="s">
        <v>196</v>
      </c>
      <c r="T435">
        <v>1</v>
      </c>
      <c r="U435" t="s">
        <v>128</v>
      </c>
      <c r="V435">
        <v>1</v>
      </c>
      <c r="W435">
        <v>1</v>
      </c>
      <c r="X435">
        <v>1</v>
      </c>
      <c r="Y435">
        <v>1</v>
      </c>
      <c r="Z435" t="s">
        <v>2730</v>
      </c>
      <c r="AA435" t="s">
        <v>2730</v>
      </c>
      <c r="AB435" t="s">
        <v>2732</v>
      </c>
      <c r="AC435" t="s">
        <v>2730</v>
      </c>
      <c r="AD435" t="s">
        <v>2730</v>
      </c>
      <c r="AE435" t="s">
        <v>2730</v>
      </c>
      <c r="AF435" t="s">
        <v>2730</v>
      </c>
      <c r="AG435" t="s">
        <v>2730</v>
      </c>
      <c r="AH435" t="s">
        <v>2730</v>
      </c>
    </row>
    <row r="436" spans="1:34">
      <c r="A436" s="149" t="str">
        <f>HYPERLINK("http://www.ofsted.gov.uk/inspection-reports/find-inspection-report/provider/ELS/133527 ","Ofsted School Webpage")</f>
        <v>Ofsted School Webpage</v>
      </c>
      <c r="B436">
        <v>133527</v>
      </c>
      <c r="C436">
        <v>9336203</v>
      </c>
      <c r="D436" t="s">
        <v>399</v>
      </c>
      <c r="E436" t="s">
        <v>38</v>
      </c>
      <c r="F436" t="s">
        <v>184</v>
      </c>
      <c r="G436" t="s">
        <v>184</v>
      </c>
      <c r="H436" t="s">
        <v>2729</v>
      </c>
      <c r="I436" t="s">
        <v>2730</v>
      </c>
      <c r="J436" t="s">
        <v>186</v>
      </c>
      <c r="K436" t="s">
        <v>225</v>
      </c>
      <c r="L436" t="s">
        <v>225</v>
      </c>
      <c r="M436" t="s">
        <v>262</v>
      </c>
      <c r="N436" t="s">
        <v>400</v>
      </c>
      <c r="O436">
        <v>10033891</v>
      </c>
      <c r="P436" s="120">
        <v>42990</v>
      </c>
      <c r="Q436" s="120">
        <v>42992</v>
      </c>
      <c r="R436" s="120">
        <v>43019</v>
      </c>
      <c r="S436" t="s">
        <v>196</v>
      </c>
      <c r="T436">
        <v>2</v>
      </c>
      <c r="U436" t="s">
        <v>128</v>
      </c>
      <c r="V436">
        <v>2</v>
      </c>
      <c r="W436">
        <v>2</v>
      </c>
      <c r="X436">
        <v>2</v>
      </c>
      <c r="Y436">
        <v>2</v>
      </c>
      <c r="Z436" t="s">
        <v>2730</v>
      </c>
      <c r="AA436" t="s">
        <v>2730</v>
      </c>
      <c r="AB436" t="s">
        <v>2732</v>
      </c>
      <c r="AC436" t="s">
        <v>2730</v>
      </c>
      <c r="AD436" t="s">
        <v>2730</v>
      </c>
      <c r="AE436" t="s">
        <v>2730</v>
      </c>
      <c r="AF436" t="s">
        <v>2730</v>
      </c>
      <c r="AG436" t="s">
        <v>2730</v>
      </c>
      <c r="AH436" t="s">
        <v>2730</v>
      </c>
    </row>
    <row r="437" spans="1:34">
      <c r="A437" s="149" t="str">
        <f>HYPERLINK("http://www.ofsted.gov.uk/inspection-reports/find-inspection-report/provider/ELS/116564 ","Ofsted School Webpage")</f>
        <v>Ofsted School Webpage</v>
      </c>
      <c r="B437">
        <v>116564</v>
      </c>
      <c r="C437">
        <v>8506030</v>
      </c>
      <c r="D437" t="s">
        <v>381</v>
      </c>
      <c r="E437" t="s">
        <v>38</v>
      </c>
      <c r="F437" t="s">
        <v>184</v>
      </c>
      <c r="G437" t="s">
        <v>184</v>
      </c>
      <c r="H437" t="s">
        <v>2729</v>
      </c>
      <c r="I437" t="s">
        <v>2730</v>
      </c>
      <c r="J437" t="s">
        <v>186</v>
      </c>
      <c r="K437" t="s">
        <v>181</v>
      </c>
      <c r="L437" t="s">
        <v>181</v>
      </c>
      <c r="M437" t="s">
        <v>201</v>
      </c>
      <c r="N437" t="s">
        <v>382</v>
      </c>
      <c r="O437">
        <v>10035876</v>
      </c>
      <c r="P437" s="120">
        <v>43011</v>
      </c>
      <c r="Q437" s="120">
        <v>43013</v>
      </c>
      <c r="R437" s="120">
        <v>43053</v>
      </c>
      <c r="S437" t="s">
        <v>3119</v>
      </c>
      <c r="T437">
        <v>2</v>
      </c>
      <c r="U437" t="s">
        <v>128</v>
      </c>
      <c r="V437">
        <v>2</v>
      </c>
      <c r="W437">
        <v>2</v>
      </c>
      <c r="X437">
        <v>2</v>
      </c>
      <c r="Y437">
        <v>2</v>
      </c>
      <c r="Z437" t="s">
        <v>2730</v>
      </c>
      <c r="AA437" t="s">
        <v>2730</v>
      </c>
      <c r="AB437" t="s">
        <v>2732</v>
      </c>
      <c r="AC437" t="s">
        <v>2730</v>
      </c>
      <c r="AD437" t="s">
        <v>2730</v>
      </c>
      <c r="AE437" t="s">
        <v>2730</v>
      </c>
      <c r="AF437" t="s">
        <v>2730</v>
      </c>
      <c r="AG437" t="s">
        <v>2730</v>
      </c>
      <c r="AH437" t="s">
        <v>2730</v>
      </c>
    </row>
    <row r="438" spans="1:34">
      <c r="A438" s="149" t="str">
        <f>HYPERLINK("http://www.ofsted.gov.uk/inspection-reports/find-inspection-report/provider/ELS/121252 ","Ofsted School Webpage")</f>
        <v>Ofsted School Webpage</v>
      </c>
      <c r="B438">
        <v>121252</v>
      </c>
      <c r="C438">
        <v>9266145</v>
      </c>
      <c r="D438" t="s">
        <v>1189</v>
      </c>
      <c r="E438" t="s">
        <v>38</v>
      </c>
      <c r="F438" t="s">
        <v>1190</v>
      </c>
      <c r="G438" t="s">
        <v>1190</v>
      </c>
      <c r="H438" t="s">
        <v>2729</v>
      </c>
      <c r="I438" t="s">
        <v>2730</v>
      </c>
      <c r="J438" t="s">
        <v>186</v>
      </c>
      <c r="K438" t="s">
        <v>220</v>
      </c>
      <c r="L438" t="s">
        <v>220</v>
      </c>
      <c r="M438" t="s">
        <v>445</v>
      </c>
      <c r="N438" t="s">
        <v>1191</v>
      </c>
      <c r="O438">
        <v>10006010</v>
      </c>
      <c r="P438" s="120">
        <v>42318</v>
      </c>
      <c r="Q438" s="120">
        <v>42320</v>
      </c>
      <c r="R438" s="120">
        <v>42353</v>
      </c>
      <c r="S438" t="s">
        <v>196</v>
      </c>
      <c r="T438">
        <v>2</v>
      </c>
      <c r="U438" t="s">
        <v>128</v>
      </c>
      <c r="V438">
        <v>2</v>
      </c>
      <c r="W438">
        <v>2</v>
      </c>
      <c r="X438">
        <v>2</v>
      </c>
      <c r="Y438">
        <v>2</v>
      </c>
      <c r="Z438" t="s">
        <v>2730</v>
      </c>
      <c r="AA438">
        <v>3</v>
      </c>
      <c r="AB438" t="s">
        <v>2732</v>
      </c>
      <c r="AC438" t="s">
        <v>2730</v>
      </c>
      <c r="AD438" t="s">
        <v>2730</v>
      </c>
      <c r="AE438" s="120" t="s">
        <v>2730</v>
      </c>
      <c r="AF438" t="s">
        <v>2730</v>
      </c>
      <c r="AG438" s="120" t="s">
        <v>2730</v>
      </c>
      <c r="AH438" t="s">
        <v>2730</v>
      </c>
    </row>
    <row r="439" spans="1:34">
      <c r="A439" s="149" t="str">
        <f>HYPERLINK("http://www.ofsted.gov.uk/inspection-reports/find-inspection-report/provider/ELS/109342 ","Ofsted School Webpage")</f>
        <v>Ofsted School Webpage</v>
      </c>
      <c r="B439">
        <v>109342</v>
      </c>
      <c r="C439">
        <v>8016008</v>
      </c>
      <c r="D439" t="s">
        <v>360</v>
      </c>
      <c r="E439" t="s">
        <v>38</v>
      </c>
      <c r="F439" t="s">
        <v>184</v>
      </c>
      <c r="G439" t="s">
        <v>184</v>
      </c>
      <c r="H439" t="s">
        <v>2729</v>
      </c>
      <c r="I439" t="s">
        <v>2730</v>
      </c>
      <c r="J439" t="s">
        <v>186</v>
      </c>
      <c r="K439" t="s">
        <v>225</v>
      </c>
      <c r="L439" t="s">
        <v>225</v>
      </c>
      <c r="M439" t="s">
        <v>361</v>
      </c>
      <c r="N439" t="s">
        <v>362</v>
      </c>
      <c r="O439">
        <v>10006037</v>
      </c>
      <c r="P439" s="120">
        <v>42758</v>
      </c>
      <c r="Q439" s="120">
        <v>42760</v>
      </c>
      <c r="R439" s="120">
        <v>42794</v>
      </c>
      <c r="S439" t="s">
        <v>196</v>
      </c>
      <c r="T439">
        <v>3</v>
      </c>
      <c r="U439" t="s">
        <v>128</v>
      </c>
      <c r="V439">
        <v>3</v>
      </c>
      <c r="W439">
        <v>2</v>
      </c>
      <c r="X439">
        <v>3</v>
      </c>
      <c r="Y439">
        <v>3</v>
      </c>
      <c r="Z439" t="s">
        <v>2730</v>
      </c>
      <c r="AA439">
        <v>3</v>
      </c>
      <c r="AB439" t="s">
        <v>2733</v>
      </c>
      <c r="AC439">
        <v>10040215</v>
      </c>
      <c r="AD439" t="s">
        <v>187</v>
      </c>
      <c r="AE439" s="120">
        <v>43018</v>
      </c>
      <c r="AF439" t="s">
        <v>2771</v>
      </c>
      <c r="AG439" s="120">
        <v>43045</v>
      </c>
      <c r="AH439" t="s">
        <v>189</v>
      </c>
    </row>
    <row r="440" spans="1:34">
      <c r="A440" s="149" t="str">
        <f>HYPERLINK("http://www.ofsted.gov.uk/inspection-reports/find-inspection-report/provider/ELS/116584 ","Ofsted School Webpage")</f>
        <v>Ofsted School Webpage</v>
      </c>
      <c r="B440">
        <v>116584</v>
      </c>
      <c r="C440">
        <v>8506032</v>
      </c>
      <c r="D440" t="s">
        <v>1192</v>
      </c>
      <c r="E440" t="s">
        <v>38</v>
      </c>
      <c r="F440" t="s">
        <v>184</v>
      </c>
      <c r="G440" t="s">
        <v>413</v>
      </c>
      <c r="H440" t="s">
        <v>2729</v>
      </c>
      <c r="I440" t="s">
        <v>2730</v>
      </c>
      <c r="J440" t="s">
        <v>186</v>
      </c>
      <c r="K440" t="s">
        <v>181</v>
      </c>
      <c r="L440" t="s">
        <v>181</v>
      </c>
      <c r="M440" t="s">
        <v>201</v>
      </c>
      <c r="N440" t="s">
        <v>1193</v>
      </c>
      <c r="O440" t="s">
        <v>1194</v>
      </c>
      <c r="P440" s="120">
        <v>42073</v>
      </c>
      <c r="Q440" s="120">
        <v>42075</v>
      </c>
      <c r="R440" s="120">
        <v>42121</v>
      </c>
      <c r="S440" t="s">
        <v>196</v>
      </c>
      <c r="T440">
        <v>1</v>
      </c>
      <c r="U440" t="s">
        <v>2730</v>
      </c>
      <c r="V440">
        <v>1</v>
      </c>
      <c r="W440" t="s">
        <v>2730</v>
      </c>
      <c r="X440">
        <v>1</v>
      </c>
      <c r="Y440">
        <v>1</v>
      </c>
      <c r="Z440">
        <v>9</v>
      </c>
      <c r="AA440">
        <v>1</v>
      </c>
      <c r="AB440" t="s">
        <v>2730</v>
      </c>
      <c r="AC440" t="s">
        <v>2730</v>
      </c>
      <c r="AD440" t="s">
        <v>2730</v>
      </c>
      <c r="AE440" s="120" t="s">
        <v>2730</v>
      </c>
      <c r="AF440" t="s">
        <v>2730</v>
      </c>
      <c r="AG440" s="120" t="s">
        <v>2730</v>
      </c>
      <c r="AH440" t="s">
        <v>2730</v>
      </c>
    </row>
    <row r="441" spans="1:34">
      <c r="A441" s="149" t="str">
        <f>HYPERLINK("http://www.ofsted.gov.uk/inspection-reports/find-inspection-report/provider/ELS/135208 ","Ofsted School Webpage")</f>
        <v>Ofsted School Webpage</v>
      </c>
      <c r="B441">
        <v>135208</v>
      </c>
      <c r="C441">
        <v>3306115</v>
      </c>
      <c r="D441" t="s">
        <v>1844</v>
      </c>
      <c r="E441" t="s">
        <v>38</v>
      </c>
      <c r="F441" t="s">
        <v>184</v>
      </c>
      <c r="G441" t="s">
        <v>184</v>
      </c>
      <c r="H441" t="s">
        <v>2729</v>
      </c>
      <c r="I441" t="s">
        <v>2730</v>
      </c>
      <c r="J441" t="s">
        <v>186</v>
      </c>
      <c r="K441" t="s">
        <v>193</v>
      </c>
      <c r="L441" t="s">
        <v>193</v>
      </c>
      <c r="M441" t="s">
        <v>210</v>
      </c>
      <c r="N441" t="s">
        <v>1845</v>
      </c>
      <c r="O441">
        <v>10033570</v>
      </c>
      <c r="P441" s="120">
        <v>42892</v>
      </c>
      <c r="Q441" s="120">
        <v>42894</v>
      </c>
      <c r="R441" s="120">
        <v>42916</v>
      </c>
      <c r="S441" t="s">
        <v>196</v>
      </c>
      <c r="T441">
        <v>3</v>
      </c>
      <c r="U441" t="s">
        <v>128</v>
      </c>
      <c r="V441">
        <v>3</v>
      </c>
      <c r="W441">
        <v>3</v>
      </c>
      <c r="X441">
        <v>3</v>
      </c>
      <c r="Y441">
        <v>3</v>
      </c>
      <c r="Z441" t="s">
        <v>2730</v>
      </c>
      <c r="AA441" t="s">
        <v>2730</v>
      </c>
      <c r="AB441" t="s">
        <v>2733</v>
      </c>
      <c r="AC441" t="s">
        <v>2730</v>
      </c>
      <c r="AD441" t="s">
        <v>2730</v>
      </c>
      <c r="AE441" t="s">
        <v>2730</v>
      </c>
      <c r="AF441" t="s">
        <v>2730</v>
      </c>
      <c r="AG441" t="s">
        <v>2730</v>
      </c>
      <c r="AH441" t="s">
        <v>2730</v>
      </c>
    </row>
    <row r="442" spans="1:34">
      <c r="A442" s="149" t="str">
        <f>HYPERLINK("http://www.ofsted.gov.uk/inspection-reports/find-inspection-report/provider/ELS/131976 ","Ofsted School Webpage")</f>
        <v>Ofsted School Webpage</v>
      </c>
      <c r="B442">
        <v>131976</v>
      </c>
      <c r="C442">
        <v>9366579</v>
      </c>
      <c r="D442" t="s">
        <v>1857</v>
      </c>
      <c r="E442" t="s">
        <v>38</v>
      </c>
      <c r="F442" t="s">
        <v>184</v>
      </c>
      <c r="G442" t="s">
        <v>441</v>
      </c>
      <c r="H442" t="s">
        <v>2729</v>
      </c>
      <c r="I442" t="s">
        <v>2730</v>
      </c>
      <c r="J442" t="s">
        <v>186</v>
      </c>
      <c r="K442" t="s">
        <v>181</v>
      </c>
      <c r="L442" t="s">
        <v>181</v>
      </c>
      <c r="M442" t="s">
        <v>582</v>
      </c>
      <c r="N442" t="s">
        <v>1858</v>
      </c>
      <c r="O442">
        <v>10020834</v>
      </c>
      <c r="P442" s="120">
        <v>42626</v>
      </c>
      <c r="Q442" s="120">
        <v>42628</v>
      </c>
      <c r="R442" s="120">
        <v>42654</v>
      </c>
      <c r="S442" t="s">
        <v>196</v>
      </c>
      <c r="T442">
        <v>1</v>
      </c>
      <c r="U442" t="s">
        <v>128</v>
      </c>
      <c r="V442">
        <v>1</v>
      </c>
      <c r="W442">
        <v>1</v>
      </c>
      <c r="X442">
        <v>1</v>
      </c>
      <c r="Y442">
        <v>1</v>
      </c>
      <c r="Z442" t="s">
        <v>2730</v>
      </c>
      <c r="AA442">
        <v>1</v>
      </c>
      <c r="AB442" t="s">
        <v>2732</v>
      </c>
      <c r="AC442" t="s">
        <v>2730</v>
      </c>
      <c r="AD442" t="s">
        <v>2730</v>
      </c>
      <c r="AE442" s="120" t="s">
        <v>2730</v>
      </c>
      <c r="AF442" t="s">
        <v>2730</v>
      </c>
      <c r="AG442" s="120" t="s">
        <v>2730</v>
      </c>
      <c r="AH442" t="s">
        <v>2730</v>
      </c>
    </row>
    <row r="443" spans="1:34">
      <c r="A443" s="149" t="str">
        <f>HYPERLINK("http://www.ofsted.gov.uk/inspection-reports/find-inspection-report/provider/ELS/131327 ","Ofsted School Webpage")</f>
        <v>Ofsted School Webpage</v>
      </c>
      <c r="B443">
        <v>131327</v>
      </c>
      <c r="C443">
        <v>8306033</v>
      </c>
      <c r="D443" t="s">
        <v>1859</v>
      </c>
      <c r="E443" t="s">
        <v>38</v>
      </c>
      <c r="F443" t="s">
        <v>184</v>
      </c>
      <c r="G443" t="s">
        <v>184</v>
      </c>
      <c r="H443" t="s">
        <v>2729</v>
      </c>
      <c r="I443" t="s">
        <v>2730</v>
      </c>
      <c r="J443" t="s">
        <v>186</v>
      </c>
      <c r="K443" t="s">
        <v>214</v>
      </c>
      <c r="L443" t="s">
        <v>214</v>
      </c>
      <c r="M443" t="s">
        <v>364</v>
      </c>
      <c r="N443" t="s">
        <v>1860</v>
      </c>
      <c r="O443">
        <v>10008603</v>
      </c>
      <c r="P443" s="120">
        <v>42507</v>
      </c>
      <c r="Q443" s="120">
        <v>42509</v>
      </c>
      <c r="R443" s="120">
        <v>42559</v>
      </c>
      <c r="S443" t="s">
        <v>196</v>
      </c>
      <c r="T443">
        <v>1</v>
      </c>
      <c r="U443" t="s">
        <v>128</v>
      </c>
      <c r="V443">
        <v>1</v>
      </c>
      <c r="W443">
        <v>1</v>
      </c>
      <c r="X443">
        <v>1</v>
      </c>
      <c r="Y443">
        <v>1</v>
      </c>
      <c r="Z443" t="s">
        <v>2730</v>
      </c>
      <c r="AA443" t="s">
        <v>2730</v>
      </c>
      <c r="AB443" t="s">
        <v>2732</v>
      </c>
      <c r="AC443" t="s">
        <v>2730</v>
      </c>
      <c r="AD443" t="s">
        <v>2730</v>
      </c>
      <c r="AE443" t="s">
        <v>2730</v>
      </c>
      <c r="AF443" t="s">
        <v>2730</v>
      </c>
      <c r="AG443" t="s">
        <v>2730</v>
      </c>
      <c r="AH443" t="s">
        <v>2730</v>
      </c>
    </row>
    <row r="444" spans="1:34">
      <c r="A444" s="149" t="str">
        <f>HYPERLINK("http://www.ofsted.gov.uk/inspection-reports/find-inspection-report/provider/ELS/131356 ","Ofsted School Webpage")</f>
        <v>Ofsted School Webpage</v>
      </c>
      <c r="B444">
        <v>131356</v>
      </c>
      <c r="C444">
        <v>8466043</v>
      </c>
      <c r="D444" t="s">
        <v>430</v>
      </c>
      <c r="E444" t="s">
        <v>38</v>
      </c>
      <c r="F444" t="s">
        <v>184</v>
      </c>
      <c r="G444" t="s">
        <v>184</v>
      </c>
      <c r="H444" t="s">
        <v>2729</v>
      </c>
      <c r="I444" t="s">
        <v>2730</v>
      </c>
      <c r="J444" t="s">
        <v>186</v>
      </c>
      <c r="K444" t="s">
        <v>181</v>
      </c>
      <c r="L444" t="s">
        <v>181</v>
      </c>
      <c r="M444" t="s">
        <v>409</v>
      </c>
      <c r="N444" t="s">
        <v>431</v>
      </c>
      <c r="O444">
        <v>10033682</v>
      </c>
      <c r="P444" s="120">
        <v>42858</v>
      </c>
      <c r="Q444" s="120">
        <v>42860</v>
      </c>
      <c r="R444" s="120">
        <v>42901</v>
      </c>
      <c r="S444" t="s">
        <v>196</v>
      </c>
      <c r="T444">
        <v>4</v>
      </c>
      <c r="U444" t="s">
        <v>129</v>
      </c>
      <c r="V444">
        <v>4</v>
      </c>
      <c r="W444">
        <v>4</v>
      </c>
      <c r="X444">
        <v>2</v>
      </c>
      <c r="Y444">
        <v>2</v>
      </c>
      <c r="Z444" t="s">
        <v>2730</v>
      </c>
      <c r="AA444" t="s">
        <v>2730</v>
      </c>
      <c r="AB444" t="s">
        <v>2733</v>
      </c>
      <c r="AC444">
        <v>10040672</v>
      </c>
      <c r="AD444" t="s">
        <v>187</v>
      </c>
      <c r="AE444" s="120">
        <v>42991</v>
      </c>
      <c r="AF444" t="s">
        <v>2771</v>
      </c>
      <c r="AG444" s="120">
        <v>43012</v>
      </c>
      <c r="AH444" t="s">
        <v>189</v>
      </c>
    </row>
    <row r="445" spans="1:34">
      <c r="A445" s="149" t="str">
        <f>HYPERLINK("http://www.ofsted.gov.uk/inspection-reports/find-inspection-report/provider/ELS/116589 ","Ofsted School Webpage")</f>
        <v>Ofsted School Webpage</v>
      </c>
      <c r="B445">
        <v>116589</v>
      </c>
      <c r="C445">
        <v>8506005</v>
      </c>
      <c r="D445" t="s">
        <v>1577</v>
      </c>
      <c r="E445" t="s">
        <v>38</v>
      </c>
      <c r="F445" t="s">
        <v>184</v>
      </c>
      <c r="G445" t="s">
        <v>184</v>
      </c>
      <c r="H445" t="s">
        <v>2729</v>
      </c>
      <c r="I445" t="s">
        <v>2730</v>
      </c>
      <c r="J445" t="s">
        <v>186</v>
      </c>
      <c r="K445" t="s">
        <v>181</v>
      </c>
      <c r="L445" t="s">
        <v>181</v>
      </c>
      <c r="M445" t="s">
        <v>201</v>
      </c>
      <c r="N445" t="s">
        <v>1578</v>
      </c>
      <c r="O445" t="s">
        <v>1579</v>
      </c>
      <c r="P445" s="120">
        <v>42200</v>
      </c>
      <c r="Q445" s="120">
        <v>42202</v>
      </c>
      <c r="R445" s="120">
        <v>42249</v>
      </c>
      <c r="S445" t="s">
        <v>3119</v>
      </c>
      <c r="T445">
        <v>2</v>
      </c>
      <c r="U445" t="s">
        <v>2730</v>
      </c>
      <c r="V445">
        <v>2</v>
      </c>
      <c r="W445" t="s">
        <v>2730</v>
      </c>
      <c r="X445">
        <v>2</v>
      </c>
      <c r="Y445">
        <v>2</v>
      </c>
      <c r="Z445">
        <v>9</v>
      </c>
      <c r="AA445">
        <v>2</v>
      </c>
      <c r="AB445" t="s">
        <v>2730</v>
      </c>
      <c r="AC445" t="s">
        <v>2730</v>
      </c>
      <c r="AD445" t="s">
        <v>2730</v>
      </c>
      <c r="AE445" s="120" t="s">
        <v>2730</v>
      </c>
      <c r="AF445" t="s">
        <v>2730</v>
      </c>
      <c r="AG445" s="120" t="s">
        <v>2730</v>
      </c>
      <c r="AH445" t="s">
        <v>2730</v>
      </c>
    </row>
    <row r="446" spans="1:34">
      <c r="A446" s="149" t="str">
        <f>HYPERLINK("http://www.ofsted.gov.uk/inspection-reports/find-inspection-report/provider/ELS/132775 ","Ofsted School Webpage")</f>
        <v>Ofsted School Webpage</v>
      </c>
      <c r="B446">
        <v>132775</v>
      </c>
      <c r="C446">
        <v>8656034</v>
      </c>
      <c r="D446" t="s">
        <v>1134</v>
      </c>
      <c r="E446" t="s">
        <v>38</v>
      </c>
      <c r="F446" t="s">
        <v>184</v>
      </c>
      <c r="G446" t="s">
        <v>184</v>
      </c>
      <c r="H446" t="s">
        <v>2729</v>
      </c>
      <c r="I446" t="s">
        <v>2730</v>
      </c>
      <c r="J446" t="s">
        <v>186</v>
      </c>
      <c r="K446" t="s">
        <v>225</v>
      </c>
      <c r="L446" t="s">
        <v>225</v>
      </c>
      <c r="M446" t="s">
        <v>226</v>
      </c>
      <c r="N446" t="s">
        <v>1135</v>
      </c>
      <c r="O446">
        <v>10006330</v>
      </c>
      <c r="P446" s="120">
        <v>42339</v>
      </c>
      <c r="Q446" s="120">
        <v>42341</v>
      </c>
      <c r="R446" s="120">
        <v>42395</v>
      </c>
      <c r="S446" t="s">
        <v>3119</v>
      </c>
      <c r="T446">
        <v>2</v>
      </c>
      <c r="U446" t="s">
        <v>128</v>
      </c>
      <c r="V446">
        <v>2</v>
      </c>
      <c r="W446">
        <v>2</v>
      </c>
      <c r="X446">
        <v>2</v>
      </c>
      <c r="Y446">
        <v>2</v>
      </c>
      <c r="Z446" t="s">
        <v>2730</v>
      </c>
      <c r="AA446" t="s">
        <v>2730</v>
      </c>
      <c r="AB446" t="s">
        <v>2732</v>
      </c>
      <c r="AC446" t="s">
        <v>2730</v>
      </c>
      <c r="AD446" t="s">
        <v>2730</v>
      </c>
      <c r="AE446" t="s">
        <v>2730</v>
      </c>
      <c r="AF446" t="s">
        <v>2730</v>
      </c>
      <c r="AG446" t="s">
        <v>2730</v>
      </c>
      <c r="AH446" t="s">
        <v>2730</v>
      </c>
    </row>
    <row r="447" spans="1:34">
      <c r="A447" s="149" t="str">
        <f>HYPERLINK("http://www.ofsted.gov.uk/inspection-reports/find-inspection-report/provider/ELS/138880 ","Ofsted School Webpage")</f>
        <v>Ofsted School Webpage</v>
      </c>
      <c r="B447">
        <v>138880</v>
      </c>
      <c r="C447">
        <v>9266009</v>
      </c>
      <c r="D447" t="s">
        <v>1488</v>
      </c>
      <c r="E447" t="s">
        <v>38</v>
      </c>
      <c r="F447" t="s">
        <v>184</v>
      </c>
      <c r="G447" t="s">
        <v>184</v>
      </c>
      <c r="H447" t="s">
        <v>2729</v>
      </c>
      <c r="I447" t="s">
        <v>2730</v>
      </c>
      <c r="J447" t="s">
        <v>186</v>
      </c>
      <c r="K447" t="s">
        <v>220</v>
      </c>
      <c r="L447" t="s">
        <v>220</v>
      </c>
      <c r="M447" t="s">
        <v>445</v>
      </c>
      <c r="N447" t="s">
        <v>1489</v>
      </c>
      <c r="O447">
        <v>10020822</v>
      </c>
      <c r="P447" s="120">
        <v>42871</v>
      </c>
      <c r="Q447" s="120">
        <v>42873</v>
      </c>
      <c r="R447" s="120">
        <v>42920</v>
      </c>
      <c r="S447" t="s">
        <v>3119</v>
      </c>
      <c r="T447">
        <v>1</v>
      </c>
      <c r="U447" t="s">
        <v>128</v>
      </c>
      <c r="V447">
        <v>1</v>
      </c>
      <c r="W447">
        <v>1</v>
      </c>
      <c r="X447">
        <v>1</v>
      </c>
      <c r="Y447">
        <v>1</v>
      </c>
      <c r="Z447" t="s">
        <v>2730</v>
      </c>
      <c r="AA447">
        <v>1</v>
      </c>
      <c r="AB447" t="s">
        <v>2732</v>
      </c>
      <c r="AC447" t="s">
        <v>2730</v>
      </c>
      <c r="AD447" t="s">
        <v>2730</v>
      </c>
      <c r="AE447" t="s">
        <v>2730</v>
      </c>
      <c r="AF447" t="s">
        <v>2730</v>
      </c>
      <c r="AG447" t="s">
        <v>2730</v>
      </c>
      <c r="AH447" t="s">
        <v>2730</v>
      </c>
    </row>
    <row r="448" spans="1:34">
      <c r="A448" s="149" t="str">
        <f>HYPERLINK("http://www.ofsted.gov.uk/inspection-reports/find-inspection-report/provider/ELS/139901 ","Ofsted School Webpage")</f>
        <v>Ofsted School Webpage</v>
      </c>
      <c r="B448">
        <v>139901</v>
      </c>
      <c r="C448">
        <v>3806008</v>
      </c>
      <c r="D448" t="s">
        <v>1490</v>
      </c>
      <c r="E448" t="s">
        <v>38</v>
      </c>
      <c r="F448" t="s">
        <v>184</v>
      </c>
      <c r="G448" t="s">
        <v>184</v>
      </c>
      <c r="H448" t="s">
        <v>2729</v>
      </c>
      <c r="I448" t="s">
        <v>2730</v>
      </c>
      <c r="J448" t="s">
        <v>186</v>
      </c>
      <c r="K448" t="s">
        <v>245</v>
      </c>
      <c r="L448" t="s">
        <v>246</v>
      </c>
      <c r="M448" t="s">
        <v>339</v>
      </c>
      <c r="N448" t="s">
        <v>1491</v>
      </c>
      <c r="O448">
        <v>10033922</v>
      </c>
      <c r="P448" s="120">
        <v>42864</v>
      </c>
      <c r="Q448" s="120">
        <v>42866</v>
      </c>
      <c r="R448" s="120">
        <v>43011</v>
      </c>
      <c r="S448" t="s">
        <v>196</v>
      </c>
      <c r="T448">
        <v>4</v>
      </c>
      <c r="U448" t="s">
        <v>129</v>
      </c>
      <c r="V448">
        <v>4</v>
      </c>
      <c r="W448">
        <v>4</v>
      </c>
      <c r="X448">
        <v>4</v>
      </c>
      <c r="Y448">
        <v>4</v>
      </c>
      <c r="Z448" t="s">
        <v>2730</v>
      </c>
      <c r="AA448" t="s">
        <v>2730</v>
      </c>
      <c r="AB448" t="s">
        <v>2733</v>
      </c>
      <c r="AC448" t="s">
        <v>2730</v>
      </c>
      <c r="AD448" t="s">
        <v>2730</v>
      </c>
      <c r="AE448" t="s">
        <v>2730</v>
      </c>
      <c r="AF448" t="s">
        <v>2730</v>
      </c>
      <c r="AG448" t="s">
        <v>2730</v>
      </c>
      <c r="AH448" t="s">
        <v>2730</v>
      </c>
    </row>
    <row r="449" spans="1:34">
      <c r="A449" s="149" t="str">
        <f>HYPERLINK("http://www.ofsted.gov.uk/inspection-reports/find-inspection-report/provider/ELS/112461 ","Ofsted School Webpage")</f>
        <v>Ofsted School Webpage</v>
      </c>
      <c r="B449">
        <v>112461</v>
      </c>
      <c r="C449">
        <v>9096044</v>
      </c>
      <c r="D449" t="s">
        <v>1492</v>
      </c>
      <c r="E449" t="s">
        <v>38</v>
      </c>
      <c r="F449" t="s">
        <v>184</v>
      </c>
      <c r="G449" t="s">
        <v>184</v>
      </c>
      <c r="H449" t="s">
        <v>2729</v>
      </c>
      <c r="I449" t="s">
        <v>2730</v>
      </c>
      <c r="J449" t="s">
        <v>186</v>
      </c>
      <c r="K449" t="s">
        <v>205</v>
      </c>
      <c r="L449" t="s">
        <v>205</v>
      </c>
      <c r="M449" t="s">
        <v>947</v>
      </c>
      <c r="N449" t="s">
        <v>1493</v>
      </c>
      <c r="O449" t="s">
        <v>1494</v>
      </c>
      <c r="P449" s="120">
        <v>41093</v>
      </c>
      <c r="Q449" s="120">
        <v>41094</v>
      </c>
      <c r="R449" s="120">
        <v>41162</v>
      </c>
      <c r="S449" t="s">
        <v>267</v>
      </c>
      <c r="T449">
        <v>2</v>
      </c>
      <c r="U449" t="s">
        <v>2730</v>
      </c>
      <c r="V449" t="s">
        <v>2730</v>
      </c>
      <c r="W449" t="s">
        <v>2730</v>
      </c>
      <c r="X449">
        <v>2</v>
      </c>
      <c r="Y449">
        <v>2</v>
      </c>
      <c r="Z449">
        <v>8</v>
      </c>
      <c r="AA449" t="s">
        <v>2730</v>
      </c>
      <c r="AB449" t="s">
        <v>2730</v>
      </c>
      <c r="AC449" t="s">
        <v>2730</v>
      </c>
      <c r="AD449" t="s">
        <v>2730</v>
      </c>
      <c r="AE449" t="s">
        <v>2730</v>
      </c>
      <c r="AF449" t="s">
        <v>2730</v>
      </c>
      <c r="AG449" t="s">
        <v>2730</v>
      </c>
      <c r="AH449" t="s">
        <v>2730</v>
      </c>
    </row>
    <row r="450" spans="1:34">
      <c r="A450" s="149" t="str">
        <f>HYPERLINK("http://www.ofsted.gov.uk/inspection-reports/find-inspection-report/provider/ELS/138132 ","Ofsted School Webpage")</f>
        <v>Ofsted School Webpage</v>
      </c>
      <c r="B450">
        <v>138132</v>
      </c>
      <c r="C450">
        <v>8026010</v>
      </c>
      <c r="D450" t="s">
        <v>1922</v>
      </c>
      <c r="E450" t="s">
        <v>38</v>
      </c>
      <c r="F450" t="s">
        <v>184</v>
      </c>
      <c r="G450" t="s">
        <v>184</v>
      </c>
      <c r="H450" t="s">
        <v>2729</v>
      </c>
      <c r="I450" t="s">
        <v>2730</v>
      </c>
      <c r="J450" t="s">
        <v>186</v>
      </c>
      <c r="K450" t="s">
        <v>225</v>
      </c>
      <c r="L450" t="s">
        <v>225</v>
      </c>
      <c r="M450" t="s">
        <v>1610</v>
      </c>
      <c r="N450" t="s">
        <v>1923</v>
      </c>
      <c r="O450">
        <v>10008578</v>
      </c>
      <c r="P450" s="120">
        <v>42633</v>
      </c>
      <c r="Q450" s="120">
        <v>42635</v>
      </c>
      <c r="R450" s="120">
        <v>42681</v>
      </c>
      <c r="S450" t="s">
        <v>196</v>
      </c>
      <c r="T450">
        <v>2</v>
      </c>
      <c r="U450" t="s">
        <v>128</v>
      </c>
      <c r="V450">
        <v>2</v>
      </c>
      <c r="W450">
        <v>2</v>
      </c>
      <c r="X450">
        <v>2</v>
      </c>
      <c r="Y450">
        <v>2</v>
      </c>
      <c r="Z450" t="s">
        <v>2730</v>
      </c>
      <c r="AA450" t="s">
        <v>2730</v>
      </c>
      <c r="AB450" t="s">
        <v>2732</v>
      </c>
      <c r="AC450" t="s">
        <v>2730</v>
      </c>
      <c r="AD450" t="s">
        <v>2730</v>
      </c>
      <c r="AE450" t="s">
        <v>2730</v>
      </c>
      <c r="AF450" t="s">
        <v>2730</v>
      </c>
      <c r="AG450" t="s">
        <v>2730</v>
      </c>
      <c r="AH450" t="s">
        <v>2730</v>
      </c>
    </row>
    <row r="451" spans="1:34">
      <c r="A451" s="149" t="str">
        <f>HYPERLINK("http://www.ofsted.gov.uk/inspection-reports/find-inspection-report/provider/ELS/133478 ","Ofsted School Webpage")</f>
        <v>Ofsted School Webpage</v>
      </c>
      <c r="B451">
        <v>133478</v>
      </c>
      <c r="C451">
        <v>8936025</v>
      </c>
      <c r="D451" t="s">
        <v>405</v>
      </c>
      <c r="E451" t="s">
        <v>38</v>
      </c>
      <c r="F451" t="s">
        <v>184</v>
      </c>
      <c r="G451" t="s">
        <v>184</v>
      </c>
      <c r="H451" t="s">
        <v>2729</v>
      </c>
      <c r="I451" t="s">
        <v>2730</v>
      </c>
      <c r="J451" t="s">
        <v>186</v>
      </c>
      <c r="K451" t="s">
        <v>193</v>
      </c>
      <c r="L451" t="s">
        <v>193</v>
      </c>
      <c r="M451" t="s">
        <v>194</v>
      </c>
      <c r="N451" t="s">
        <v>406</v>
      </c>
      <c r="O451" t="s">
        <v>1868</v>
      </c>
      <c r="P451" s="120">
        <v>42185</v>
      </c>
      <c r="Q451" s="120">
        <v>42187</v>
      </c>
      <c r="R451" s="120">
        <v>42212</v>
      </c>
      <c r="S451" t="s">
        <v>196</v>
      </c>
      <c r="T451">
        <v>2</v>
      </c>
      <c r="U451" t="s">
        <v>2730</v>
      </c>
      <c r="V451">
        <v>2</v>
      </c>
      <c r="W451" t="s">
        <v>2730</v>
      </c>
      <c r="X451">
        <v>2</v>
      </c>
      <c r="Y451">
        <v>2</v>
      </c>
      <c r="Z451">
        <v>9</v>
      </c>
      <c r="AA451">
        <v>2</v>
      </c>
      <c r="AB451" t="s">
        <v>2730</v>
      </c>
      <c r="AC451" t="s">
        <v>2730</v>
      </c>
      <c r="AD451" t="s">
        <v>2730</v>
      </c>
      <c r="AE451" t="s">
        <v>2730</v>
      </c>
      <c r="AF451" t="s">
        <v>2730</v>
      </c>
      <c r="AG451" t="s">
        <v>2730</v>
      </c>
      <c r="AH451" t="s">
        <v>2730</v>
      </c>
    </row>
    <row r="452" spans="1:34">
      <c r="A452" s="149" t="str">
        <f>HYPERLINK("http://www.ofsted.gov.uk/inspection-reports/find-inspection-report/provider/ELS/136220 ","Ofsted School Webpage")</f>
        <v>Ofsted School Webpage</v>
      </c>
      <c r="B452">
        <v>136220</v>
      </c>
      <c r="C452">
        <v>8616004</v>
      </c>
      <c r="D452" t="s">
        <v>1869</v>
      </c>
      <c r="E452" t="s">
        <v>38</v>
      </c>
      <c r="F452" t="s">
        <v>184</v>
      </c>
      <c r="G452" t="s">
        <v>184</v>
      </c>
      <c r="H452" t="s">
        <v>2729</v>
      </c>
      <c r="I452" t="s">
        <v>2730</v>
      </c>
      <c r="J452" t="s">
        <v>186</v>
      </c>
      <c r="K452" t="s">
        <v>193</v>
      </c>
      <c r="L452" t="s">
        <v>193</v>
      </c>
      <c r="M452" t="s">
        <v>492</v>
      </c>
      <c r="N452" t="s">
        <v>1870</v>
      </c>
      <c r="O452" t="s">
        <v>1871</v>
      </c>
      <c r="P452" s="120">
        <v>41975</v>
      </c>
      <c r="Q452" s="120">
        <v>41977</v>
      </c>
      <c r="R452" s="120">
        <v>41996</v>
      </c>
      <c r="S452" t="s">
        <v>196</v>
      </c>
      <c r="T452">
        <v>1</v>
      </c>
      <c r="U452" t="s">
        <v>2730</v>
      </c>
      <c r="V452">
        <v>1</v>
      </c>
      <c r="W452" t="s">
        <v>2730</v>
      </c>
      <c r="X452">
        <v>1</v>
      </c>
      <c r="Y452">
        <v>1</v>
      </c>
      <c r="Z452">
        <v>9</v>
      </c>
      <c r="AA452">
        <v>1</v>
      </c>
      <c r="AB452" t="s">
        <v>2730</v>
      </c>
      <c r="AC452" t="s">
        <v>2730</v>
      </c>
      <c r="AD452" t="s">
        <v>2730</v>
      </c>
      <c r="AE452" t="s">
        <v>2730</v>
      </c>
      <c r="AF452" t="s">
        <v>2730</v>
      </c>
      <c r="AG452" t="s">
        <v>2730</v>
      </c>
      <c r="AH452" t="s">
        <v>2730</v>
      </c>
    </row>
    <row r="453" spans="1:34">
      <c r="A453" s="149" t="str">
        <f>HYPERLINK("http://www.ofsted.gov.uk/inspection-reports/find-inspection-report/provider/ELS/135608 ","Ofsted School Webpage")</f>
        <v>Ofsted School Webpage</v>
      </c>
      <c r="B453">
        <v>135608</v>
      </c>
      <c r="C453">
        <v>3306129</v>
      </c>
      <c r="D453" t="s">
        <v>208</v>
      </c>
      <c r="E453" t="s">
        <v>37</v>
      </c>
      <c r="F453" t="s">
        <v>184</v>
      </c>
      <c r="G453" t="s">
        <v>212</v>
      </c>
      <c r="H453" t="s">
        <v>2729</v>
      </c>
      <c r="I453" t="s">
        <v>2730</v>
      </c>
      <c r="J453" t="s">
        <v>186</v>
      </c>
      <c r="K453" t="s">
        <v>193</v>
      </c>
      <c r="L453" t="s">
        <v>193</v>
      </c>
      <c r="M453" t="s">
        <v>210</v>
      </c>
      <c r="N453" t="s">
        <v>211</v>
      </c>
      <c r="O453">
        <v>10006093</v>
      </c>
      <c r="P453" s="120">
        <v>43011</v>
      </c>
      <c r="Q453" s="120">
        <v>43013</v>
      </c>
      <c r="R453" s="120">
        <v>43045</v>
      </c>
      <c r="S453" t="s">
        <v>196</v>
      </c>
      <c r="T453">
        <v>2</v>
      </c>
      <c r="U453" t="s">
        <v>128</v>
      </c>
      <c r="V453">
        <v>2</v>
      </c>
      <c r="W453">
        <v>2</v>
      </c>
      <c r="X453">
        <v>2</v>
      </c>
      <c r="Y453">
        <v>2</v>
      </c>
      <c r="Z453" t="s">
        <v>2730</v>
      </c>
      <c r="AA453" t="s">
        <v>2730</v>
      </c>
      <c r="AB453" t="s">
        <v>2732</v>
      </c>
      <c r="AC453" t="s">
        <v>2730</v>
      </c>
      <c r="AD453" t="s">
        <v>2730</v>
      </c>
      <c r="AE453" t="s">
        <v>2730</v>
      </c>
      <c r="AF453" t="s">
        <v>2730</v>
      </c>
      <c r="AG453" t="s">
        <v>2730</v>
      </c>
      <c r="AH453" t="s">
        <v>2730</v>
      </c>
    </row>
    <row r="454" spans="1:34">
      <c r="A454" s="149" t="str">
        <f>HYPERLINK("http://www.ofsted.gov.uk/inspection-reports/find-inspection-report/provider/ELS/126620 ","Ofsted School Webpage")</f>
        <v>Ofsted School Webpage</v>
      </c>
      <c r="B454">
        <v>126620</v>
      </c>
      <c r="C454">
        <v>3176077</v>
      </c>
      <c r="D454" t="s">
        <v>3051</v>
      </c>
      <c r="E454" t="s">
        <v>37</v>
      </c>
      <c r="F454" t="s">
        <v>223</v>
      </c>
      <c r="G454" t="s">
        <v>223</v>
      </c>
      <c r="H454" t="s">
        <v>2729</v>
      </c>
      <c r="I454" t="s">
        <v>2730</v>
      </c>
      <c r="J454" t="s">
        <v>186</v>
      </c>
      <c r="K454" t="s">
        <v>232</v>
      </c>
      <c r="L454" t="s">
        <v>232</v>
      </c>
      <c r="M454" t="s">
        <v>805</v>
      </c>
      <c r="N454" t="s">
        <v>3052</v>
      </c>
      <c r="O454">
        <v>10012986</v>
      </c>
      <c r="P454" s="120">
        <v>42570</v>
      </c>
      <c r="Q454" s="120">
        <v>42572</v>
      </c>
      <c r="R454" s="120">
        <v>42741</v>
      </c>
      <c r="S454" t="s">
        <v>196</v>
      </c>
      <c r="T454">
        <v>3</v>
      </c>
      <c r="U454" t="s">
        <v>128</v>
      </c>
      <c r="V454">
        <v>3</v>
      </c>
      <c r="W454">
        <v>2</v>
      </c>
      <c r="X454">
        <v>3</v>
      </c>
      <c r="Y454">
        <v>3</v>
      </c>
      <c r="Z454">
        <v>3</v>
      </c>
      <c r="AA454" t="s">
        <v>2730</v>
      </c>
      <c r="AB454" t="s">
        <v>2732</v>
      </c>
      <c r="AC454" t="s">
        <v>2730</v>
      </c>
      <c r="AD454" t="s">
        <v>2730</v>
      </c>
      <c r="AE454" s="120" t="s">
        <v>2730</v>
      </c>
      <c r="AF454" t="s">
        <v>2730</v>
      </c>
      <c r="AG454" s="120" t="s">
        <v>2730</v>
      </c>
      <c r="AH454" t="s">
        <v>2730</v>
      </c>
    </row>
    <row r="455" spans="1:34">
      <c r="A455" s="149" t="str">
        <f>HYPERLINK("http://www.ofsted.gov.uk/inspection-reports/find-inspection-report/provider/ELS/135406 ","Ofsted School Webpage")</f>
        <v>Ofsted School Webpage</v>
      </c>
      <c r="B455">
        <v>135406</v>
      </c>
      <c r="C455">
        <v>3306120</v>
      </c>
      <c r="D455" t="s">
        <v>1604</v>
      </c>
      <c r="E455" t="s">
        <v>37</v>
      </c>
      <c r="F455" t="s">
        <v>184</v>
      </c>
      <c r="G455" t="s">
        <v>184</v>
      </c>
      <c r="H455" t="s">
        <v>2729</v>
      </c>
      <c r="I455" t="s">
        <v>2730</v>
      </c>
      <c r="J455" t="s">
        <v>186</v>
      </c>
      <c r="K455" t="s">
        <v>193</v>
      </c>
      <c r="L455" t="s">
        <v>193</v>
      </c>
      <c r="M455" t="s">
        <v>210</v>
      </c>
      <c r="N455" t="s">
        <v>1605</v>
      </c>
      <c r="O455">
        <v>10020748</v>
      </c>
      <c r="P455" s="120">
        <v>43025</v>
      </c>
      <c r="Q455" s="120">
        <v>43027</v>
      </c>
      <c r="R455" s="120">
        <v>43070</v>
      </c>
      <c r="S455" t="s">
        <v>196</v>
      </c>
      <c r="T455">
        <v>4</v>
      </c>
      <c r="U455" t="s">
        <v>129</v>
      </c>
      <c r="V455">
        <v>4</v>
      </c>
      <c r="W455">
        <v>4</v>
      </c>
      <c r="X455">
        <v>4</v>
      </c>
      <c r="Y455">
        <v>3</v>
      </c>
      <c r="Z455" t="s">
        <v>2730</v>
      </c>
      <c r="AA455" t="s">
        <v>2730</v>
      </c>
      <c r="AB455" t="s">
        <v>2733</v>
      </c>
      <c r="AC455" t="s">
        <v>2730</v>
      </c>
      <c r="AD455" t="s">
        <v>2730</v>
      </c>
      <c r="AE455" t="s">
        <v>2730</v>
      </c>
      <c r="AF455" t="s">
        <v>2730</v>
      </c>
      <c r="AG455" t="s">
        <v>2730</v>
      </c>
      <c r="AH455" t="s">
        <v>2730</v>
      </c>
    </row>
    <row r="456" spans="1:34">
      <c r="A456" s="149" t="str">
        <f>HYPERLINK("http://www.ofsted.gov.uk/inspection-reports/find-inspection-report/provider/ELS/100537 ","Ofsted School Webpage")</f>
        <v>Ofsted School Webpage</v>
      </c>
      <c r="B456">
        <v>100537</v>
      </c>
      <c r="C456">
        <v>2076348</v>
      </c>
      <c r="D456" t="s">
        <v>1606</v>
      </c>
      <c r="E456" t="s">
        <v>37</v>
      </c>
      <c r="F456" t="s">
        <v>184</v>
      </c>
      <c r="G456" t="s">
        <v>184</v>
      </c>
      <c r="H456" t="s">
        <v>2729</v>
      </c>
      <c r="I456" t="s">
        <v>2730</v>
      </c>
      <c r="J456" t="s">
        <v>186</v>
      </c>
      <c r="K456" t="s">
        <v>232</v>
      </c>
      <c r="L456" t="s">
        <v>232</v>
      </c>
      <c r="M456" t="s">
        <v>294</v>
      </c>
      <c r="N456" t="s">
        <v>1607</v>
      </c>
      <c r="O456" t="s">
        <v>1608</v>
      </c>
      <c r="P456" s="120">
        <v>40513</v>
      </c>
      <c r="Q456" s="120">
        <v>40514</v>
      </c>
      <c r="R456" s="120">
        <v>40555</v>
      </c>
      <c r="S456" t="s">
        <v>196</v>
      </c>
      <c r="T456">
        <v>1</v>
      </c>
      <c r="U456" t="s">
        <v>2730</v>
      </c>
      <c r="V456" t="s">
        <v>2730</v>
      </c>
      <c r="W456" t="s">
        <v>2730</v>
      </c>
      <c r="X456">
        <v>1</v>
      </c>
      <c r="Y456">
        <v>1</v>
      </c>
      <c r="Z456">
        <v>8</v>
      </c>
      <c r="AA456" t="s">
        <v>2730</v>
      </c>
      <c r="AB456" t="s">
        <v>2730</v>
      </c>
      <c r="AC456" t="s">
        <v>2730</v>
      </c>
      <c r="AD456" t="s">
        <v>2730</v>
      </c>
      <c r="AE456" t="s">
        <v>2730</v>
      </c>
      <c r="AF456" t="s">
        <v>2730</v>
      </c>
      <c r="AG456" t="s">
        <v>2730</v>
      </c>
      <c r="AH456" t="s">
        <v>2730</v>
      </c>
    </row>
    <row r="457" spans="1:34">
      <c r="A457" s="149" t="str">
        <f>HYPERLINK("http://www.ofsted.gov.uk/inspection-reports/find-inspection-report/provider/ELS/109364 ","Ofsted School Webpage")</f>
        <v>Ofsted School Webpage</v>
      </c>
      <c r="B457">
        <v>109364</v>
      </c>
      <c r="C457">
        <v>8026004</v>
      </c>
      <c r="D457" t="s">
        <v>1609</v>
      </c>
      <c r="E457" t="s">
        <v>37</v>
      </c>
      <c r="F457" t="s">
        <v>184</v>
      </c>
      <c r="G457" t="s">
        <v>184</v>
      </c>
      <c r="H457" t="s">
        <v>2729</v>
      </c>
      <c r="I457" t="s">
        <v>2730</v>
      </c>
      <c r="J457" t="s">
        <v>186</v>
      </c>
      <c r="K457" t="s">
        <v>225</v>
      </c>
      <c r="L457" t="s">
        <v>225</v>
      </c>
      <c r="M457" t="s">
        <v>1610</v>
      </c>
      <c r="N457" t="s">
        <v>1611</v>
      </c>
      <c r="O457">
        <v>10006131</v>
      </c>
      <c r="P457" s="120">
        <v>42423</v>
      </c>
      <c r="Q457" s="120">
        <v>42425</v>
      </c>
      <c r="R457" s="120">
        <v>42500</v>
      </c>
      <c r="S457" t="s">
        <v>196</v>
      </c>
      <c r="T457">
        <v>3</v>
      </c>
      <c r="U457" t="s">
        <v>128</v>
      </c>
      <c r="V457">
        <v>3</v>
      </c>
      <c r="W457">
        <v>2</v>
      </c>
      <c r="X457">
        <v>3</v>
      </c>
      <c r="Y457">
        <v>3</v>
      </c>
      <c r="Z457">
        <v>2</v>
      </c>
      <c r="AA457" t="s">
        <v>2730</v>
      </c>
      <c r="AB457" t="s">
        <v>2732</v>
      </c>
      <c r="AC457" t="s">
        <v>2730</v>
      </c>
      <c r="AD457" t="s">
        <v>2730</v>
      </c>
      <c r="AE457" t="s">
        <v>2730</v>
      </c>
      <c r="AF457" t="s">
        <v>2730</v>
      </c>
      <c r="AG457" t="s">
        <v>2730</v>
      </c>
      <c r="AH457" t="s">
        <v>2730</v>
      </c>
    </row>
    <row r="458" spans="1:34">
      <c r="A458" s="149" t="str">
        <f>HYPERLINK("http://www.ofsted.gov.uk/inspection-reports/find-inspection-report/provider/ELS/101694 ","Ofsted School Webpage")</f>
        <v>Ofsted School Webpage</v>
      </c>
      <c r="B458">
        <v>101694</v>
      </c>
      <c r="C458">
        <v>3056075</v>
      </c>
      <c r="D458" t="s">
        <v>1272</v>
      </c>
      <c r="E458" t="s">
        <v>37</v>
      </c>
      <c r="F458" t="s">
        <v>184</v>
      </c>
      <c r="G458" t="s">
        <v>184</v>
      </c>
      <c r="H458" t="s">
        <v>2729</v>
      </c>
      <c r="I458" t="s">
        <v>2730</v>
      </c>
      <c r="J458" t="s">
        <v>186</v>
      </c>
      <c r="K458" t="s">
        <v>232</v>
      </c>
      <c r="L458" t="s">
        <v>232</v>
      </c>
      <c r="M458" t="s">
        <v>587</v>
      </c>
      <c r="N458" t="s">
        <v>1273</v>
      </c>
      <c r="O458" t="s">
        <v>3053</v>
      </c>
      <c r="P458" s="120">
        <v>40968</v>
      </c>
      <c r="Q458" s="120">
        <v>40969</v>
      </c>
      <c r="R458" s="120">
        <v>41241</v>
      </c>
      <c r="S458" t="s">
        <v>196</v>
      </c>
      <c r="T458">
        <v>2</v>
      </c>
      <c r="U458" t="s">
        <v>2730</v>
      </c>
      <c r="V458" t="s">
        <v>2730</v>
      </c>
      <c r="W458" t="s">
        <v>2730</v>
      </c>
      <c r="X458">
        <v>2</v>
      </c>
      <c r="Y458">
        <v>2</v>
      </c>
      <c r="Z458">
        <v>8</v>
      </c>
      <c r="AA458" t="s">
        <v>2730</v>
      </c>
      <c r="AB458" t="s">
        <v>2730</v>
      </c>
      <c r="AC458" t="s">
        <v>2730</v>
      </c>
      <c r="AD458" t="s">
        <v>2730</v>
      </c>
      <c r="AE458" t="s">
        <v>2730</v>
      </c>
      <c r="AF458" t="s">
        <v>2730</v>
      </c>
      <c r="AG458" t="s">
        <v>2730</v>
      </c>
      <c r="AH458" t="s">
        <v>2730</v>
      </c>
    </row>
    <row r="459" spans="1:34">
      <c r="A459" s="149" t="str">
        <f>HYPERLINK("http://www.ofsted.gov.uk/inspection-reports/find-inspection-report/provider/ELS/121757 ","Ofsted School Webpage")</f>
        <v>Ofsted School Webpage</v>
      </c>
      <c r="B459">
        <v>121757</v>
      </c>
      <c r="C459">
        <v>8156027</v>
      </c>
      <c r="D459" t="s">
        <v>1355</v>
      </c>
      <c r="E459" t="s">
        <v>37</v>
      </c>
      <c r="F459" t="s">
        <v>184</v>
      </c>
      <c r="G459" t="s">
        <v>441</v>
      </c>
      <c r="H459" t="s">
        <v>2729</v>
      </c>
      <c r="I459" t="s">
        <v>2730</v>
      </c>
      <c r="J459" t="s">
        <v>186</v>
      </c>
      <c r="K459" t="s">
        <v>245</v>
      </c>
      <c r="L459" t="s">
        <v>246</v>
      </c>
      <c r="M459" t="s">
        <v>554</v>
      </c>
      <c r="N459" t="s">
        <v>1356</v>
      </c>
      <c r="O459">
        <v>10008559</v>
      </c>
      <c r="P459" s="120">
        <v>42444</v>
      </c>
      <c r="Q459" s="120">
        <v>42446</v>
      </c>
      <c r="R459" s="120">
        <v>42499</v>
      </c>
      <c r="S459" t="s">
        <v>196</v>
      </c>
      <c r="T459">
        <v>1</v>
      </c>
      <c r="U459" t="s">
        <v>128</v>
      </c>
      <c r="V459">
        <v>1</v>
      </c>
      <c r="W459">
        <v>1</v>
      </c>
      <c r="X459">
        <v>1</v>
      </c>
      <c r="Y459">
        <v>1</v>
      </c>
      <c r="Z459">
        <v>1</v>
      </c>
      <c r="AA459" t="s">
        <v>2730</v>
      </c>
      <c r="AB459" t="s">
        <v>2732</v>
      </c>
      <c r="AC459" t="s">
        <v>2730</v>
      </c>
      <c r="AD459" t="s">
        <v>2730</v>
      </c>
      <c r="AE459" t="s">
        <v>2730</v>
      </c>
      <c r="AF459" t="s">
        <v>2730</v>
      </c>
      <c r="AG459" t="s">
        <v>2730</v>
      </c>
      <c r="AH459" t="s">
        <v>2730</v>
      </c>
    </row>
    <row r="460" spans="1:34">
      <c r="A460" s="149" t="str">
        <f>HYPERLINK("http://www.ofsted.gov.uk/inspection-reports/find-inspection-report/provider/ELS/107461 ","Ofsted School Webpage")</f>
        <v>Ofsted School Webpage</v>
      </c>
      <c r="B460">
        <v>107461</v>
      </c>
      <c r="C460">
        <v>3806110</v>
      </c>
      <c r="D460" t="s">
        <v>2270</v>
      </c>
      <c r="E460" t="s">
        <v>37</v>
      </c>
      <c r="F460" t="s">
        <v>184</v>
      </c>
      <c r="G460" t="s">
        <v>212</v>
      </c>
      <c r="H460" t="s">
        <v>2729</v>
      </c>
      <c r="I460" t="s">
        <v>2730</v>
      </c>
      <c r="J460" t="s">
        <v>186</v>
      </c>
      <c r="K460" t="s">
        <v>245</v>
      </c>
      <c r="L460" t="s">
        <v>246</v>
      </c>
      <c r="M460" t="s">
        <v>339</v>
      </c>
      <c r="N460" t="s">
        <v>2271</v>
      </c>
      <c r="O460">
        <v>10020709</v>
      </c>
      <c r="P460" s="120">
        <v>42696</v>
      </c>
      <c r="Q460" s="120">
        <v>42698</v>
      </c>
      <c r="R460" s="120">
        <v>42747</v>
      </c>
      <c r="S460" t="s">
        <v>196</v>
      </c>
      <c r="T460">
        <v>4</v>
      </c>
      <c r="U460" t="s">
        <v>129</v>
      </c>
      <c r="V460">
        <v>4</v>
      </c>
      <c r="W460">
        <v>3</v>
      </c>
      <c r="X460">
        <v>2</v>
      </c>
      <c r="Y460">
        <v>2</v>
      </c>
      <c r="Z460">
        <v>4</v>
      </c>
      <c r="AA460" t="s">
        <v>2730</v>
      </c>
      <c r="AB460" t="s">
        <v>2733</v>
      </c>
      <c r="AC460">
        <v>10041417</v>
      </c>
      <c r="AD460" t="s">
        <v>187</v>
      </c>
      <c r="AE460" s="120">
        <v>43041</v>
      </c>
      <c r="AF460" t="s">
        <v>2771</v>
      </c>
      <c r="AG460" s="120">
        <v>43082</v>
      </c>
      <c r="AH460" t="s">
        <v>189</v>
      </c>
    </row>
    <row r="461" spans="1:34">
      <c r="A461" s="149" t="str">
        <f>HYPERLINK("http://www.ofsted.gov.uk/inspection-reports/find-inspection-report/provider/ELS/113562 ","Ofsted School Webpage")</f>
        <v>Ofsted School Webpage</v>
      </c>
      <c r="B461">
        <v>113562</v>
      </c>
      <c r="C461">
        <v>8786001</v>
      </c>
      <c r="D461" t="s">
        <v>2272</v>
      </c>
      <c r="E461" t="s">
        <v>37</v>
      </c>
      <c r="F461" t="s">
        <v>184</v>
      </c>
      <c r="G461" t="s">
        <v>184</v>
      </c>
      <c r="H461" t="s">
        <v>2729</v>
      </c>
      <c r="I461" t="s">
        <v>2730</v>
      </c>
      <c r="J461" t="s">
        <v>186</v>
      </c>
      <c r="K461" t="s">
        <v>225</v>
      </c>
      <c r="L461" t="s">
        <v>225</v>
      </c>
      <c r="M461" t="s">
        <v>367</v>
      </c>
      <c r="N461" t="s">
        <v>2273</v>
      </c>
      <c r="O461">
        <v>10006072</v>
      </c>
      <c r="P461" s="120">
        <v>42326</v>
      </c>
      <c r="Q461" s="120">
        <v>42328</v>
      </c>
      <c r="R461" s="120">
        <v>42429</v>
      </c>
      <c r="S461" t="s">
        <v>196</v>
      </c>
      <c r="T461">
        <v>2</v>
      </c>
      <c r="U461" t="s">
        <v>128</v>
      </c>
      <c r="V461">
        <v>2</v>
      </c>
      <c r="W461">
        <v>1</v>
      </c>
      <c r="X461">
        <v>2</v>
      </c>
      <c r="Y461">
        <v>2</v>
      </c>
      <c r="Z461">
        <v>2</v>
      </c>
      <c r="AA461">
        <v>2</v>
      </c>
      <c r="AB461" t="s">
        <v>2732</v>
      </c>
      <c r="AC461" t="s">
        <v>2730</v>
      </c>
      <c r="AD461" t="s">
        <v>2730</v>
      </c>
      <c r="AE461" s="120" t="s">
        <v>2730</v>
      </c>
      <c r="AF461" t="s">
        <v>2730</v>
      </c>
      <c r="AG461" s="120" t="s">
        <v>2730</v>
      </c>
      <c r="AH461" t="s">
        <v>2730</v>
      </c>
    </row>
    <row r="462" spans="1:34">
      <c r="A462" s="149" t="str">
        <f>HYPERLINK("http://www.ofsted.gov.uk/inspection-reports/find-inspection-report/provider/ELS/105991 ","Ofsted School Webpage")</f>
        <v>Ofsted School Webpage</v>
      </c>
      <c r="B462">
        <v>105991</v>
      </c>
      <c r="C462">
        <v>3556004</v>
      </c>
      <c r="D462" t="s">
        <v>3054</v>
      </c>
      <c r="E462" t="s">
        <v>37</v>
      </c>
      <c r="F462" t="s">
        <v>184</v>
      </c>
      <c r="G462" t="s">
        <v>184</v>
      </c>
      <c r="H462" t="s">
        <v>2729</v>
      </c>
      <c r="I462" t="s">
        <v>2730</v>
      </c>
      <c r="J462" t="s">
        <v>186</v>
      </c>
      <c r="K462" t="s">
        <v>205</v>
      </c>
      <c r="L462" t="s">
        <v>205</v>
      </c>
      <c r="M462" t="s">
        <v>853</v>
      </c>
      <c r="N462" t="s">
        <v>3055</v>
      </c>
      <c r="O462">
        <v>10034021</v>
      </c>
      <c r="P462" s="120">
        <v>42899</v>
      </c>
      <c r="Q462" s="120">
        <v>42901</v>
      </c>
      <c r="R462" s="120">
        <v>42990</v>
      </c>
      <c r="S462" t="s">
        <v>196</v>
      </c>
      <c r="T462">
        <v>2</v>
      </c>
      <c r="U462" t="s">
        <v>128</v>
      </c>
      <c r="V462">
        <v>2</v>
      </c>
      <c r="W462">
        <v>1</v>
      </c>
      <c r="X462">
        <v>2</v>
      </c>
      <c r="Y462">
        <v>2</v>
      </c>
      <c r="Z462">
        <v>2</v>
      </c>
      <c r="AA462" t="s">
        <v>2730</v>
      </c>
      <c r="AB462" t="s">
        <v>2732</v>
      </c>
      <c r="AC462" t="s">
        <v>2730</v>
      </c>
      <c r="AD462" t="s">
        <v>2730</v>
      </c>
      <c r="AE462" s="120" t="s">
        <v>2730</v>
      </c>
      <c r="AF462" t="s">
        <v>2730</v>
      </c>
      <c r="AG462" s="120" t="s">
        <v>2730</v>
      </c>
      <c r="AH462" t="s">
        <v>2730</v>
      </c>
    </row>
    <row r="463" spans="1:34">
      <c r="A463" s="149" t="str">
        <f>HYPERLINK("http://www.ofsted.gov.uk/inspection-reports/find-inspection-report/provider/ELS/137567 ","Ofsted School Webpage")</f>
        <v>Ofsted School Webpage</v>
      </c>
      <c r="B463">
        <v>137567</v>
      </c>
      <c r="C463">
        <v>3066000</v>
      </c>
      <c r="D463" t="s">
        <v>1761</v>
      </c>
      <c r="E463" t="s">
        <v>37</v>
      </c>
      <c r="F463" t="s">
        <v>184</v>
      </c>
      <c r="G463" t="s">
        <v>184</v>
      </c>
      <c r="H463" t="s">
        <v>2729</v>
      </c>
      <c r="I463" t="s">
        <v>2730</v>
      </c>
      <c r="J463" t="s">
        <v>186</v>
      </c>
      <c r="K463" t="s">
        <v>232</v>
      </c>
      <c r="L463" t="s">
        <v>232</v>
      </c>
      <c r="M463" t="s">
        <v>723</v>
      </c>
      <c r="N463" t="s">
        <v>1762</v>
      </c>
      <c r="O463">
        <v>10006056</v>
      </c>
      <c r="P463" s="120">
        <v>42319</v>
      </c>
      <c r="Q463" s="120">
        <v>42321</v>
      </c>
      <c r="R463" s="120">
        <v>42340</v>
      </c>
      <c r="S463" t="s">
        <v>196</v>
      </c>
      <c r="T463">
        <v>2</v>
      </c>
      <c r="U463" t="s">
        <v>128</v>
      </c>
      <c r="V463">
        <v>2</v>
      </c>
      <c r="W463">
        <v>2</v>
      </c>
      <c r="X463">
        <v>2</v>
      </c>
      <c r="Y463">
        <v>2</v>
      </c>
      <c r="Z463" t="s">
        <v>2730</v>
      </c>
      <c r="AA463">
        <v>2</v>
      </c>
      <c r="AB463" t="s">
        <v>2732</v>
      </c>
      <c r="AC463" t="s">
        <v>2730</v>
      </c>
      <c r="AD463" t="s">
        <v>2730</v>
      </c>
      <c r="AE463" t="s">
        <v>2730</v>
      </c>
      <c r="AF463" t="s">
        <v>2730</v>
      </c>
      <c r="AG463" t="s">
        <v>2730</v>
      </c>
      <c r="AH463" t="s">
        <v>2730</v>
      </c>
    </row>
    <row r="464" spans="1:34">
      <c r="A464" s="149" t="str">
        <f>HYPERLINK("http://www.ofsted.gov.uk/inspection-reports/find-inspection-report/provider/ELS/130857 ","Ofsted School Webpage")</f>
        <v>Ofsted School Webpage</v>
      </c>
      <c r="B464">
        <v>130857</v>
      </c>
      <c r="C464">
        <v>3806066</v>
      </c>
      <c r="D464" t="s">
        <v>1763</v>
      </c>
      <c r="E464" t="s">
        <v>37</v>
      </c>
      <c r="F464" t="s">
        <v>223</v>
      </c>
      <c r="G464" t="s">
        <v>223</v>
      </c>
      <c r="H464" t="s">
        <v>2729</v>
      </c>
      <c r="I464" t="s">
        <v>2730</v>
      </c>
      <c r="J464" t="s">
        <v>186</v>
      </c>
      <c r="K464" t="s">
        <v>245</v>
      </c>
      <c r="L464" t="s">
        <v>246</v>
      </c>
      <c r="M464" t="s">
        <v>339</v>
      </c>
      <c r="N464" t="s">
        <v>1764</v>
      </c>
      <c r="O464">
        <v>10007706</v>
      </c>
      <c r="P464" s="120">
        <v>42437</v>
      </c>
      <c r="Q464" s="120">
        <v>42439</v>
      </c>
      <c r="R464" s="120">
        <v>42466</v>
      </c>
      <c r="S464" t="s">
        <v>196</v>
      </c>
      <c r="T464">
        <v>2</v>
      </c>
      <c r="U464" t="s">
        <v>128</v>
      </c>
      <c r="V464">
        <v>2</v>
      </c>
      <c r="W464">
        <v>2</v>
      </c>
      <c r="X464">
        <v>2</v>
      </c>
      <c r="Y464">
        <v>2</v>
      </c>
      <c r="Z464">
        <v>2</v>
      </c>
      <c r="AA464" t="s">
        <v>2730</v>
      </c>
      <c r="AB464" t="s">
        <v>2732</v>
      </c>
      <c r="AC464" t="s">
        <v>2730</v>
      </c>
      <c r="AD464" t="s">
        <v>2730</v>
      </c>
      <c r="AE464" t="s">
        <v>2730</v>
      </c>
      <c r="AF464" t="s">
        <v>2730</v>
      </c>
      <c r="AG464" t="s">
        <v>2730</v>
      </c>
      <c r="AH464" t="s">
        <v>2730</v>
      </c>
    </row>
    <row r="465" spans="1:34">
      <c r="A465" s="149" t="str">
        <f>HYPERLINK("http://www.ofsted.gov.uk/inspection-reports/find-inspection-report/provider/ELS/137819 ","Ofsted School Webpage")</f>
        <v>Ofsted School Webpage</v>
      </c>
      <c r="B465">
        <v>137819</v>
      </c>
      <c r="C465">
        <v>3306010</v>
      </c>
      <c r="D465" t="s">
        <v>2277</v>
      </c>
      <c r="E465" t="s">
        <v>37</v>
      </c>
      <c r="F465" t="s">
        <v>184</v>
      </c>
      <c r="G465" t="s">
        <v>184</v>
      </c>
      <c r="H465" t="s">
        <v>2729</v>
      </c>
      <c r="I465" t="s">
        <v>2730</v>
      </c>
      <c r="J465" t="s">
        <v>186</v>
      </c>
      <c r="K465" t="s">
        <v>193</v>
      </c>
      <c r="L465" t="s">
        <v>193</v>
      </c>
      <c r="M465" t="s">
        <v>210</v>
      </c>
      <c r="N465" t="s">
        <v>2278</v>
      </c>
      <c r="O465" t="s">
        <v>2279</v>
      </c>
      <c r="P465" s="120">
        <v>41254</v>
      </c>
      <c r="Q465" s="120">
        <v>41255</v>
      </c>
      <c r="R465" s="120">
        <v>41289</v>
      </c>
      <c r="S465" t="s">
        <v>249</v>
      </c>
      <c r="T465">
        <v>2</v>
      </c>
      <c r="U465" t="s">
        <v>2730</v>
      </c>
      <c r="V465" t="s">
        <v>2730</v>
      </c>
      <c r="W465" t="s">
        <v>2730</v>
      </c>
      <c r="X465">
        <v>2</v>
      </c>
      <c r="Y465">
        <v>2</v>
      </c>
      <c r="Z465">
        <v>8</v>
      </c>
      <c r="AA465" t="s">
        <v>2730</v>
      </c>
      <c r="AB465" t="s">
        <v>2730</v>
      </c>
      <c r="AC465" t="s">
        <v>2730</v>
      </c>
      <c r="AD465" t="s">
        <v>2730</v>
      </c>
      <c r="AE465" s="120" t="s">
        <v>2730</v>
      </c>
      <c r="AF465" t="s">
        <v>2730</v>
      </c>
      <c r="AG465" s="120" t="s">
        <v>2730</v>
      </c>
      <c r="AH465" t="s">
        <v>2730</v>
      </c>
    </row>
    <row r="466" spans="1:34">
      <c r="A466" s="149" t="str">
        <f>HYPERLINK("http://www.ofsted.gov.uk/inspection-reports/find-inspection-report/provider/ELS/100462 ","Ofsted School Webpage")</f>
        <v>Ofsted School Webpage</v>
      </c>
      <c r="B466">
        <v>100462</v>
      </c>
      <c r="C466">
        <v>2066299</v>
      </c>
      <c r="D466" t="s">
        <v>2280</v>
      </c>
      <c r="E466" t="s">
        <v>37</v>
      </c>
      <c r="F466" t="s">
        <v>184</v>
      </c>
      <c r="G466" t="s">
        <v>184</v>
      </c>
      <c r="H466" t="s">
        <v>2729</v>
      </c>
      <c r="I466" t="s">
        <v>2730</v>
      </c>
      <c r="J466" t="s">
        <v>186</v>
      </c>
      <c r="K466" t="s">
        <v>232</v>
      </c>
      <c r="L466" t="s">
        <v>232</v>
      </c>
      <c r="M466" t="s">
        <v>1972</v>
      </c>
      <c r="N466" t="s">
        <v>2281</v>
      </c>
      <c r="O466" t="s">
        <v>2282</v>
      </c>
      <c r="P466" s="120">
        <v>42073</v>
      </c>
      <c r="Q466" s="120">
        <v>42075</v>
      </c>
      <c r="R466" s="120">
        <v>42144</v>
      </c>
      <c r="S466" t="s">
        <v>196</v>
      </c>
      <c r="T466">
        <v>2</v>
      </c>
      <c r="U466" t="s">
        <v>2730</v>
      </c>
      <c r="V466">
        <v>2</v>
      </c>
      <c r="W466" t="s">
        <v>2730</v>
      </c>
      <c r="X466">
        <v>2</v>
      </c>
      <c r="Y466">
        <v>2</v>
      </c>
      <c r="Z466">
        <v>2</v>
      </c>
      <c r="AA466">
        <v>9</v>
      </c>
      <c r="AB466" t="s">
        <v>2730</v>
      </c>
      <c r="AC466" t="s">
        <v>2730</v>
      </c>
      <c r="AD466" t="s">
        <v>2730</v>
      </c>
      <c r="AE466" t="s">
        <v>2730</v>
      </c>
      <c r="AF466" t="s">
        <v>2730</v>
      </c>
      <c r="AG466" t="s">
        <v>2730</v>
      </c>
      <c r="AH466" t="s">
        <v>2730</v>
      </c>
    </row>
    <row r="467" spans="1:34">
      <c r="A467" s="149" t="str">
        <f>HYPERLINK("http://www.ofsted.gov.uk/inspection-reports/find-inspection-report/provider/ELS/135561 ","Ofsted School Webpage")</f>
        <v>Ofsted School Webpage</v>
      </c>
      <c r="B467">
        <v>135561</v>
      </c>
      <c r="C467">
        <v>3306128</v>
      </c>
      <c r="D467" t="s">
        <v>694</v>
      </c>
      <c r="E467" t="s">
        <v>37</v>
      </c>
      <c r="F467" t="s">
        <v>184</v>
      </c>
      <c r="G467" t="s">
        <v>184</v>
      </c>
      <c r="H467" t="s">
        <v>2729</v>
      </c>
      <c r="I467" t="s">
        <v>2730</v>
      </c>
      <c r="J467" t="s">
        <v>186</v>
      </c>
      <c r="K467" t="s">
        <v>193</v>
      </c>
      <c r="L467" t="s">
        <v>193</v>
      </c>
      <c r="M467" t="s">
        <v>210</v>
      </c>
      <c r="N467" t="s">
        <v>695</v>
      </c>
      <c r="O467" t="s">
        <v>3056</v>
      </c>
      <c r="P467" s="120">
        <v>41611</v>
      </c>
      <c r="Q467" s="120">
        <v>41613</v>
      </c>
      <c r="R467" s="120">
        <v>41646</v>
      </c>
      <c r="S467" t="s">
        <v>196</v>
      </c>
      <c r="T467">
        <v>4</v>
      </c>
      <c r="U467" t="s">
        <v>2730</v>
      </c>
      <c r="V467">
        <v>4</v>
      </c>
      <c r="W467" t="s">
        <v>2730</v>
      </c>
      <c r="X467">
        <v>3</v>
      </c>
      <c r="Y467">
        <v>3</v>
      </c>
      <c r="Z467" t="s">
        <v>2730</v>
      </c>
      <c r="AA467" t="s">
        <v>2730</v>
      </c>
      <c r="AB467" t="s">
        <v>2730</v>
      </c>
      <c r="AC467" t="s">
        <v>3057</v>
      </c>
      <c r="AD467" t="s">
        <v>187</v>
      </c>
      <c r="AE467" s="120">
        <v>42117</v>
      </c>
      <c r="AF467" t="s">
        <v>3010</v>
      </c>
      <c r="AG467" s="120">
        <v>42156</v>
      </c>
      <c r="AH467" t="s">
        <v>2773</v>
      </c>
    </row>
    <row r="468" spans="1:34">
      <c r="A468" s="149" t="str">
        <f>HYPERLINK("http://www.ofsted.gov.uk/inspection-reports/find-inspection-report/provider/ELS/141247 ","Ofsted School Webpage")</f>
        <v>Ofsted School Webpage</v>
      </c>
      <c r="B468">
        <v>141247</v>
      </c>
      <c r="C468">
        <v>3086003</v>
      </c>
      <c r="D468" t="s">
        <v>463</v>
      </c>
      <c r="E468" t="s">
        <v>37</v>
      </c>
      <c r="F468" t="s">
        <v>184</v>
      </c>
      <c r="G468" t="s">
        <v>184</v>
      </c>
      <c r="H468" t="s">
        <v>2729</v>
      </c>
      <c r="I468" t="s">
        <v>2730</v>
      </c>
      <c r="J468" t="s">
        <v>186</v>
      </c>
      <c r="K468" t="s">
        <v>232</v>
      </c>
      <c r="L468" t="s">
        <v>232</v>
      </c>
      <c r="M468" t="s">
        <v>259</v>
      </c>
      <c r="N468" t="s">
        <v>464</v>
      </c>
      <c r="O468">
        <v>10035814</v>
      </c>
      <c r="P468" s="120">
        <v>42990</v>
      </c>
      <c r="Q468" s="120">
        <v>42992</v>
      </c>
      <c r="R468" s="120">
        <v>43021</v>
      </c>
      <c r="S468" t="s">
        <v>196</v>
      </c>
      <c r="T468">
        <v>2</v>
      </c>
      <c r="U468" t="s">
        <v>128</v>
      </c>
      <c r="V468">
        <v>2</v>
      </c>
      <c r="W468">
        <v>2</v>
      </c>
      <c r="X468">
        <v>2</v>
      </c>
      <c r="Y468">
        <v>2</v>
      </c>
      <c r="Z468" t="s">
        <v>2730</v>
      </c>
      <c r="AA468" t="s">
        <v>2730</v>
      </c>
      <c r="AB468" t="s">
        <v>2732</v>
      </c>
      <c r="AC468" t="s">
        <v>2730</v>
      </c>
      <c r="AD468" t="s">
        <v>2730</v>
      </c>
      <c r="AE468" s="120" t="s">
        <v>2730</v>
      </c>
      <c r="AF468" t="s">
        <v>2730</v>
      </c>
      <c r="AG468" s="120" t="s">
        <v>2730</v>
      </c>
      <c r="AH468" t="s">
        <v>2730</v>
      </c>
    </row>
    <row r="469" spans="1:34">
      <c r="A469" s="149" t="str">
        <f>HYPERLINK("http://www.ofsted.gov.uk/inspection-reports/find-inspection-report/provider/ELS/141859 ","Ofsted School Webpage")</f>
        <v>Ofsted School Webpage</v>
      </c>
      <c r="B469">
        <v>141859</v>
      </c>
      <c r="C469">
        <v>3096004</v>
      </c>
      <c r="D469" t="s">
        <v>696</v>
      </c>
      <c r="E469" t="s">
        <v>37</v>
      </c>
      <c r="F469" t="s">
        <v>184</v>
      </c>
      <c r="G469" t="s">
        <v>184</v>
      </c>
      <c r="H469" t="s">
        <v>2729</v>
      </c>
      <c r="I469" t="s">
        <v>2730</v>
      </c>
      <c r="J469" t="s">
        <v>186</v>
      </c>
      <c r="K469" t="s">
        <v>232</v>
      </c>
      <c r="L469" t="s">
        <v>232</v>
      </c>
      <c r="M469" t="s">
        <v>697</v>
      </c>
      <c r="N469" t="s">
        <v>698</v>
      </c>
      <c r="O469">
        <v>10008621</v>
      </c>
      <c r="P469" s="120">
        <v>42381</v>
      </c>
      <c r="Q469" s="120">
        <v>42383</v>
      </c>
      <c r="R469" s="120">
        <v>42415</v>
      </c>
      <c r="S469" t="s">
        <v>249</v>
      </c>
      <c r="T469">
        <v>3</v>
      </c>
      <c r="U469" t="s">
        <v>128</v>
      </c>
      <c r="V469">
        <v>3</v>
      </c>
      <c r="W469">
        <v>2</v>
      </c>
      <c r="X469">
        <v>3</v>
      </c>
      <c r="Y469">
        <v>3</v>
      </c>
      <c r="Z469" t="s">
        <v>2730</v>
      </c>
      <c r="AA469" t="s">
        <v>2730</v>
      </c>
      <c r="AB469" t="s">
        <v>2733</v>
      </c>
      <c r="AC469" t="s">
        <v>2730</v>
      </c>
      <c r="AD469" t="s">
        <v>2730</v>
      </c>
      <c r="AE469" t="s">
        <v>2730</v>
      </c>
      <c r="AF469" t="s">
        <v>2730</v>
      </c>
      <c r="AG469" t="s">
        <v>2730</v>
      </c>
      <c r="AH469" t="s">
        <v>2730</v>
      </c>
    </row>
    <row r="470" spans="1:34">
      <c r="A470" s="149" t="str">
        <f>HYPERLINK("http://www.ofsted.gov.uk/inspection-reports/find-inspection-report/provider/ELS/135839 ","Ofsted School Webpage")</f>
        <v>Ofsted School Webpage</v>
      </c>
      <c r="B470">
        <v>135839</v>
      </c>
      <c r="C470">
        <v>3086305</v>
      </c>
      <c r="D470" t="s">
        <v>401</v>
      </c>
      <c r="E470" t="s">
        <v>37</v>
      </c>
      <c r="F470" t="s">
        <v>184</v>
      </c>
      <c r="G470" t="s">
        <v>184</v>
      </c>
      <c r="H470" t="s">
        <v>2729</v>
      </c>
      <c r="I470" t="s">
        <v>2730</v>
      </c>
      <c r="J470" t="s">
        <v>186</v>
      </c>
      <c r="K470" t="s">
        <v>232</v>
      </c>
      <c r="L470" t="s">
        <v>232</v>
      </c>
      <c r="M470" t="s">
        <v>259</v>
      </c>
      <c r="N470" t="s">
        <v>402</v>
      </c>
      <c r="O470">
        <v>10026296</v>
      </c>
      <c r="P470" s="120">
        <v>43039</v>
      </c>
      <c r="Q470" s="120">
        <v>43041</v>
      </c>
      <c r="R470" s="120">
        <v>43066</v>
      </c>
      <c r="S470" t="s">
        <v>196</v>
      </c>
      <c r="T470">
        <v>1</v>
      </c>
      <c r="U470" t="s">
        <v>128</v>
      </c>
      <c r="V470">
        <v>1</v>
      </c>
      <c r="W470">
        <v>1</v>
      </c>
      <c r="X470">
        <v>1</v>
      </c>
      <c r="Y470">
        <v>1</v>
      </c>
      <c r="Z470" t="s">
        <v>2730</v>
      </c>
      <c r="AA470" t="s">
        <v>2730</v>
      </c>
      <c r="AB470" t="s">
        <v>2732</v>
      </c>
      <c r="AC470" t="s">
        <v>2730</v>
      </c>
      <c r="AD470" t="s">
        <v>2730</v>
      </c>
      <c r="AE470" s="120" t="s">
        <v>2730</v>
      </c>
      <c r="AF470" t="s">
        <v>2730</v>
      </c>
      <c r="AG470" s="120" t="s">
        <v>2730</v>
      </c>
      <c r="AH470" t="s">
        <v>2730</v>
      </c>
    </row>
    <row r="471" spans="1:34">
      <c r="A471" s="149" t="str">
        <f>HYPERLINK("http://www.ofsted.gov.uk/inspection-reports/find-inspection-report/provider/ELS/133298 ","Ofsted School Webpage")</f>
        <v>Ofsted School Webpage</v>
      </c>
      <c r="B471">
        <v>133298</v>
      </c>
      <c r="C471">
        <v>8866089</v>
      </c>
      <c r="D471" t="s">
        <v>1902</v>
      </c>
      <c r="E471" t="s">
        <v>38</v>
      </c>
      <c r="F471" t="s">
        <v>184</v>
      </c>
      <c r="G471" t="s">
        <v>184</v>
      </c>
      <c r="H471" t="s">
        <v>2729</v>
      </c>
      <c r="I471" t="s">
        <v>2730</v>
      </c>
      <c r="J471" t="s">
        <v>186</v>
      </c>
      <c r="K471" t="s">
        <v>181</v>
      </c>
      <c r="L471" t="s">
        <v>181</v>
      </c>
      <c r="M471" t="s">
        <v>182</v>
      </c>
      <c r="N471" t="s">
        <v>1903</v>
      </c>
      <c r="O471">
        <v>10012926</v>
      </c>
      <c r="P471" s="120">
        <v>42766</v>
      </c>
      <c r="Q471" s="120">
        <v>42768</v>
      </c>
      <c r="R471" s="120">
        <v>42797</v>
      </c>
      <c r="S471" t="s">
        <v>196</v>
      </c>
      <c r="T471">
        <v>3</v>
      </c>
      <c r="U471" t="s">
        <v>128</v>
      </c>
      <c r="V471">
        <v>3</v>
      </c>
      <c r="W471">
        <v>3</v>
      </c>
      <c r="X471">
        <v>3</v>
      </c>
      <c r="Y471">
        <v>3</v>
      </c>
      <c r="Z471" t="s">
        <v>2730</v>
      </c>
      <c r="AA471" t="s">
        <v>2730</v>
      </c>
      <c r="AB471" t="s">
        <v>2732</v>
      </c>
      <c r="AC471" t="s">
        <v>2730</v>
      </c>
      <c r="AD471" t="s">
        <v>2730</v>
      </c>
      <c r="AE471" t="s">
        <v>2730</v>
      </c>
      <c r="AF471" t="s">
        <v>2730</v>
      </c>
      <c r="AG471" t="s">
        <v>2730</v>
      </c>
      <c r="AH471" t="s">
        <v>2730</v>
      </c>
    </row>
    <row r="472" spans="1:34">
      <c r="A472" s="149" t="str">
        <f>HYPERLINK("http://www.ofsted.gov.uk/inspection-reports/find-inspection-report/provider/ELS/101077 ","Ofsted School Webpage")</f>
        <v>Ofsted School Webpage</v>
      </c>
      <c r="B472">
        <v>101077</v>
      </c>
      <c r="C472">
        <v>2126368</v>
      </c>
      <c r="D472" t="s">
        <v>1904</v>
      </c>
      <c r="E472" t="s">
        <v>38</v>
      </c>
      <c r="F472" t="s">
        <v>184</v>
      </c>
      <c r="G472" t="s">
        <v>184</v>
      </c>
      <c r="H472" t="s">
        <v>2729</v>
      </c>
      <c r="I472" t="s">
        <v>2730</v>
      </c>
      <c r="J472" t="s">
        <v>186</v>
      </c>
      <c r="K472" t="s">
        <v>232</v>
      </c>
      <c r="L472" t="s">
        <v>232</v>
      </c>
      <c r="M472" t="s">
        <v>435</v>
      </c>
      <c r="N472" t="s">
        <v>1905</v>
      </c>
      <c r="O472" t="s">
        <v>1906</v>
      </c>
      <c r="P472" s="120">
        <v>42045</v>
      </c>
      <c r="Q472" s="120">
        <v>42047</v>
      </c>
      <c r="R472" s="120">
        <v>42082</v>
      </c>
      <c r="S472" t="s">
        <v>196</v>
      </c>
      <c r="T472">
        <v>1</v>
      </c>
      <c r="U472" t="s">
        <v>2730</v>
      </c>
      <c r="V472">
        <v>1</v>
      </c>
      <c r="W472" t="s">
        <v>2730</v>
      </c>
      <c r="X472">
        <v>1</v>
      </c>
      <c r="Y472">
        <v>1</v>
      </c>
      <c r="Z472">
        <v>9</v>
      </c>
      <c r="AA472">
        <v>9</v>
      </c>
      <c r="AB472" t="s">
        <v>2730</v>
      </c>
      <c r="AC472" t="s">
        <v>2730</v>
      </c>
      <c r="AD472" t="s">
        <v>2730</v>
      </c>
      <c r="AE472" t="s">
        <v>2730</v>
      </c>
      <c r="AF472" t="s">
        <v>2730</v>
      </c>
      <c r="AG472" t="s">
        <v>2730</v>
      </c>
      <c r="AH472" t="s">
        <v>2730</v>
      </c>
    </row>
    <row r="473" spans="1:34">
      <c r="A473" s="149" t="str">
        <f>HYPERLINK("http://www.ofsted.gov.uk/inspection-reports/find-inspection-report/provider/ELS/126149 ","Ofsted School Webpage")</f>
        <v>Ofsted School Webpage</v>
      </c>
      <c r="B473">
        <v>126149</v>
      </c>
      <c r="C473">
        <v>9386249</v>
      </c>
      <c r="D473" t="s">
        <v>1907</v>
      </c>
      <c r="E473" t="s">
        <v>38</v>
      </c>
      <c r="F473" t="s">
        <v>184</v>
      </c>
      <c r="G473" t="s">
        <v>184</v>
      </c>
      <c r="H473" t="s">
        <v>2729</v>
      </c>
      <c r="I473" t="s">
        <v>2730</v>
      </c>
      <c r="J473" t="s">
        <v>186</v>
      </c>
      <c r="K473" t="s">
        <v>181</v>
      </c>
      <c r="L473" t="s">
        <v>181</v>
      </c>
      <c r="M473" t="s">
        <v>395</v>
      </c>
      <c r="N473" t="s">
        <v>1908</v>
      </c>
      <c r="O473">
        <v>10025979</v>
      </c>
      <c r="P473" s="120">
        <v>42913</v>
      </c>
      <c r="Q473" s="120">
        <v>42915</v>
      </c>
      <c r="R473" s="120">
        <v>42990</v>
      </c>
      <c r="S473" t="s">
        <v>196</v>
      </c>
      <c r="T473">
        <v>4</v>
      </c>
      <c r="U473" t="s">
        <v>129</v>
      </c>
      <c r="V473">
        <v>4</v>
      </c>
      <c r="W473">
        <v>4</v>
      </c>
      <c r="X473">
        <v>4</v>
      </c>
      <c r="Y473">
        <v>4</v>
      </c>
      <c r="Z473" t="s">
        <v>2730</v>
      </c>
      <c r="AA473" t="s">
        <v>2730</v>
      </c>
      <c r="AB473" t="s">
        <v>2733</v>
      </c>
      <c r="AC473">
        <v>10043955</v>
      </c>
      <c r="AD473" t="s">
        <v>187</v>
      </c>
      <c r="AE473" s="120">
        <v>43053</v>
      </c>
      <c r="AF473" t="s">
        <v>2771</v>
      </c>
      <c r="AG473" s="120">
        <v>43082</v>
      </c>
      <c r="AH473" t="s">
        <v>217</v>
      </c>
    </row>
    <row r="474" spans="1:34">
      <c r="A474" s="149" t="str">
        <f>HYPERLINK("http://www.ofsted.gov.uk/inspection-reports/find-inspection-report/provider/ELS/135292 ","Ofsted School Webpage")</f>
        <v>Ofsted School Webpage</v>
      </c>
      <c r="B474">
        <v>135292</v>
      </c>
      <c r="C474">
        <v>8886098</v>
      </c>
      <c r="D474" t="s">
        <v>1301</v>
      </c>
      <c r="E474" t="s">
        <v>38</v>
      </c>
      <c r="F474" t="s">
        <v>184</v>
      </c>
      <c r="G474" t="s">
        <v>184</v>
      </c>
      <c r="H474" t="s">
        <v>2729</v>
      </c>
      <c r="I474" t="s">
        <v>2730</v>
      </c>
      <c r="J474" t="s">
        <v>186</v>
      </c>
      <c r="K474" t="s">
        <v>205</v>
      </c>
      <c r="L474" t="s">
        <v>205</v>
      </c>
      <c r="M474" t="s">
        <v>206</v>
      </c>
      <c r="N474" t="s">
        <v>1302</v>
      </c>
      <c r="O474" t="s">
        <v>3058</v>
      </c>
      <c r="P474" s="120">
        <v>41912</v>
      </c>
      <c r="Q474" s="120">
        <v>41913</v>
      </c>
      <c r="R474" s="120">
        <v>41956</v>
      </c>
      <c r="S474" t="s">
        <v>3119</v>
      </c>
      <c r="T474">
        <v>3</v>
      </c>
      <c r="U474" t="s">
        <v>2730</v>
      </c>
      <c r="V474">
        <v>3</v>
      </c>
      <c r="W474" t="s">
        <v>2730</v>
      </c>
      <c r="X474">
        <v>3</v>
      </c>
      <c r="Y474">
        <v>3</v>
      </c>
      <c r="Z474">
        <v>9</v>
      </c>
      <c r="AA474">
        <v>9</v>
      </c>
      <c r="AB474" t="s">
        <v>2730</v>
      </c>
      <c r="AC474" t="s">
        <v>2730</v>
      </c>
      <c r="AD474" t="s">
        <v>2730</v>
      </c>
      <c r="AE474" t="s">
        <v>2730</v>
      </c>
      <c r="AF474" t="s">
        <v>2730</v>
      </c>
      <c r="AG474" t="s">
        <v>2730</v>
      </c>
      <c r="AH474" t="s">
        <v>2730</v>
      </c>
    </row>
    <row r="475" spans="1:34">
      <c r="A475" s="149" t="str">
        <f>HYPERLINK("http://www.ofsted.gov.uk/inspection-reports/find-inspection-report/provider/ELS/135670 ","Ofsted School Webpage")</f>
        <v>Ofsted School Webpage</v>
      </c>
      <c r="B475">
        <v>135670</v>
      </c>
      <c r="C475">
        <v>3056080</v>
      </c>
      <c r="D475" t="s">
        <v>1909</v>
      </c>
      <c r="E475" t="s">
        <v>38</v>
      </c>
      <c r="F475" t="s">
        <v>184</v>
      </c>
      <c r="G475" t="s">
        <v>184</v>
      </c>
      <c r="H475" t="s">
        <v>2729</v>
      </c>
      <c r="I475" t="s">
        <v>2730</v>
      </c>
      <c r="J475" t="s">
        <v>186</v>
      </c>
      <c r="K475" t="s">
        <v>232</v>
      </c>
      <c r="L475" t="s">
        <v>232</v>
      </c>
      <c r="M475" t="s">
        <v>587</v>
      </c>
      <c r="N475" t="s">
        <v>1910</v>
      </c>
      <c r="O475" t="s">
        <v>3059</v>
      </c>
      <c r="P475" s="120">
        <v>41394</v>
      </c>
      <c r="Q475" s="120">
        <v>41396</v>
      </c>
      <c r="R475" s="120">
        <v>41421</v>
      </c>
      <c r="S475" t="s">
        <v>196</v>
      </c>
      <c r="T475">
        <v>2</v>
      </c>
      <c r="U475" t="s">
        <v>2730</v>
      </c>
      <c r="V475">
        <v>2</v>
      </c>
      <c r="W475" t="s">
        <v>2730</v>
      </c>
      <c r="X475">
        <v>2</v>
      </c>
      <c r="Y475">
        <v>2</v>
      </c>
      <c r="Z475" t="s">
        <v>2730</v>
      </c>
      <c r="AA475" t="s">
        <v>2730</v>
      </c>
      <c r="AB475" t="s">
        <v>2730</v>
      </c>
      <c r="AC475" t="s">
        <v>2730</v>
      </c>
      <c r="AD475" t="s">
        <v>2730</v>
      </c>
      <c r="AE475" t="s">
        <v>2730</v>
      </c>
      <c r="AF475" t="s">
        <v>2730</v>
      </c>
      <c r="AG475" t="s">
        <v>2730</v>
      </c>
      <c r="AH475" t="s">
        <v>2730</v>
      </c>
    </row>
    <row r="476" spans="1:34">
      <c r="A476" s="149" t="str">
        <f>HYPERLINK("http://www.ofsted.gov.uk/inspection-reports/find-inspection-report/provider/ELS/123322 ","Ofsted School Webpage")</f>
        <v>Ofsted School Webpage</v>
      </c>
      <c r="B476">
        <v>123322</v>
      </c>
      <c r="C476">
        <v>9316109</v>
      </c>
      <c r="D476" t="s">
        <v>1911</v>
      </c>
      <c r="E476" t="s">
        <v>38</v>
      </c>
      <c r="F476" t="s">
        <v>184</v>
      </c>
      <c r="G476" t="s">
        <v>184</v>
      </c>
      <c r="H476" t="s">
        <v>2729</v>
      </c>
      <c r="I476" t="s">
        <v>2730</v>
      </c>
      <c r="J476" t="s">
        <v>186</v>
      </c>
      <c r="K476" t="s">
        <v>181</v>
      </c>
      <c r="L476" t="s">
        <v>181</v>
      </c>
      <c r="M476" t="s">
        <v>242</v>
      </c>
      <c r="N476" t="s">
        <v>1912</v>
      </c>
      <c r="O476">
        <v>10033948</v>
      </c>
      <c r="P476" s="120">
        <v>42913</v>
      </c>
      <c r="Q476" s="120">
        <v>42915</v>
      </c>
      <c r="R476" s="120">
        <v>42990</v>
      </c>
      <c r="S476" t="s">
        <v>196</v>
      </c>
      <c r="T476">
        <v>2</v>
      </c>
      <c r="U476" t="s">
        <v>128</v>
      </c>
      <c r="V476">
        <v>2</v>
      </c>
      <c r="W476">
        <v>1</v>
      </c>
      <c r="X476">
        <v>2</v>
      </c>
      <c r="Y476">
        <v>2</v>
      </c>
      <c r="Z476" t="s">
        <v>2730</v>
      </c>
      <c r="AA476" t="s">
        <v>2730</v>
      </c>
      <c r="AB476" t="s">
        <v>2732</v>
      </c>
      <c r="AC476" t="s">
        <v>2730</v>
      </c>
      <c r="AD476" t="s">
        <v>2730</v>
      </c>
      <c r="AE476" t="s">
        <v>2730</v>
      </c>
      <c r="AF476" t="s">
        <v>2730</v>
      </c>
      <c r="AG476" t="s">
        <v>2730</v>
      </c>
      <c r="AH476" t="s">
        <v>2730</v>
      </c>
    </row>
    <row r="477" spans="1:34">
      <c r="A477" s="149" t="str">
        <f>HYPERLINK("http://www.ofsted.gov.uk/inspection-reports/find-inspection-report/provider/ELS/131260 ","Ofsted School Webpage")</f>
        <v>Ofsted School Webpage</v>
      </c>
      <c r="B477">
        <v>131260</v>
      </c>
      <c r="C477">
        <v>8736039</v>
      </c>
      <c r="D477" t="s">
        <v>1913</v>
      </c>
      <c r="E477" t="s">
        <v>38</v>
      </c>
      <c r="F477" t="s">
        <v>184</v>
      </c>
      <c r="G477" t="s">
        <v>184</v>
      </c>
      <c r="H477" t="s">
        <v>2729</v>
      </c>
      <c r="I477" t="s">
        <v>2730</v>
      </c>
      <c r="J477" t="s">
        <v>186</v>
      </c>
      <c r="K477" t="s">
        <v>214</v>
      </c>
      <c r="L477" t="s">
        <v>214</v>
      </c>
      <c r="M477" t="s">
        <v>284</v>
      </c>
      <c r="N477" t="s">
        <v>1914</v>
      </c>
      <c r="O477" t="s">
        <v>1915</v>
      </c>
      <c r="P477" s="120">
        <v>41241</v>
      </c>
      <c r="Q477" s="120">
        <v>41242</v>
      </c>
      <c r="R477" s="120">
        <v>41264</v>
      </c>
      <c r="S477" t="s">
        <v>267</v>
      </c>
      <c r="T477">
        <v>2</v>
      </c>
      <c r="U477" t="s">
        <v>2730</v>
      </c>
      <c r="V477" t="s">
        <v>2730</v>
      </c>
      <c r="W477" t="s">
        <v>2730</v>
      </c>
      <c r="X477">
        <v>2</v>
      </c>
      <c r="Y477">
        <v>2</v>
      </c>
      <c r="Z477">
        <v>8</v>
      </c>
      <c r="AA477" t="s">
        <v>2730</v>
      </c>
      <c r="AB477" t="s">
        <v>2730</v>
      </c>
      <c r="AC477" t="s">
        <v>2730</v>
      </c>
      <c r="AD477" t="s">
        <v>2730</v>
      </c>
      <c r="AE477" t="s">
        <v>2730</v>
      </c>
      <c r="AF477" t="s">
        <v>2730</v>
      </c>
      <c r="AG477" t="s">
        <v>2730</v>
      </c>
      <c r="AH477" t="s">
        <v>2730</v>
      </c>
    </row>
    <row r="478" spans="1:34">
      <c r="A478" s="149" t="str">
        <f>HYPERLINK("http://www.ofsted.gov.uk/inspection-reports/find-inspection-report/provider/ELS/134398 ","Ofsted School Webpage")</f>
        <v>Ofsted School Webpage</v>
      </c>
      <c r="B478">
        <v>134398</v>
      </c>
      <c r="C478">
        <v>8816048</v>
      </c>
      <c r="D478" t="s">
        <v>1916</v>
      </c>
      <c r="E478" t="s">
        <v>38</v>
      </c>
      <c r="F478" t="s">
        <v>184</v>
      </c>
      <c r="G478" t="s">
        <v>184</v>
      </c>
      <c r="H478" t="s">
        <v>2729</v>
      </c>
      <c r="I478" t="s">
        <v>2730</v>
      </c>
      <c r="J478" t="s">
        <v>186</v>
      </c>
      <c r="K478" t="s">
        <v>220</v>
      </c>
      <c r="L478" t="s">
        <v>220</v>
      </c>
      <c r="M478" t="s">
        <v>323</v>
      </c>
      <c r="N478" t="s">
        <v>1917</v>
      </c>
      <c r="O478" t="s">
        <v>3060</v>
      </c>
      <c r="P478" s="120">
        <v>41611</v>
      </c>
      <c r="Q478" s="120">
        <v>41613</v>
      </c>
      <c r="R478" s="120">
        <v>41628</v>
      </c>
      <c r="S478" t="s">
        <v>196</v>
      </c>
      <c r="T478">
        <v>2</v>
      </c>
      <c r="U478" t="s">
        <v>2730</v>
      </c>
      <c r="V478">
        <v>2</v>
      </c>
      <c r="W478" t="s">
        <v>2730</v>
      </c>
      <c r="X478">
        <v>2</v>
      </c>
      <c r="Y478">
        <v>2</v>
      </c>
      <c r="Z478" t="s">
        <v>2730</v>
      </c>
      <c r="AA478" t="s">
        <v>2730</v>
      </c>
      <c r="AB478" t="s">
        <v>2730</v>
      </c>
      <c r="AC478" t="s">
        <v>2730</v>
      </c>
      <c r="AD478" t="s">
        <v>2730</v>
      </c>
      <c r="AE478" t="s">
        <v>2730</v>
      </c>
      <c r="AF478" t="s">
        <v>2730</v>
      </c>
      <c r="AG478" t="s">
        <v>2730</v>
      </c>
      <c r="AH478" t="s">
        <v>2730</v>
      </c>
    </row>
    <row r="479" spans="1:34">
      <c r="A479" s="149" t="str">
        <f>HYPERLINK("http://www.ofsted.gov.uk/inspection-reports/find-inspection-report/provider/ELS/106814 ","Ofsted School Webpage")</f>
        <v>Ofsted School Webpage</v>
      </c>
      <c r="B479">
        <v>106814</v>
      </c>
      <c r="C479">
        <v>3716005</v>
      </c>
      <c r="D479" t="s">
        <v>1636</v>
      </c>
      <c r="E479" t="s">
        <v>38</v>
      </c>
      <c r="F479" t="s">
        <v>184</v>
      </c>
      <c r="G479" t="s">
        <v>184</v>
      </c>
      <c r="H479" t="s">
        <v>2729</v>
      </c>
      <c r="I479" t="s">
        <v>2730</v>
      </c>
      <c r="J479" t="s">
        <v>186</v>
      </c>
      <c r="K479" t="s">
        <v>245</v>
      </c>
      <c r="L479" t="s">
        <v>246</v>
      </c>
      <c r="M479" t="s">
        <v>1157</v>
      </c>
      <c r="N479" t="s">
        <v>1637</v>
      </c>
      <c r="O479">
        <v>10006036</v>
      </c>
      <c r="P479" s="120">
        <v>42318</v>
      </c>
      <c r="Q479" s="120">
        <v>42320</v>
      </c>
      <c r="R479" s="120">
        <v>42353</v>
      </c>
      <c r="S479" t="s">
        <v>3119</v>
      </c>
      <c r="T479">
        <v>1</v>
      </c>
      <c r="U479" t="s">
        <v>128</v>
      </c>
      <c r="V479">
        <v>1</v>
      </c>
      <c r="W479">
        <v>1</v>
      </c>
      <c r="X479">
        <v>1</v>
      </c>
      <c r="Y479">
        <v>1</v>
      </c>
      <c r="Z479" t="s">
        <v>2730</v>
      </c>
      <c r="AA479">
        <v>1</v>
      </c>
      <c r="AB479" t="s">
        <v>2732</v>
      </c>
      <c r="AC479" t="s">
        <v>2730</v>
      </c>
      <c r="AD479" t="s">
        <v>2730</v>
      </c>
      <c r="AE479" t="s">
        <v>2730</v>
      </c>
      <c r="AF479" t="s">
        <v>2730</v>
      </c>
      <c r="AG479" t="s">
        <v>2730</v>
      </c>
      <c r="AH479" t="s">
        <v>2730</v>
      </c>
    </row>
    <row r="480" spans="1:34">
      <c r="A480" s="149" t="str">
        <f>HYPERLINK("http://www.ofsted.gov.uk/inspection-reports/find-inspection-report/provider/ELS/134191 ","Ofsted School Webpage")</f>
        <v>Ofsted School Webpage</v>
      </c>
      <c r="B480">
        <v>134191</v>
      </c>
      <c r="C480">
        <v>9096053</v>
      </c>
      <c r="D480" t="s">
        <v>1319</v>
      </c>
      <c r="E480" t="s">
        <v>38</v>
      </c>
      <c r="F480" t="s">
        <v>184</v>
      </c>
      <c r="G480" t="s">
        <v>184</v>
      </c>
      <c r="H480" t="s">
        <v>2729</v>
      </c>
      <c r="I480" t="s">
        <v>2730</v>
      </c>
      <c r="J480" t="s">
        <v>186</v>
      </c>
      <c r="K480" t="s">
        <v>205</v>
      </c>
      <c r="L480" t="s">
        <v>205</v>
      </c>
      <c r="M480" t="s">
        <v>947</v>
      </c>
      <c r="N480" t="s">
        <v>1320</v>
      </c>
      <c r="O480">
        <v>10034047</v>
      </c>
      <c r="P480" s="120">
        <v>42899</v>
      </c>
      <c r="Q480" s="120">
        <v>42901</v>
      </c>
      <c r="R480" s="120">
        <v>42928</v>
      </c>
      <c r="S480" t="s">
        <v>3119</v>
      </c>
      <c r="T480">
        <v>2</v>
      </c>
      <c r="U480" t="s">
        <v>128</v>
      </c>
      <c r="V480">
        <v>2</v>
      </c>
      <c r="W480">
        <v>1</v>
      </c>
      <c r="X480">
        <v>2</v>
      </c>
      <c r="Y480">
        <v>2</v>
      </c>
      <c r="Z480" t="s">
        <v>2730</v>
      </c>
      <c r="AA480">
        <v>2</v>
      </c>
      <c r="AB480" t="s">
        <v>2732</v>
      </c>
      <c r="AC480" t="s">
        <v>2730</v>
      </c>
      <c r="AD480" t="s">
        <v>2730</v>
      </c>
      <c r="AE480" t="s">
        <v>2730</v>
      </c>
      <c r="AF480" t="s">
        <v>2730</v>
      </c>
      <c r="AG480" t="s">
        <v>2730</v>
      </c>
      <c r="AH480" t="s">
        <v>2730</v>
      </c>
    </row>
    <row r="481" spans="1:34">
      <c r="A481" s="149" t="str">
        <f>HYPERLINK("http://www.ofsted.gov.uk/inspection-reports/find-inspection-report/provider/ELS/136039 ","Ofsted School Webpage")</f>
        <v>Ofsted School Webpage</v>
      </c>
      <c r="B481">
        <v>136039</v>
      </c>
      <c r="C481">
        <v>8916036</v>
      </c>
      <c r="D481" t="s">
        <v>1321</v>
      </c>
      <c r="E481" t="s">
        <v>38</v>
      </c>
      <c r="F481" t="s">
        <v>184</v>
      </c>
      <c r="G481" t="s">
        <v>184</v>
      </c>
      <c r="H481" t="s">
        <v>2729</v>
      </c>
      <c r="I481" t="s">
        <v>2730</v>
      </c>
      <c r="J481" t="s">
        <v>186</v>
      </c>
      <c r="K481" t="s">
        <v>214</v>
      </c>
      <c r="L481" t="s">
        <v>214</v>
      </c>
      <c r="M481" t="s">
        <v>320</v>
      </c>
      <c r="N481" t="s">
        <v>1320</v>
      </c>
      <c r="O481">
        <v>10012940</v>
      </c>
      <c r="P481" s="120">
        <v>42689</v>
      </c>
      <c r="Q481" s="120">
        <v>42691</v>
      </c>
      <c r="R481" s="120">
        <v>42748</v>
      </c>
      <c r="S481" t="s">
        <v>3119</v>
      </c>
      <c r="T481">
        <v>2</v>
      </c>
      <c r="U481" t="s">
        <v>128</v>
      </c>
      <c r="V481">
        <v>2</v>
      </c>
      <c r="W481">
        <v>2</v>
      </c>
      <c r="X481">
        <v>2</v>
      </c>
      <c r="Y481">
        <v>2</v>
      </c>
      <c r="Z481" t="s">
        <v>2730</v>
      </c>
      <c r="AA481" t="s">
        <v>2730</v>
      </c>
      <c r="AB481" t="s">
        <v>2732</v>
      </c>
      <c r="AC481" t="s">
        <v>2730</v>
      </c>
      <c r="AD481" t="s">
        <v>2730</v>
      </c>
      <c r="AE481" t="s">
        <v>2730</v>
      </c>
      <c r="AF481" t="s">
        <v>2730</v>
      </c>
      <c r="AG481" t="s">
        <v>2730</v>
      </c>
      <c r="AH481" t="s">
        <v>2730</v>
      </c>
    </row>
    <row r="482" spans="1:34">
      <c r="A482" s="149" t="str">
        <f>HYPERLINK("http://www.ofsted.gov.uk/inspection-reports/find-inspection-report/provider/ELS/112452 ","Ofsted School Webpage")</f>
        <v>Ofsted School Webpage</v>
      </c>
      <c r="B482">
        <v>112452</v>
      </c>
      <c r="C482">
        <v>9096027</v>
      </c>
      <c r="D482" t="s">
        <v>1322</v>
      </c>
      <c r="E482" t="s">
        <v>38</v>
      </c>
      <c r="F482" t="s">
        <v>184</v>
      </c>
      <c r="G482" t="s">
        <v>184</v>
      </c>
      <c r="H482" t="s">
        <v>2729</v>
      </c>
      <c r="I482" t="s">
        <v>2730</v>
      </c>
      <c r="J482" t="s">
        <v>186</v>
      </c>
      <c r="K482" t="s">
        <v>205</v>
      </c>
      <c r="L482" t="s">
        <v>205</v>
      </c>
      <c r="M482" t="s">
        <v>947</v>
      </c>
      <c r="N482" t="s">
        <v>1323</v>
      </c>
      <c r="O482">
        <v>10007025</v>
      </c>
      <c r="P482" s="120">
        <v>42269</v>
      </c>
      <c r="Q482" s="120">
        <v>42271</v>
      </c>
      <c r="R482" s="120">
        <v>42311</v>
      </c>
      <c r="S482" t="s">
        <v>267</v>
      </c>
      <c r="T482">
        <v>2</v>
      </c>
      <c r="U482" t="s">
        <v>128</v>
      </c>
      <c r="V482">
        <v>2</v>
      </c>
      <c r="W482">
        <v>2</v>
      </c>
      <c r="X482">
        <v>2</v>
      </c>
      <c r="Y482">
        <v>2</v>
      </c>
      <c r="Z482" t="s">
        <v>2730</v>
      </c>
      <c r="AA482">
        <v>2</v>
      </c>
      <c r="AB482" t="s">
        <v>2732</v>
      </c>
      <c r="AC482" t="s">
        <v>2730</v>
      </c>
      <c r="AD482" t="s">
        <v>2730</v>
      </c>
      <c r="AE482" t="s">
        <v>2730</v>
      </c>
      <c r="AF482" t="s">
        <v>2730</v>
      </c>
      <c r="AG482" t="s">
        <v>2730</v>
      </c>
      <c r="AH482" t="s">
        <v>2730</v>
      </c>
    </row>
    <row r="483" spans="1:34">
      <c r="A483" s="149" t="str">
        <f>HYPERLINK("http://www.ofsted.gov.uk/inspection-reports/find-inspection-report/provider/ELS/131131 ","Ofsted School Webpage")</f>
        <v>Ofsted School Webpage</v>
      </c>
      <c r="B483">
        <v>131131</v>
      </c>
      <c r="C483">
        <v>3826019</v>
      </c>
      <c r="D483" t="s">
        <v>1329</v>
      </c>
      <c r="E483" t="s">
        <v>37</v>
      </c>
      <c r="F483" t="s">
        <v>184</v>
      </c>
      <c r="G483" t="s">
        <v>223</v>
      </c>
      <c r="H483" t="s">
        <v>2729</v>
      </c>
      <c r="I483" t="s">
        <v>2730</v>
      </c>
      <c r="J483" t="s">
        <v>186</v>
      </c>
      <c r="K483" t="s">
        <v>245</v>
      </c>
      <c r="L483" t="s">
        <v>246</v>
      </c>
      <c r="M483" t="s">
        <v>768</v>
      </c>
      <c r="N483" t="s">
        <v>1330</v>
      </c>
      <c r="O483">
        <v>10007685</v>
      </c>
      <c r="P483" s="120">
        <v>42388</v>
      </c>
      <c r="Q483" s="120">
        <v>42390</v>
      </c>
      <c r="R483" s="120">
        <v>42410</v>
      </c>
      <c r="S483" t="s">
        <v>196</v>
      </c>
      <c r="T483">
        <v>3</v>
      </c>
      <c r="U483" t="s">
        <v>128</v>
      </c>
      <c r="V483">
        <v>3</v>
      </c>
      <c r="W483">
        <v>2</v>
      </c>
      <c r="X483">
        <v>3</v>
      </c>
      <c r="Y483">
        <v>3</v>
      </c>
      <c r="Z483">
        <v>2</v>
      </c>
      <c r="AA483" t="s">
        <v>2730</v>
      </c>
      <c r="AB483" t="s">
        <v>2732</v>
      </c>
      <c r="AC483" t="s">
        <v>2730</v>
      </c>
      <c r="AD483" t="s">
        <v>2730</v>
      </c>
      <c r="AE483" t="s">
        <v>2730</v>
      </c>
      <c r="AF483" t="s">
        <v>2730</v>
      </c>
      <c r="AG483" t="s">
        <v>2730</v>
      </c>
      <c r="AH483" t="s">
        <v>2730</v>
      </c>
    </row>
    <row r="484" spans="1:34">
      <c r="A484" s="149" t="str">
        <f>HYPERLINK("http://www.ofsted.gov.uk/inspection-reports/find-inspection-report/provider/ELS/139017 ","Ofsted School Webpage")</f>
        <v>Ofsted School Webpage</v>
      </c>
      <c r="B484">
        <v>139017</v>
      </c>
      <c r="C484">
        <v>3506002</v>
      </c>
      <c r="D484" t="s">
        <v>1331</v>
      </c>
      <c r="E484" t="s">
        <v>37</v>
      </c>
      <c r="F484" t="s">
        <v>184</v>
      </c>
      <c r="G484" t="s">
        <v>223</v>
      </c>
      <c r="H484" t="s">
        <v>2729</v>
      </c>
      <c r="I484" t="s">
        <v>2730</v>
      </c>
      <c r="J484" t="s">
        <v>186</v>
      </c>
      <c r="K484" t="s">
        <v>205</v>
      </c>
      <c r="L484" t="s">
        <v>205</v>
      </c>
      <c r="M484" t="s">
        <v>1265</v>
      </c>
      <c r="N484" t="s">
        <v>1332</v>
      </c>
      <c r="O484">
        <v>10020751</v>
      </c>
      <c r="P484" s="120">
        <v>42633</v>
      </c>
      <c r="Q484" s="120">
        <v>42635</v>
      </c>
      <c r="R484" s="120">
        <v>42656</v>
      </c>
      <c r="S484" t="s">
        <v>196</v>
      </c>
      <c r="T484">
        <v>2</v>
      </c>
      <c r="U484" t="s">
        <v>128</v>
      </c>
      <c r="V484">
        <v>2</v>
      </c>
      <c r="W484">
        <v>1</v>
      </c>
      <c r="X484">
        <v>2</v>
      </c>
      <c r="Y484">
        <v>2</v>
      </c>
      <c r="Z484">
        <v>2</v>
      </c>
      <c r="AA484" t="s">
        <v>2730</v>
      </c>
      <c r="AB484" t="s">
        <v>2732</v>
      </c>
      <c r="AC484" t="s">
        <v>2730</v>
      </c>
      <c r="AD484" t="s">
        <v>2730</v>
      </c>
      <c r="AE484" t="s">
        <v>2730</v>
      </c>
      <c r="AF484" t="s">
        <v>2730</v>
      </c>
      <c r="AG484" t="s">
        <v>2730</v>
      </c>
      <c r="AH484" t="s">
        <v>2730</v>
      </c>
    </row>
    <row r="485" spans="1:34">
      <c r="A485" s="149" t="str">
        <f>HYPERLINK("http://www.ofsted.gov.uk/inspection-reports/find-inspection-report/provider/ELS/136823 ","Ofsted School Webpage")</f>
        <v>Ofsted School Webpage</v>
      </c>
      <c r="B485">
        <v>136823</v>
      </c>
      <c r="C485">
        <v>8566006</v>
      </c>
      <c r="D485" t="s">
        <v>329</v>
      </c>
      <c r="E485" t="s">
        <v>37</v>
      </c>
      <c r="F485" t="s">
        <v>184</v>
      </c>
      <c r="G485" t="s">
        <v>223</v>
      </c>
      <c r="H485" t="s">
        <v>2729</v>
      </c>
      <c r="I485" t="s">
        <v>2730</v>
      </c>
      <c r="J485" t="s">
        <v>186</v>
      </c>
      <c r="K485" t="s">
        <v>214</v>
      </c>
      <c r="L485" t="s">
        <v>214</v>
      </c>
      <c r="M485" t="s">
        <v>330</v>
      </c>
      <c r="N485" t="s">
        <v>331</v>
      </c>
      <c r="O485">
        <v>10012981</v>
      </c>
      <c r="P485" s="120">
        <v>43011</v>
      </c>
      <c r="Q485" s="120">
        <v>43013</v>
      </c>
      <c r="R485" s="120">
        <v>43042</v>
      </c>
      <c r="S485" t="s">
        <v>196</v>
      </c>
      <c r="T485">
        <v>3</v>
      </c>
      <c r="U485" t="s">
        <v>128</v>
      </c>
      <c r="V485">
        <v>3</v>
      </c>
      <c r="W485">
        <v>3</v>
      </c>
      <c r="X485">
        <v>3</v>
      </c>
      <c r="Y485">
        <v>3</v>
      </c>
      <c r="Z485" t="s">
        <v>2730</v>
      </c>
      <c r="AA485" t="s">
        <v>2730</v>
      </c>
      <c r="AB485" t="s">
        <v>2733</v>
      </c>
      <c r="AC485" t="s">
        <v>2730</v>
      </c>
      <c r="AD485" t="s">
        <v>2730</v>
      </c>
      <c r="AE485" s="120" t="s">
        <v>2730</v>
      </c>
      <c r="AF485" t="s">
        <v>2730</v>
      </c>
      <c r="AG485" s="120" t="s">
        <v>2730</v>
      </c>
      <c r="AH485" t="s">
        <v>2730</v>
      </c>
    </row>
    <row r="486" spans="1:34">
      <c r="A486" s="149" t="str">
        <f>HYPERLINK("http://www.ofsted.gov.uk/inspection-reports/find-inspection-report/provider/ELS/136098 ","Ofsted School Webpage")</f>
        <v>Ofsted School Webpage</v>
      </c>
      <c r="B486">
        <v>136098</v>
      </c>
      <c r="C486">
        <v>8886042</v>
      </c>
      <c r="D486" t="s">
        <v>1638</v>
      </c>
      <c r="E486" t="s">
        <v>37</v>
      </c>
      <c r="F486" t="s">
        <v>304</v>
      </c>
      <c r="G486" t="s">
        <v>223</v>
      </c>
      <c r="H486" t="s">
        <v>2729</v>
      </c>
      <c r="I486" t="s">
        <v>2730</v>
      </c>
      <c r="J486" t="s">
        <v>186</v>
      </c>
      <c r="K486" t="s">
        <v>205</v>
      </c>
      <c r="L486" t="s">
        <v>205</v>
      </c>
      <c r="M486" t="s">
        <v>206</v>
      </c>
      <c r="N486" t="s">
        <v>1639</v>
      </c>
      <c r="O486">
        <v>10034030</v>
      </c>
      <c r="P486" s="120">
        <v>42927</v>
      </c>
      <c r="Q486" s="120">
        <v>42929</v>
      </c>
      <c r="R486" s="120">
        <v>43000</v>
      </c>
      <c r="S486" t="s">
        <v>196</v>
      </c>
      <c r="T486">
        <v>1</v>
      </c>
      <c r="U486" t="s">
        <v>128</v>
      </c>
      <c r="V486">
        <v>1</v>
      </c>
      <c r="W486">
        <v>1</v>
      </c>
      <c r="X486">
        <v>1</v>
      </c>
      <c r="Y486">
        <v>1</v>
      </c>
      <c r="Z486">
        <v>1</v>
      </c>
      <c r="AA486" t="s">
        <v>2730</v>
      </c>
      <c r="AB486" t="s">
        <v>2732</v>
      </c>
      <c r="AC486" t="s">
        <v>2730</v>
      </c>
      <c r="AD486" t="s">
        <v>2730</v>
      </c>
      <c r="AE486" t="s">
        <v>2730</v>
      </c>
      <c r="AF486" t="s">
        <v>2730</v>
      </c>
      <c r="AG486" t="s">
        <v>2730</v>
      </c>
      <c r="AH486" t="s">
        <v>2730</v>
      </c>
    </row>
    <row r="487" spans="1:34">
      <c r="A487" s="149" t="str">
        <f>HYPERLINK("http://www.ofsted.gov.uk/inspection-reports/find-inspection-report/provider/ELS/135168 ","Ofsted School Webpage")</f>
        <v>Ofsted School Webpage</v>
      </c>
      <c r="B487">
        <v>135168</v>
      </c>
      <c r="C487">
        <v>3556054</v>
      </c>
      <c r="D487" t="s">
        <v>1879</v>
      </c>
      <c r="E487" t="s">
        <v>37</v>
      </c>
      <c r="F487" t="s">
        <v>184</v>
      </c>
      <c r="G487" t="s">
        <v>825</v>
      </c>
      <c r="H487" t="s">
        <v>2729</v>
      </c>
      <c r="I487" t="s">
        <v>2730</v>
      </c>
      <c r="J487" t="s">
        <v>186</v>
      </c>
      <c r="K487" t="s">
        <v>205</v>
      </c>
      <c r="L487" t="s">
        <v>205</v>
      </c>
      <c r="M487" t="s">
        <v>853</v>
      </c>
      <c r="N487" t="s">
        <v>1880</v>
      </c>
      <c r="O487">
        <v>10034027</v>
      </c>
      <c r="P487" s="120">
        <v>42892</v>
      </c>
      <c r="Q487" s="120">
        <v>42894</v>
      </c>
      <c r="R487" s="120">
        <v>42920</v>
      </c>
      <c r="S487" t="s">
        <v>196</v>
      </c>
      <c r="T487">
        <v>2</v>
      </c>
      <c r="U487" t="s">
        <v>128</v>
      </c>
      <c r="V487">
        <v>2</v>
      </c>
      <c r="W487">
        <v>2</v>
      </c>
      <c r="X487">
        <v>2</v>
      </c>
      <c r="Y487">
        <v>2</v>
      </c>
      <c r="Z487" t="s">
        <v>2730</v>
      </c>
      <c r="AA487" t="s">
        <v>2730</v>
      </c>
      <c r="AB487" t="s">
        <v>2732</v>
      </c>
      <c r="AC487" t="s">
        <v>2730</v>
      </c>
      <c r="AD487" t="s">
        <v>2730</v>
      </c>
      <c r="AE487" t="s">
        <v>2730</v>
      </c>
      <c r="AF487" t="s">
        <v>2730</v>
      </c>
      <c r="AG487" t="s">
        <v>2730</v>
      </c>
      <c r="AH487" t="s">
        <v>2730</v>
      </c>
    </row>
    <row r="488" spans="1:34">
      <c r="A488" s="149" t="str">
        <f>HYPERLINK("http://www.ofsted.gov.uk/inspection-reports/find-inspection-report/provider/ELS/136117 ","Ofsted School Webpage")</f>
        <v>Ofsted School Webpage</v>
      </c>
      <c r="B488">
        <v>136117</v>
      </c>
      <c r="C488">
        <v>3556006</v>
      </c>
      <c r="D488" t="s">
        <v>1881</v>
      </c>
      <c r="E488" t="s">
        <v>37</v>
      </c>
      <c r="F488" t="s">
        <v>825</v>
      </c>
      <c r="G488" t="s">
        <v>318</v>
      </c>
      <c r="H488" t="s">
        <v>2729</v>
      </c>
      <c r="I488" t="s">
        <v>2730</v>
      </c>
      <c r="J488" t="s">
        <v>186</v>
      </c>
      <c r="K488" t="s">
        <v>205</v>
      </c>
      <c r="L488" t="s">
        <v>205</v>
      </c>
      <c r="M488" t="s">
        <v>853</v>
      </c>
      <c r="N488" t="s">
        <v>1882</v>
      </c>
      <c r="O488">
        <v>10034031</v>
      </c>
      <c r="P488" s="120">
        <v>43053</v>
      </c>
      <c r="Q488" s="120">
        <v>43055</v>
      </c>
      <c r="R488" s="120">
        <v>43090</v>
      </c>
      <c r="S488" t="s">
        <v>196</v>
      </c>
      <c r="T488">
        <v>2</v>
      </c>
      <c r="U488" t="s">
        <v>128</v>
      </c>
      <c r="V488">
        <v>2</v>
      </c>
      <c r="W488">
        <v>2</v>
      </c>
      <c r="X488">
        <v>2</v>
      </c>
      <c r="Y488">
        <v>3</v>
      </c>
      <c r="Z488">
        <v>2</v>
      </c>
      <c r="AA488" t="s">
        <v>2730</v>
      </c>
      <c r="AB488" t="s">
        <v>2732</v>
      </c>
      <c r="AC488" t="s">
        <v>2730</v>
      </c>
      <c r="AD488" t="s">
        <v>2730</v>
      </c>
      <c r="AE488" t="s">
        <v>2730</v>
      </c>
      <c r="AF488" t="s">
        <v>2730</v>
      </c>
      <c r="AG488" t="s">
        <v>2730</v>
      </c>
      <c r="AH488" t="s">
        <v>2730</v>
      </c>
    </row>
    <row r="489" spans="1:34">
      <c r="A489" s="149" t="str">
        <f>HYPERLINK("http://www.ofsted.gov.uk/inspection-reports/find-inspection-report/provider/ELS/100295 ","Ofsted School Webpage")</f>
        <v>Ofsted School Webpage</v>
      </c>
      <c r="B489">
        <v>100295</v>
      </c>
      <c r="C489">
        <v>2046337</v>
      </c>
      <c r="D489" t="s">
        <v>1883</v>
      </c>
      <c r="E489" t="s">
        <v>37</v>
      </c>
      <c r="F489" t="s">
        <v>184</v>
      </c>
      <c r="G489" t="s">
        <v>318</v>
      </c>
      <c r="H489" t="s">
        <v>2729</v>
      </c>
      <c r="I489" t="s">
        <v>2730</v>
      </c>
      <c r="J489" t="s">
        <v>186</v>
      </c>
      <c r="K489" t="s">
        <v>232</v>
      </c>
      <c r="L489" t="s">
        <v>232</v>
      </c>
      <c r="M489" t="s">
        <v>479</v>
      </c>
      <c r="N489" t="s">
        <v>1884</v>
      </c>
      <c r="O489">
        <v>10020732</v>
      </c>
      <c r="P489" s="120">
        <v>42850</v>
      </c>
      <c r="Q489" s="120">
        <v>42852</v>
      </c>
      <c r="R489" s="120">
        <v>42877</v>
      </c>
      <c r="S489" t="s">
        <v>196</v>
      </c>
      <c r="T489">
        <v>2</v>
      </c>
      <c r="U489" t="s">
        <v>128</v>
      </c>
      <c r="V489">
        <v>2</v>
      </c>
      <c r="W489">
        <v>2</v>
      </c>
      <c r="X489">
        <v>2</v>
      </c>
      <c r="Y489">
        <v>2</v>
      </c>
      <c r="Z489">
        <v>2</v>
      </c>
      <c r="AA489" t="s">
        <v>2730</v>
      </c>
      <c r="AB489" t="s">
        <v>2732</v>
      </c>
      <c r="AC489" t="s">
        <v>2730</v>
      </c>
      <c r="AD489" t="s">
        <v>2730</v>
      </c>
      <c r="AE489" t="s">
        <v>2730</v>
      </c>
      <c r="AF489" t="s">
        <v>2730</v>
      </c>
      <c r="AG489" t="s">
        <v>2730</v>
      </c>
      <c r="AH489" t="s">
        <v>2730</v>
      </c>
    </row>
    <row r="490" spans="1:34">
      <c r="A490" s="149" t="str">
        <f>HYPERLINK("http://www.ofsted.gov.uk/inspection-reports/find-inspection-report/provider/ELS/140492 ","Ofsted School Webpage")</f>
        <v>Ofsted School Webpage</v>
      </c>
      <c r="B490">
        <v>140492</v>
      </c>
      <c r="C490">
        <v>3026007</v>
      </c>
      <c r="D490" t="s">
        <v>1885</v>
      </c>
      <c r="E490" t="s">
        <v>37</v>
      </c>
      <c r="F490" t="s">
        <v>184</v>
      </c>
      <c r="G490" t="s">
        <v>318</v>
      </c>
      <c r="H490" t="s">
        <v>2729</v>
      </c>
      <c r="I490" t="s">
        <v>2730</v>
      </c>
      <c r="J490" t="s">
        <v>186</v>
      </c>
      <c r="K490" t="s">
        <v>232</v>
      </c>
      <c r="L490" t="s">
        <v>232</v>
      </c>
      <c r="M490" t="s">
        <v>311</v>
      </c>
      <c r="N490" t="s">
        <v>1886</v>
      </c>
      <c r="O490" t="s">
        <v>1887</v>
      </c>
      <c r="P490" s="120">
        <v>41975</v>
      </c>
      <c r="Q490" s="120">
        <v>41977</v>
      </c>
      <c r="R490" s="120">
        <v>42053</v>
      </c>
      <c r="S490" t="s">
        <v>249</v>
      </c>
      <c r="T490">
        <v>3</v>
      </c>
      <c r="U490" t="s">
        <v>2730</v>
      </c>
      <c r="V490">
        <v>3</v>
      </c>
      <c r="W490" t="s">
        <v>2730</v>
      </c>
      <c r="X490">
        <v>2</v>
      </c>
      <c r="Y490">
        <v>2</v>
      </c>
      <c r="Z490">
        <v>9</v>
      </c>
      <c r="AA490">
        <v>9</v>
      </c>
      <c r="AB490" t="s">
        <v>2730</v>
      </c>
      <c r="AC490" t="s">
        <v>2730</v>
      </c>
      <c r="AD490" t="s">
        <v>2730</v>
      </c>
      <c r="AE490" t="s">
        <v>2730</v>
      </c>
      <c r="AF490" t="s">
        <v>2730</v>
      </c>
      <c r="AG490" t="s">
        <v>2730</v>
      </c>
      <c r="AH490" t="s">
        <v>2730</v>
      </c>
    </row>
    <row r="491" spans="1:34">
      <c r="A491" s="149" t="str">
        <f>HYPERLINK("http://www.ofsted.gov.uk/inspection-reports/find-inspection-report/provider/ELS/118979 ","Ofsted School Webpage")</f>
        <v>Ofsted School Webpage</v>
      </c>
      <c r="B491">
        <v>118979</v>
      </c>
      <c r="C491">
        <v>8876001</v>
      </c>
      <c r="D491" t="s">
        <v>1522</v>
      </c>
      <c r="E491" t="s">
        <v>37</v>
      </c>
      <c r="F491" t="s">
        <v>184</v>
      </c>
      <c r="G491" t="s">
        <v>184</v>
      </c>
      <c r="H491" t="s">
        <v>2729</v>
      </c>
      <c r="I491" t="s">
        <v>2730</v>
      </c>
      <c r="J491" t="s">
        <v>186</v>
      </c>
      <c r="K491" t="s">
        <v>181</v>
      </c>
      <c r="L491" t="s">
        <v>181</v>
      </c>
      <c r="M491" t="s">
        <v>272</v>
      </c>
      <c r="N491" t="s">
        <v>1523</v>
      </c>
      <c r="O491">
        <v>10008568</v>
      </c>
      <c r="P491" s="120">
        <v>42494</v>
      </c>
      <c r="Q491" s="120">
        <v>42496</v>
      </c>
      <c r="R491" s="120">
        <v>42524</v>
      </c>
      <c r="S491" t="s">
        <v>196</v>
      </c>
      <c r="T491">
        <v>4</v>
      </c>
      <c r="U491" t="s">
        <v>129</v>
      </c>
      <c r="V491">
        <v>4</v>
      </c>
      <c r="W491">
        <v>4</v>
      </c>
      <c r="X491">
        <v>2</v>
      </c>
      <c r="Y491">
        <v>2</v>
      </c>
      <c r="Z491">
        <v>4</v>
      </c>
      <c r="AA491" t="s">
        <v>2730</v>
      </c>
      <c r="AB491" t="s">
        <v>2733</v>
      </c>
      <c r="AC491">
        <v>10022745</v>
      </c>
      <c r="AD491" t="s">
        <v>187</v>
      </c>
      <c r="AE491" s="120">
        <v>42759</v>
      </c>
      <c r="AF491" t="s">
        <v>2769</v>
      </c>
      <c r="AG491" s="120">
        <v>42786</v>
      </c>
      <c r="AH491" t="s">
        <v>189</v>
      </c>
    </row>
    <row r="492" spans="1:34">
      <c r="A492" s="149" t="str">
        <f>HYPERLINK("http://www.ofsted.gov.uk/inspection-reports/find-inspection-report/provider/ELS/113930 ","Ofsted School Webpage")</f>
        <v>Ofsted School Webpage</v>
      </c>
      <c r="B492">
        <v>113930</v>
      </c>
      <c r="C492">
        <v>8366004</v>
      </c>
      <c r="D492" t="s">
        <v>1524</v>
      </c>
      <c r="E492" t="s">
        <v>37</v>
      </c>
      <c r="F492" t="s">
        <v>184</v>
      </c>
      <c r="G492" t="s">
        <v>212</v>
      </c>
      <c r="H492" t="s">
        <v>2729</v>
      </c>
      <c r="I492" t="s">
        <v>2730</v>
      </c>
      <c r="J492" t="s">
        <v>186</v>
      </c>
      <c r="K492" t="s">
        <v>225</v>
      </c>
      <c r="L492" t="s">
        <v>225</v>
      </c>
      <c r="M492" t="s">
        <v>1525</v>
      </c>
      <c r="N492" t="s">
        <v>1526</v>
      </c>
      <c r="O492">
        <v>10012907</v>
      </c>
      <c r="P492" s="120">
        <v>42871</v>
      </c>
      <c r="Q492" s="120">
        <v>42873</v>
      </c>
      <c r="R492" s="120">
        <v>42901</v>
      </c>
      <c r="S492" t="s">
        <v>196</v>
      </c>
      <c r="T492">
        <v>3</v>
      </c>
      <c r="U492" t="s">
        <v>128</v>
      </c>
      <c r="V492">
        <v>3</v>
      </c>
      <c r="W492">
        <v>2</v>
      </c>
      <c r="X492">
        <v>3</v>
      </c>
      <c r="Y492">
        <v>3</v>
      </c>
      <c r="Z492">
        <v>3</v>
      </c>
      <c r="AA492" t="s">
        <v>2730</v>
      </c>
      <c r="AB492" t="s">
        <v>2732</v>
      </c>
      <c r="AC492" t="s">
        <v>2730</v>
      </c>
      <c r="AD492" t="s">
        <v>2730</v>
      </c>
      <c r="AE492" t="s">
        <v>2730</v>
      </c>
      <c r="AF492" t="s">
        <v>2730</v>
      </c>
      <c r="AG492" t="s">
        <v>2730</v>
      </c>
      <c r="AH492" t="s">
        <v>2730</v>
      </c>
    </row>
    <row r="493" spans="1:34">
      <c r="A493" s="149" t="str">
        <f>HYPERLINK("http://www.ofsted.gov.uk/inspection-reports/find-inspection-report/provider/ELS/114656 ","Ofsted School Webpage")</f>
        <v>Ofsted School Webpage</v>
      </c>
      <c r="B493">
        <v>114656</v>
      </c>
      <c r="C493">
        <v>8456031</v>
      </c>
      <c r="D493" t="s">
        <v>1649</v>
      </c>
      <c r="E493" t="s">
        <v>37</v>
      </c>
      <c r="F493" t="s">
        <v>184</v>
      </c>
      <c r="G493" t="s">
        <v>184</v>
      </c>
      <c r="H493" t="s">
        <v>2729</v>
      </c>
      <c r="I493" t="s">
        <v>2730</v>
      </c>
      <c r="J493" t="s">
        <v>186</v>
      </c>
      <c r="K493" t="s">
        <v>181</v>
      </c>
      <c r="L493" t="s">
        <v>181</v>
      </c>
      <c r="M493" t="s">
        <v>438</v>
      </c>
      <c r="N493" t="s">
        <v>1650</v>
      </c>
      <c r="O493">
        <v>10020905</v>
      </c>
      <c r="P493" s="120">
        <v>42822</v>
      </c>
      <c r="Q493" s="120">
        <v>42824</v>
      </c>
      <c r="R493" s="120">
        <v>42867</v>
      </c>
      <c r="S493" t="s">
        <v>267</v>
      </c>
      <c r="T493">
        <v>4</v>
      </c>
      <c r="U493" t="s">
        <v>129</v>
      </c>
      <c r="V493">
        <v>4</v>
      </c>
      <c r="W493">
        <v>4</v>
      </c>
      <c r="X493">
        <v>3</v>
      </c>
      <c r="Y493">
        <v>3</v>
      </c>
      <c r="Z493" t="s">
        <v>2730</v>
      </c>
      <c r="AA493">
        <v>4</v>
      </c>
      <c r="AB493" t="s">
        <v>2733</v>
      </c>
      <c r="AC493">
        <v>10038279</v>
      </c>
      <c r="AD493" t="s">
        <v>2770</v>
      </c>
      <c r="AE493" s="120">
        <v>42908</v>
      </c>
      <c r="AF493" t="s">
        <v>2769</v>
      </c>
      <c r="AG493" s="120">
        <v>42996</v>
      </c>
      <c r="AH493" t="s">
        <v>217</v>
      </c>
    </row>
    <row r="494" spans="1:34">
      <c r="A494" s="149" t="str">
        <f>HYPERLINK("http://www.ofsted.gov.uk/inspection-reports/find-inspection-report/provider/ELS/138564 ","Ofsted School Webpage")</f>
        <v>Ofsted School Webpage</v>
      </c>
      <c r="B494">
        <v>138564</v>
      </c>
      <c r="C494">
        <v>2116003</v>
      </c>
      <c r="D494" t="s">
        <v>1651</v>
      </c>
      <c r="E494" t="s">
        <v>37</v>
      </c>
      <c r="F494" t="s">
        <v>184</v>
      </c>
      <c r="G494" t="s">
        <v>223</v>
      </c>
      <c r="H494" t="s">
        <v>2729</v>
      </c>
      <c r="I494" t="s">
        <v>2730</v>
      </c>
      <c r="J494" t="s">
        <v>186</v>
      </c>
      <c r="K494" t="s">
        <v>232</v>
      </c>
      <c r="L494" t="s">
        <v>232</v>
      </c>
      <c r="M494" t="s">
        <v>539</v>
      </c>
      <c r="N494" t="s">
        <v>1652</v>
      </c>
      <c r="O494">
        <v>10034697</v>
      </c>
      <c r="P494" s="120">
        <v>42920</v>
      </c>
      <c r="Q494" s="120">
        <v>42922</v>
      </c>
      <c r="R494" s="120">
        <v>43025</v>
      </c>
      <c r="S494" t="s">
        <v>196</v>
      </c>
      <c r="T494">
        <v>4</v>
      </c>
      <c r="U494" t="s">
        <v>129</v>
      </c>
      <c r="V494">
        <v>4</v>
      </c>
      <c r="W494">
        <v>4</v>
      </c>
      <c r="X494">
        <v>3</v>
      </c>
      <c r="Y494">
        <v>3</v>
      </c>
      <c r="Z494">
        <v>4</v>
      </c>
      <c r="AA494" t="s">
        <v>2730</v>
      </c>
      <c r="AB494" t="s">
        <v>2733</v>
      </c>
      <c r="AC494" t="s">
        <v>2730</v>
      </c>
      <c r="AD494" t="s">
        <v>2730</v>
      </c>
      <c r="AE494" t="s">
        <v>2730</v>
      </c>
      <c r="AF494" t="s">
        <v>2730</v>
      </c>
      <c r="AG494" t="s">
        <v>2730</v>
      </c>
      <c r="AH494" t="s">
        <v>2730</v>
      </c>
    </row>
    <row r="495" spans="1:34">
      <c r="A495" s="149" t="str">
        <f>HYPERLINK("http://www.ofsted.gov.uk/inspection-reports/find-inspection-report/provider/ELS/136129 ","Ofsted School Webpage")</f>
        <v>Ofsted School Webpage</v>
      </c>
      <c r="B495">
        <v>136129</v>
      </c>
      <c r="C495">
        <v>2116398</v>
      </c>
      <c r="D495" t="s">
        <v>1661</v>
      </c>
      <c r="E495" t="s">
        <v>37</v>
      </c>
      <c r="F495" t="s">
        <v>304</v>
      </c>
      <c r="G495" t="s">
        <v>223</v>
      </c>
      <c r="H495" t="s">
        <v>2729</v>
      </c>
      <c r="I495" t="s">
        <v>2730</v>
      </c>
      <c r="J495" t="s">
        <v>186</v>
      </c>
      <c r="K495" t="s">
        <v>232</v>
      </c>
      <c r="L495" t="s">
        <v>232</v>
      </c>
      <c r="M495" t="s">
        <v>539</v>
      </c>
      <c r="N495" t="s">
        <v>1662</v>
      </c>
      <c r="O495">
        <v>10026654</v>
      </c>
      <c r="P495" s="120">
        <v>42767</v>
      </c>
      <c r="Q495" s="120">
        <v>42769</v>
      </c>
      <c r="R495" s="120">
        <v>42811</v>
      </c>
      <c r="S495" t="s">
        <v>196</v>
      </c>
      <c r="T495">
        <v>3</v>
      </c>
      <c r="U495" t="s">
        <v>128</v>
      </c>
      <c r="V495">
        <v>3</v>
      </c>
      <c r="W495">
        <v>3</v>
      </c>
      <c r="X495">
        <v>3</v>
      </c>
      <c r="Y495">
        <v>3</v>
      </c>
      <c r="Z495" t="s">
        <v>2730</v>
      </c>
      <c r="AA495" t="s">
        <v>2730</v>
      </c>
      <c r="AB495" t="s">
        <v>2733</v>
      </c>
      <c r="AC495" t="s">
        <v>2730</v>
      </c>
      <c r="AD495" t="s">
        <v>2730</v>
      </c>
      <c r="AE495" t="s">
        <v>2730</v>
      </c>
      <c r="AF495" t="s">
        <v>2730</v>
      </c>
      <c r="AG495" t="s">
        <v>2730</v>
      </c>
      <c r="AH495" t="s">
        <v>2730</v>
      </c>
    </row>
    <row r="496" spans="1:34">
      <c r="A496" s="149" t="str">
        <f>HYPERLINK("http://www.ofsted.gov.uk/inspection-reports/find-inspection-report/provider/ELS/100371 ","Ofsted School Webpage")</f>
        <v>Ofsted School Webpage</v>
      </c>
      <c r="B496">
        <v>100371</v>
      </c>
      <c r="C496">
        <v>2056359</v>
      </c>
      <c r="D496" t="s">
        <v>1663</v>
      </c>
      <c r="E496" t="s">
        <v>37</v>
      </c>
      <c r="F496" t="s">
        <v>184</v>
      </c>
      <c r="G496" t="s">
        <v>184</v>
      </c>
      <c r="H496" t="s">
        <v>2729</v>
      </c>
      <c r="I496" t="s">
        <v>2730</v>
      </c>
      <c r="J496" t="s">
        <v>186</v>
      </c>
      <c r="K496" t="s">
        <v>232</v>
      </c>
      <c r="L496" t="s">
        <v>232</v>
      </c>
      <c r="M496" t="s">
        <v>300</v>
      </c>
      <c r="N496" t="s">
        <v>1664</v>
      </c>
      <c r="O496" t="s">
        <v>1665</v>
      </c>
      <c r="P496" s="120">
        <v>40828</v>
      </c>
      <c r="Q496" s="120">
        <v>40829</v>
      </c>
      <c r="R496" s="120">
        <v>40857</v>
      </c>
      <c r="S496" t="s">
        <v>196</v>
      </c>
      <c r="T496">
        <v>1</v>
      </c>
      <c r="U496" t="s">
        <v>2730</v>
      </c>
      <c r="V496" t="s">
        <v>2730</v>
      </c>
      <c r="W496" t="s">
        <v>2730</v>
      </c>
      <c r="X496">
        <v>1</v>
      </c>
      <c r="Y496">
        <v>1</v>
      </c>
      <c r="Z496">
        <v>2</v>
      </c>
      <c r="AA496" t="s">
        <v>2730</v>
      </c>
      <c r="AB496" t="s">
        <v>2730</v>
      </c>
      <c r="AC496" t="s">
        <v>2730</v>
      </c>
      <c r="AD496" t="s">
        <v>2730</v>
      </c>
      <c r="AE496" s="120" t="s">
        <v>2730</v>
      </c>
      <c r="AF496" t="s">
        <v>2730</v>
      </c>
      <c r="AG496" s="120" t="s">
        <v>2730</v>
      </c>
      <c r="AH496" t="s">
        <v>2730</v>
      </c>
    </row>
    <row r="497" spans="1:34">
      <c r="A497" s="149" t="str">
        <f>HYPERLINK("http://www.ofsted.gov.uk/inspection-reports/find-inspection-report/provider/ELS/136014 ","Ofsted School Webpage")</f>
        <v>Ofsted School Webpage</v>
      </c>
      <c r="B497">
        <v>136014</v>
      </c>
      <c r="C497">
        <v>3026122</v>
      </c>
      <c r="D497" t="s">
        <v>1666</v>
      </c>
      <c r="E497" t="s">
        <v>37</v>
      </c>
      <c r="F497" t="s">
        <v>184</v>
      </c>
      <c r="G497" t="s">
        <v>318</v>
      </c>
      <c r="H497" t="s">
        <v>2729</v>
      </c>
      <c r="I497" t="s">
        <v>2730</v>
      </c>
      <c r="J497" t="s">
        <v>186</v>
      </c>
      <c r="K497" t="s">
        <v>232</v>
      </c>
      <c r="L497" t="s">
        <v>232</v>
      </c>
      <c r="M497" t="s">
        <v>311</v>
      </c>
      <c r="N497" t="s">
        <v>1667</v>
      </c>
      <c r="O497" t="s">
        <v>1668</v>
      </c>
      <c r="P497" s="120">
        <v>41828</v>
      </c>
      <c r="Q497" s="120">
        <v>41830</v>
      </c>
      <c r="R497" s="120">
        <v>41892</v>
      </c>
      <c r="S497" t="s">
        <v>196</v>
      </c>
      <c r="T497">
        <v>2</v>
      </c>
      <c r="U497" t="s">
        <v>2730</v>
      </c>
      <c r="V497">
        <v>2</v>
      </c>
      <c r="W497" t="s">
        <v>2730</v>
      </c>
      <c r="X497">
        <v>2</v>
      </c>
      <c r="Y497">
        <v>2</v>
      </c>
      <c r="Z497" t="s">
        <v>2730</v>
      </c>
      <c r="AA497" t="s">
        <v>2730</v>
      </c>
      <c r="AB497" t="s">
        <v>2730</v>
      </c>
      <c r="AC497" t="s">
        <v>2730</v>
      </c>
      <c r="AD497" t="s">
        <v>2730</v>
      </c>
      <c r="AE497" t="s">
        <v>2730</v>
      </c>
      <c r="AF497" t="s">
        <v>2730</v>
      </c>
      <c r="AG497" t="s">
        <v>2730</v>
      </c>
      <c r="AH497" t="s">
        <v>2730</v>
      </c>
    </row>
    <row r="498" spans="1:34">
      <c r="A498" s="149" t="str">
        <f>HYPERLINK("http://www.ofsted.gov.uk/inspection-reports/find-inspection-report/provider/ELS/137275 ","Ofsted School Webpage")</f>
        <v>Ofsted School Webpage</v>
      </c>
      <c r="B498">
        <v>137275</v>
      </c>
      <c r="C498">
        <v>3556059</v>
      </c>
      <c r="D498" t="s">
        <v>1765</v>
      </c>
      <c r="E498" t="s">
        <v>37</v>
      </c>
      <c r="F498" t="s">
        <v>184</v>
      </c>
      <c r="G498" t="s">
        <v>184</v>
      </c>
      <c r="H498" t="s">
        <v>2729</v>
      </c>
      <c r="I498" t="s">
        <v>2730</v>
      </c>
      <c r="J498" t="s">
        <v>186</v>
      </c>
      <c r="K498" t="s">
        <v>205</v>
      </c>
      <c r="L498" t="s">
        <v>205</v>
      </c>
      <c r="M498" t="s">
        <v>853</v>
      </c>
      <c r="N498" t="s">
        <v>1766</v>
      </c>
      <c r="O498">
        <v>10006128</v>
      </c>
      <c r="P498" s="120">
        <v>42437</v>
      </c>
      <c r="Q498" s="120">
        <v>42438</v>
      </c>
      <c r="R498" s="120">
        <v>42461</v>
      </c>
      <c r="S498" t="s">
        <v>196</v>
      </c>
      <c r="T498">
        <v>2</v>
      </c>
      <c r="U498" t="s">
        <v>128</v>
      </c>
      <c r="V498">
        <v>2</v>
      </c>
      <c r="W498">
        <v>2</v>
      </c>
      <c r="X498">
        <v>2</v>
      </c>
      <c r="Y498">
        <v>2</v>
      </c>
      <c r="Z498" t="s">
        <v>2730</v>
      </c>
      <c r="AA498" t="s">
        <v>2730</v>
      </c>
      <c r="AB498" t="s">
        <v>2732</v>
      </c>
      <c r="AC498" t="s">
        <v>2730</v>
      </c>
      <c r="AD498" t="s">
        <v>2730</v>
      </c>
      <c r="AE498" s="120" t="s">
        <v>2730</v>
      </c>
      <c r="AF498" t="s">
        <v>2730</v>
      </c>
      <c r="AG498" s="120" t="s">
        <v>2730</v>
      </c>
      <c r="AH498" t="s">
        <v>2730</v>
      </c>
    </row>
    <row r="499" spans="1:34">
      <c r="A499" s="149" t="str">
        <f>HYPERLINK("http://www.ofsted.gov.uk/inspection-reports/find-inspection-report/provider/ELS/136425 ","Ofsted School Webpage")</f>
        <v>Ofsted School Webpage</v>
      </c>
      <c r="B499">
        <v>136425</v>
      </c>
      <c r="C499">
        <v>8926074</v>
      </c>
      <c r="D499" t="s">
        <v>2034</v>
      </c>
      <c r="E499" t="s">
        <v>37</v>
      </c>
      <c r="F499" t="s">
        <v>184</v>
      </c>
      <c r="G499" t="s">
        <v>223</v>
      </c>
      <c r="H499" t="s">
        <v>2729</v>
      </c>
      <c r="I499" t="s">
        <v>2730</v>
      </c>
      <c r="J499" t="s">
        <v>186</v>
      </c>
      <c r="K499" t="s">
        <v>214</v>
      </c>
      <c r="L499" t="s">
        <v>214</v>
      </c>
      <c r="M499" t="s">
        <v>287</v>
      </c>
      <c r="N499" t="s">
        <v>2035</v>
      </c>
      <c r="O499" t="s">
        <v>2036</v>
      </c>
      <c r="P499" s="120">
        <v>42031</v>
      </c>
      <c r="Q499" s="120">
        <v>42033</v>
      </c>
      <c r="R499" s="120">
        <v>42067</v>
      </c>
      <c r="S499" t="s">
        <v>196</v>
      </c>
      <c r="T499">
        <v>2</v>
      </c>
      <c r="U499" t="s">
        <v>2730</v>
      </c>
      <c r="V499">
        <v>2</v>
      </c>
      <c r="W499" t="s">
        <v>2730</v>
      </c>
      <c r="X499">
        <v>2</v>
      </c>
      <c r="Y499">
        <v>2</v>
      </c>
      <c r="Z499">
        <v>2</v>
      </c>
      <c r="AA499">
        <v>9</v>
      </c>
      <c r="AB499" t="s">
        <v>2730</v>
      </c>
      <c r="AC499" t="s">
        <v>2730</v>
      </c>
      <c r="AD499" t="s">
        <v>2730</v>
      </c>
      <c r="AE499" t="s">
        <v>2730</v>
      </c>
      <c r="AF499" t="s">
        <v>2730</v>
      </c>
      <c r="AG499" t="s">
        <v>2730</v>
      </c>
      <c r="AH499" t="s">
        <v>2730</v>
      </c>
    </row>
    <row r="500" spans="1:34">
      <c r="A500" s="149" t="str">
        <f>HYPERLINK("http://www.ofsted.gov.uk/inspection-reports/find-inspection-report/provider/ELS/131198 ","Ofsted School Webpage")</f>
        <v>Ofsted School Webpage</v>
      </c>
      <c r="B500">
        <v>131198</v>
      </c>
      <c r="C500">
        <v>2116386</v>
      </c>
      <c r="D500" t="s">
        <v>2037</v>
      </c>
      <c r="E500" t="s">
        <v>37</v>
      </c>
      <c r="F500" t="s">
        <v>184</v>
      </c>
      <c r="G500" t="s">
        <v>184</v>
      </c>
      <c r="H500" t="s">
        <v>2729</v>
      </c>
      <c r="I500" t="s">
        <v>2730</v>
      </c>
      <c r="J500" t="s">
        <v>186</v>
      </c>
      <c r="K500" t="s">
        <v>232</v>
      </c>
      <c r="L500" t="s">
        <v>232</v>
      </c>
      <c r="M500" t="s">
        <v>539</v>
      </c>
      <c r="N500" t="s">
        <v>2038</v>
      </c>
      <c r="O500" t="s">
        <v>2039</v>
      </c>
      <c r="P500" s="120">
        <v>41394</v>
      </c>
      <c r="Q500" s="120">
        <v>41396</v>
      </c>
      <c r="R500" s="120">
        <v>41417</v>
      </c>
      <c r="S500" t="s">
        <v>196</v>
      </c>
      <c r="T500">
        <v>2</v>
      </c>
      <c r="U500" t="s">
        <v>2730</v>
      </c>
      <c r="V500">
        <v>2</v>
      </c>
      <c r="W500" t="s">
        <v>2730</v>
      </c>
      <c r="X500">
        <v>2</v>
      </c>
      <c r="Y500">
        <v>2</v>
      </c>
      <c r="Z500" t="s">
        <v>2730</v>
      </c>
      <c r="AA500" t="s">
        <v>2730</v>
      </c>
      <c r="AB500" t="s">
        <v>2730</v>
      </c>
      <c r="AC500" t="s">
        <v>2730</v>
      </c>
      <c r="AD500" t="s">
        <v>2730</v>
      </c>
      <c r="AE500" t="s">
        <v>2730</v>
      </c>
      <c r="AF500" t="s">
        <v>2730</v>
      </c>
      <c r="AG500" t="s">
        <v>2730</v>
      </c>
      <c r="AH500" t="s">
        <v>2730</v>
      </c>
    </row>
    <row r="501" spans="1:34">
      <c r="A501" s="149" t="str">
        <f>HYPERLINK("http://www.ofsted.gov.uk/inspection-reports/find-inspection-report/provider/ELS/135688 ","Ofsted School Webpage")</f>
        <v>Ofsted School Webpage</v>
      </c>
      <c r="B501">
        <v>135688</v>
      </c>
      <c r="C501">
        <v>3306205</v>
      </c>
      <c r="D501" t="s">
        <v>2040</v>
      </c>
      <c r="E501" t="s">
        <v>37</v>
      </c>
      <c r="F501" t="s">
        <v>184</v>
      </c>
      <c r="G501" t="s">
        <v>184</v>
      </c>
      <c r="H501" t="s">
        <v>2729</v>
      </c>
      <c r="I501" t="s">
        <v>2730</v>
      </c>
      <c r="J501" t="s">
        <v>186</v>
      </c>
      <c r="K501" t="s">
        <v>193</v>
      </c>
      <c r="L501" t="s">
        <v>193</v>
      </c>
      <c r="M501" t="s">
        <v>210</v>
      </c>
      <c r="N501" t="s">
        <v>2041</v>
      </c>
      <c r="O501">
        <v>10006060</v>
      </c>
      <c r="P501" s="120">
        <v>42871</v>
      </c>
      <c r="Q501" s="120">
        <v>42873</v>
      </c>
      <c r="R501" s="120">
        <v>42913</v>
      </c>
      <c r="S501" t="s">
        <v>196</v>
      </c>
      <c r="T501">
        <v>2</v>
      </c>
      <c r="U501" t="s">
        <v>128</v>
      </c>
      <c r="V501">
        <v>2</v>
      </c>
      <c r="W501">
        <v>2</v>
      </c>
      <c r="X501">
        <v>2</v>
      </c>
      <c r="Y501">
        <v>2</v>
      </c>
      <c r="Z501" t="s">
        <v>2730</v>
      </c>
      <c r="AA501" t="s">
        <v>2730</v>
      </c>
      <c r="AB501" t="s">
        <v>2732</v>
      </c>
      <c r="AC501" t="s">
        <v>2730</v>
      </c>
      <c r="AD501" t="s">
        <v>2730</v>
      </c>
      <c r="AE501" t="s">
        <v>2730</v>
      </c>
      <c r="AF501" t="s">
        <v>2730</v>
      </c>
      <c r="AG501" t="s">
        <v>2730</v>
      </c>
      <c r="AH501" t="s">
        <v>2730</v>
      </c>
    </row>
    <row r="502" spans="1:34">
      <c r="A502" s="149" t="str">
        <f>HYPERLINK("http://www.ofsted.gov.uk/inspection-reports/find-inspection-report/provider/ELS/135998 ","Ofsted School Webpage")</f>
        <v>Ofsted School Webpage</v>
      </c>
      <c r="B502">
        <v>135998</v>
      </c>
      <c r="C502">
        <v>3596011</v>
      </c>
      <c r="D502" t="s">
        <v>1722</v>
      </c>
      <c r="E502" t="s">
        <v>37</v>
      </c>
      <c r="F502" t="s">
        <v>184</v>
      </c>
      <c r="G502" t="s">
        <v>184</v>
      </c>
      <c r="H502" t="s">
        <v>2729</v>
      </c>
      <c r="I502" t="s">
        <v>2730</v>
      </c>
      <c r="J502" t="s">
        <v>186</v>
      </c>
      <c r="K502" t="s">
        <v>205</v>
      </c>
      <c r="L502" t="s">
        <v>205</v>
      </c>
      <c r="M502" t="s">
        <v>471</v>
      </c>
      <c r="N502" t="s">
        <v>1723</v>
      </c>
      <c r="O502">
        <v>10026013</v>
      </c>
      <c r="P502" s="120">
        <v>42815</v>
      </c>
      <c r="Q502" s="120">
        <v>42817</v>
      </c>
      <c r="R502" s="120">
        <v>42850</v>
      </c>
      <c r="S502" t="s">
        <v>196</v>
      </c>
      <c r="T502">
        <v>2</v>
      </c>
      <c r="U502" t="s">
        <v>128</v>
      </c>
      <c r="V502">
        <v>2</v>
      </c>
      <c r="W502">
        <v>1</v>
      </c>
      <c r="X502">
        <v>2</v>
      </c>
      <c r="Y502">
        <v>2</v>
      </c>
      <c r="Z502">
        <v>2</v>
      </c>
      <c r="AA502" t="s">
        <v>2730</v>
      </c>
      <c r="AB502" t="s">
        <v>2732</v>
      </c>
      <c r="AC502" t="s">
        <v>2730</v>
      </c>
      <c r="AD502" t="s">
        <v>2730</v>
      </c>
      <c r="AE502" t="s">
        <v>2730</v>
      </c>
      <c r="AF502" t="s">
        <v>2730</v>
      </c>
      <c r="AG502" t="s">
        <v>2730</v>
      </c>
      <c r="AH502" t="s">
        <v>2730</v>
      </c>
    </row>
    <row r="503" spans="1:34">
      <c r="A503" s="149" t="str">
        <f>HYPERLINK("http://www.ofsted.gov.uk/inspection-reports/find-inspection-report/provider/ELS/135633 ","Ofsted School Webpage")</f>
        <v>Ofsted School Webpage</v>
      </c>
      <c r="B503">
        <v>135633</v>
      </c>
      <c r="C503">
        <v>3556056</v>
      </c>
      <c r="D503" t="s">
        <v>852</v>
      </c>
      <c r="E503" t="s">
        <v>38</v>
      </c>
      <c r="F503" t="s">
        <v>318</v>
      </c>
      <c r="G503" t="s">
        <v>318</v>
      </c>
      <c r="H503" t="s">
        <v>2729</v>
      </c>
      <c r="I503" t="s">
        <v>2730</v>
      </c>
      <c r="J503" t="s">
        <v>186</v>
      </c>
      <c r="K503" t="s">
        <v>205</v>
      </c>
      <c r="L503" t="s">
        <v>205</v>
      </c>
      <c r="M503" t="s">
        <v>853</v>
      </c>
      <c r="N503" t="s">
        <v>854</v>
      </c>
      <c r="O503" t="s">
        <v>855</v>
      </c>
      <c r="P503" s="120">
        <v>42137</v>
      </c>
      <c r="Q503" s="120">
        <v>42139</v>
      </c>
      <c r="R503" s="120">
        <v>42174</v>
      </c>
      <c r="S503" t="s">
        <v>196</v>
      </c>
      <c r="T503">
        <v>2</v>
      </c>
      <c r="U503" t="s">
        <v>2730</v>
      </c>
      <c r="V503">
        <v>2</v>
      </c>
      <c r="W503" t="s">
        <v>2730</v>
      </c>
      <c r="X503">
        <v>2</v>
      </c>
      <c r="Y503">
        <v>2</v>
      </c>
      <c r="Z503">
        <v>2</v>
      </c>
      <c r="AA503">
        <v>9</v>
      </c>
      <c r="AB503" t="s">
        <v>2730</v>
      </c>
      <c r="AC503" t="s">
        <v>2730</v>
      </c>
      <c r="AD503" t="s">
        <v>2730</v>
      </c>
      <c r="AE503" t="s">
        <v>2730</v>
      </c>
      <c r="AF503" t="s">
        <v>2730</v>
      </c>
      <c r="AG503" t="s">
        <v>2730</v>
      </c>
      <c r="AH503" t="s">
        <v>2730</v>
      </c>
    </row>
    <row r="504" spans="1:34">
      <c r="A504" s="149" t="str">
        <f>HYPERLINK("http://www.ofsted.gov.uk/inspection-reports/find-inspection-report/provider/ELS/113021 ","Ofsted School Webpage")</f>
        <v>Ofsted School Webpage</v>
      </c>
      <c r="B504">
        <v>113021</v>
      </c>
      <c r="C504">
        <v>8306016</v>
      </c>
      <c r="D504" t="s">
        <v>1064</v>
      </c>
      <c r="E504" t="s">
        <v>38</v>
      </c>
      <c r="F504" t="s">
        <v>184</v>
      </c>
      <c r="G504" t="s">
        <v>184</v>
      </c>
      <c r="H504" t="s">
        <v>2729</v>
      </c>
      <c r="I504" t="s">
        <v>2730</v>
      </c>
      <c r="J504" t="s">
        <v>186</v>
      </c>
      <c r="K504" t="s">
        <v>214</v>
      </c>
      <c r="L504" t="s">
        <v>214</v>
      </c>
      <c r="M504" t="s">
        <v>364</v>
      </c>
      <c r="N504" t="s">
        <v>1065</v>
      </c>
      <c r="O504" t="s">
        <v>1066</v>
      </c>
      <c r="P504" s="120">
        <v>41821</v>
      </c>
      <c r="Q504" s="120">
        <v>41898</v>
      </c>
      <c r="R504" s="120">
        <v>41957</v>
      </c>
      <c r="S504" t="s">
        <v>3119</v>
      </c>
      <c r="T504">
        <v>2</v>
      </c>
      <c r="U504" t="s">
        <v>2730</v>
      </c>
      <c r="V504">
        <v>2</v>
      </c>
      <c r="W504" t="s">
        <v>2730</v>
      </c>
      <c r="X504">
        <v>2</v>
      </c>
      <c r="Y504">
        <v>2</v>
      </c>
      <c r="Z504" t="s">
        <v>2730</v>
      </c>
      <c r="AA504" t="s">
        <v>2730</v>
      </c>
      <c r="AB504" t="s">
        <v>2730</v>
      </c>
      <c r="AC504" t="s">
        <v>2730</v>
      </c>
      <c r="AD504" t="s">
        <v>2730</v>
      </c>
      <c r="AE504" t="s">
        <v>2730</v>
      </c>
      <c r="AF504" t="s">
        <v>2730</v>
      </c>
      <c r="AG504" t="s">
        <v>2730</v>
      </c>
      <c r="AH504" t="s">
        <v>2730</v>
      </c>
    </row>
    <row r="505" spans="1:34">
      <c r="A505" s="149" t="str">
        <f>HYPERLINK("http://www.ofsted.gov.uk/inspection-reports/find-inspection-report/provider/ELS/138875 ","Ofsted School Webpage")</f>
        <v>Ofsted School Webpage</v>
      </c>
      <c r="B505">
        <v>138875</v>
      </c>
      <c r="C505">
        <v>8936030</v>
      </c>
      <c r="D505" t="s">
        <v>192</v>
      </c>
      <c r="E505" t="s">
        <v>38</v>
      </c>
      <c r="F505" t="s">
        <v>184</v>
      </c>
      <c r="G505" t="s">
        <v>184</v>
      </c>
      <c r="H505" t="s">
        <v>2729</v>
      </c>
      <c r="I505" t="s">
        <v>2730</v>
      </c>
      <c r="J505" t="s">
        <v>186</v>
      </c>
      <c r="K505" t="s">
        <v>193</v>
      </c>
      <c r="L505" t="s">
        <v>193</v>
      </c>
      <c r="M505" t="s">
        <v>194</v>
      </c>
      <c r="N505" t="s">
        <v>195</v>
      </c>
      <c r="O505">
        <v>10012924</v>
      </c>
      <c r="P505" s="120">
        <v>43011</v>
      </c>
      <c r="Q505" s="120">
        <v>43013</v>
      </c>
      <c r="R505" s="120">
        <v>43060</v>
      </c>
      <c r="S505" t="s">
        <v>196</v>
      </c>
      <c r="T505">
        <v>4</v>
      </c>
      <c r="U505" t="s">
        <v>128</v>
      </c>
      <c r="V505">
        <v>4</v>
      </c>
      <c r="W505">
        <v>3</v>
      </c>
      <c r="X505">
        <v>3</v>
      </c>
      <c r="Y505">
        <v>3</v>
      </c>
      <c r="Z505" t="s">
        <v>2730</v>
      </c>
      <c r="AA505" t="s">
        <v>2730</v>
      </c>
      <c r="AB505" t="s">
        <v>2733</v>
      </c>
      <c r="AC505" t="s">
        <v>2730</v>
      </c>
      <c r="AD505" t="s">
        <v>2730</v>
      </c>
      <c r="AE505" t="s">
        <v>2730</v>
      </c>
      <c r="AF505" t="s">
        <v>2730</v>
      </c>
      <c r="AG505" t="s">
        <v>2730</v>
      </c>
      <c r="AH505" t="s">
        <v>2730</v>
      </c>
    </row>
    <row r="506" spans="1:34">
      <c r="A506" s="149" t="str">
        <f>HYPERLINK("http://www.ofsted.gov.uk/inspection-reports/find-inspection-report/provider/ELS/139657 ","Ofsted School Webpage")</f>
        <v>Ofsted School Webpage</v>
      </c>
      <c r="B506">
        <v>139657</v>
      </c>
      <c r="C506">
        <v>8456019</v>
      </c>
      <c r="D506" t="s">
        <v>1067</v>
      </c>
      <c r="E506" t="s">
        <v>38</v>
      </c>
      <c r="F506" t="s">
        <v>184</v>
      </c>
      <c r="G506" t="s">
        <v>184</v>
      </c>
      <c r="H506" t="s">
        <v>2729</v>
      </c>
      <c r="I506" t="s">
        <v>2730</v>
      </c>
      <c r="J506" t="s">
        <v>186</v>
      </c>
      <c r="K506" t="s">
        <v>181</v>
      </c>
      <c r="L506" t="s">
        <v>181</v>
      </c>
      <c r="M506" t="s">
        <v>438</v>
      </c>
      <c r="N506" t="s">
        <v>1068</v>
      </c>
      <c r="O506">
        <v>10033957</v>
      </c>
      <c r="P506" s="120">
        <v>42906</v>
      </c>
      <c r="Q506" s="120">
        <v>42908</v>
      </c>
      <c r="R506" s="120">
        <v>42986</v>
      </c>
      <c r="S506" t="s">
        <v>196</v>
      </c>
      <c r="T506">
        <v>4</v>
      </c>
      <c r="U506" t="s">
        <v>129</v>
      </c>
      <c r="V506">
        <v>4</v>
      </c>
      <c r="W506">
        <v>4</v>
      </c>
      <c r="X506">
        <v>3</v>
      </c>
      <c r="Y506">
        <v>3</v>
      </c>
      <c r="Z506" t="s">
        <v>2730</v>
      </c>
      <c r="AA506" t="s">
        <v>2730</v>
      </c>
      <c r="AB506" t="s">
        <v>2733</v>
      </c>
      <c r="AC506" t="s">
        <v>2730</v>
      </c>
      <c r="AD506" t="s">
        <v>2730</v>
      </c>
      <c r="AE506" t="s">
        <v>2730</v>
      </c>
      <c r="AF506" t="s">
        <v>2730</v>
      </c>
      <c r="AG506" t="s">
        <v>2730</v>
      </c>
      <c r="AH506" t="s">
        <v>2730</v>
      </c>
    </row>
    <row r="507" spans="1:34">
      <c r="A507" s="149" t="str">
        <f>HYPERLINK("http://www.ofsted.gov.uk/inspection-reports/find-inspection-report/provider/ELS/136936 ","Ofsted School Webpage")</f>
        <v>Ofsted School Webpage</v>
      </c>
      <c r="B507">
        <v>136936</v>
      </c>
      <c r="C507">
        <v>3736002</v>
      </c>
      <c r="D507" t="s">
        <v>861</v>
      </c>
      <c r="E507" t="s">
        <v>38</v>
      </c>
      <c r="F507" t="s">
        <v>184</v>
      </c>
      <c r="G507" t="s">
        <v>184</v>
      </c>
      <c r="H507" t="s">
        <v>2729</v>
      </c>
      <c r="I507" t="s">
        <v>2730</v>
      </c>
      <c r="J507" t="s">
        <v>186</v>
      </c>
      <c r="K507" t="s">
        <v>245</v>
      </c>
      <c r="L507" t="s">
        <v>246</v>
      </c>
      <c r="M507" t="s">
        <v>664</v>
      </c>
      <c r="N507" t="s">
        <v>862</v>
      </c>
      <c r="O507">
        <v>10008895</v>
      </c>
      <c r="P507" s="120">
        <v>42402</v>
      </c>
      <c r="Q507" s="120">
        <v>42404</v>
      </c>
      <c r="R507" s="120">
        <v>42432</v>
      </c>
      <c r="S507" t="s">
        <v>196</v>
      </c>
      <c r="T507">
        <v>2</v>
      </c>
      <c r="U507" t="s">
        <v>128</v>
      </c>
      <c r="V507">
        <v>2</v>
      </c>
      <c r="W507">
        <v>2</v>
      </c>
      <c r="X507">
        <v>2</v>
      </c>
      <c r="Y507">
        <v>2</v>
      </c>
      <c r="Z507" t="s">
        <v>2730</v>
      </c>
      <c r="AA507">
        <v>3</v>
      </c>
      <c r="AB507" t="s">
        <v>2732</v>
      </c>
      <c r="AC507" t="s">
        <v>2730</v>
      </c>
      <c r="AD507" t="s">
        <v>2730</v>
      </c>
      <c r="AE507" t="s">
        <v>2730</v>
      </c>
      <c r="AF507" t="s">
        <v>2730</v>
      </c>
      <c r="AG507" t="s">
        <v>2730</v>
      </c>
      <c r="AH507" t="s">
        <v>2730</v>
      </c>
    </row>
    <row r="508" spans="1:34">
      <c r="A508" s="149" t="str">
        <f>HYPERLINK("http://www.ofsted.gov.uk/inspection-reports/find-inspection-report/provider/ELS/119021 ","Ofsted School Webpage")</f>
        <v>Ofsted School Webpage</v>
      </c>
      <c r="B508">
        <v>119021</v>
      </c>
      <c r="C508">
        <v>8866070</v>
      </c>
      <c r="D508" t="s">
        <v>1370</v>
      </c>
      <c r="E508" t="s">
        <v>38</v>
      </c>
      <c r="F508" t="s">
        <v>184</v>
      </c>
      <c r="G508" t="s">
        <v>184</v>
      </c>
      <c r="H508" t="s">
        <v>2729</v>
      </c>
      <c r="I508" t="s">
        <v>2730</v>
      </c>
      <c r="J508" t="s">
        <v>186</v>
      </c>
      <c r="K508" t="s">
        <v>181</v>
      </c>
      <c r="L508" t="s">
        <v>181</v>
      </c>
      <c r="M508" t="s">
        <v>182</v>
      </c>
      <c r="N508" t="s">
        <v>1371</v>
      </c>
      <c r="O508">
        <v>10008524</v>
      </c>
      <c r="P508" s="120">
        <v>42661</v>
      </c>
      <c r="Q508" s="120">
        <v>42663</v>
      </c>
      <c r="R508" s="120">
        <v>42688</v>
      </c>
      <c r="S508" t="s">
        <v>196</v>
      </c>
      <c r="T508">
        <v>2</v>
      </c>
      <c r="U508" t="s">
        <v>128</v>
      </c>
      <c r="V508">
        <v>2</v>
      </c>
      <c r="W508">
        <v>2</v>
      </c>
      <c r="X508">
        <v>2</v>
      </c>
      <c r="Y508">
        <v>2</v>
      </c>
      <c r="Z508" t="s">
        <v>2730</v>
      </c>
      <c r="AA508">
        <v>2</v>
      </c>
      <c r="AB508" t="s">
        <v>2732</v>
      </c>
      <c r="AC508" t="s">
        <v>2730</v>
      </c>
      <c r="AD508" t="s">
        <v>2730</v>
      </c>
      <c r="AE508" s="120" t="s">
        <v>2730</v>
      </c>
      <c r="AF508" t="s">
        <v>2730</v>
      </c>
      <c r="AG508" s="120" t="s">
        <v>2730</v>
      </c>
      <c r="AH508" t="s">
        <v>2730</v>
      </c>
    </row>
    <row r="509" spans="1:34">
      <c r="A509" s="149" t="str">
        <f>HYPERLINK("http://www.ofsted.gov.uk/inspection-reports/find-inspection-report/provider/ELS/140567 ","Ofsted School Webpage")</f>
        <v>Ofsted School Webpage</v>
      </c>
      <c r="B509">
        <v>140567</v>
      </c>
      <c r="C509">
        <v>9336002</v>
      </c>
      <c r="D509" t="s">
        <v>3061</v>
      </c>
      <c r="E509" t="s">
        <v>38</v>
      </c>
      <c r="F509" t="s">
        <v>184</v>
      </c>
      <c r="G509" t="s">
        <v>184</v>
      </c>
      <c r="H509" t="s">
        <v>2729</v>
      </c>
      <c r="I509" t="s">
        <v>2730</v>
      </c>
      <c r="J509" t="s">
        <v>186</v>
      </c>
      <c r="K509" t="s">
        <v>225</v>
      </c>
      <c r="L509" t="s">
        <v>225</v>
      </c>
      <c r="M509" t="s">
        <v>262</v>
      </c>
      <c r="N509" t="s">
        <v>3062</v>
      </c>
      <c r="O509" t="s">
        <v>3063</v>
      </c>
      <c r="P509" s="120">
        <v>41961</v>
      </c>
      <c r="Q509" s="120">
        <v>41963</v>
      </c>
      <c r="R509" s="120">
        <v>41984</v>
      </c>
      <c r="S509" t="s">
        <v>249</v>
      </c>
      <c r="T509">
        <v>3</v>
      </c>
      <c r="U509" t="s">
        <v>2730</v>
      </c>
      <c r="V509">
        <v>3</v>
      </c>
      <c r="W509" t="s">
        <v>2730</v>
      </c>
      <c r="X509">
        <v>3</v>
      </c>
      <c r="Y509">
        <v>3</v>
      </c>
      <c r="Z509">
        <v>9</v>
      </c>
      <c r="AA509">
        <v>3</v>
      </c>
      <c r="AB509" t="s">
        <v>2730</v>
      </c>
      <c r="AC509" t="s">
        <v>2730</v>
      </c>
      <c r="AD509" t="s">
        <v>2730</v>
      </c>
      <c r="AE509" t="s">
        <v>2730</v>
      </c>
      <c r="AF509" t="s">
        <v>2730</v>
      </c>
      <c r="AG509" t="s">
        <v>2730</v>
      </c>
      <c r="AH509" t="s">
        <v>2730</v>
      </c>
    </row>
    <row r="510" spans="1:34">
      <c r="A510" s="149" t="str">
        <f>HYPERLINK("http://www.ofsted.gov.uk/inspection-reports/find-inspection-report/provider/ELS/105748 ","Ofsted School Webpage")</f>
        <v>Ofsted School Webpage</v>
      </c>
      <c r="B510">
        <v>105748</v>
      </c>
      <c r="C510">
        <v>3536015</v>
      </c>
      <c r="D510" t="s">
        <v>1372</v>
      </c>
      <c r="E510" t="s">
        <v>38</v>
      </c>
      <c r="F510" t="s">
        <v>184</v>
      </c>
      <c r="G510" t="s">
        <v>184</v>
      </c>
      <c r="H510" t="s">
        <v>2729</v>
      </c>
      <c r="I510" t="s">
        <v>2730</v>
      </c>
      <c r="J510" t="s">
        <v>186</v>
      </c>
      <c r="K510" t="s">
        <v>205</v>
      </c>
      <c r="L510" t="s">
        <v>205</v>
      </c>
      <c r="M510" t="s">
        <v>468</v>
      </c>
      <c r="N510" t="s">
        <v>1373</v>
      </c>
      <c r="O510">
        <v>10008576</v>
      </c>
      <c r="P510" s="120">
        <v>42682</v>
      </c>
      <c r="Q510" s="120">
        <v>42684</v>
      </c>
      <c r="R510" s="120">
        <v>42724</v>
      </c>
      <c r="S510" t="s">
        <v>196</v>
      </c>
      <c r="T510">
        <v>2</v>
      </c>
      <c r="U510" t="s">
        <v>128</v>
      </c>
      <c r="V510">
        <v>2</v>
      </c>
      <c r="W510">
        <v>2</v>
      </c>
      <c r="X510">
        <v>2</v>
      </c>
      <c r="Y510">
        <v>2</v>
      </c>
      <c r="Z510" t="s">
        <v>2730</v>
      </c>
      <c r="AA510">
        <v>3</v>
      </c>
      <c r="AB510" t="s">
        <v>2732</v>
      </c>
      <c r="AC510" t="s">
        <v>2730</v>
      </c>
      <c r="AD510" t="s">
        <v>2730</v>
      </c>
      <c r="AE510" t="s">
        <v>2730</v>
      </c>
      <c r="AF510" t="s">
        <v>2730</v>
      </c>
      <c r="AG510" t="s">
        <v>2730</v>
      </c>
      <c r="AH510" t="s">
        <v>2730</v>
      </c>
    </row>
    <row r="511" spans="1:34">
      <c r="A511" s="149" t="str">
        <f>HYPERLINK("http://www.ofsted.gov.uk/inspection-reports/find-inspection-report/provider/ELS/137334 ","Ofsted School Webpage")</f>
        <v>Ofsted School Webpage</v>
      </c>
      <c r="B511">
        <v>137334</v>
      </c>
      <c r="C511">
        <v>9316000</v>
      </c>
      <c r="D511" t="s">
        <v>863</v>
      </c>
      <c r="E511" t="s">
        <v>38</v>
      </c>
      <c r="F511" t="s">
        <v>184</v>
      </c>
      <c r="G511" t="s">
        <v>184</v>
      </c>
      <c r="H511" t="s">
        <v>2729</v>
      </c>
      <c r="I511" t="s">
        <v>2730</v>
      </c>
      <c r="J511" t="s">
        <v>186</v>
      </c>
      <c r="K511" t="s">
        <v>181</v>
      </c>
      <c r="L511" t="s">
        <v>181</v>
      </c>
      <c r="M511" t="s">
        <v>242</v>
      </c>
      <c r="N511" t="s">
        <v>864</v>
      </c>
      <c r="O511">
        <v>10008614</v>
      </c>
      <c r="P511" s="120">
        <v>42640</v>
      </c>
      <c r="Q511" s="120">
        <v>42642</v>
      </c>
      <c r="R511" s="120">
        <v>42675</v>
      </c>
      <c r="S511" t="s">
        <v>196</v>
      </c>
      <c r="T511">
        <v>2</v>
      </c>
      <c r="U511" t="s">
        <v>128</v>
      </c>
      <c r="V511">
        <v>2</v>
      </c>
      <c r="W511">
        <v>2</v>
      </c>
      <c r="X511">
        <v>2</v>
      </c>
      <c r="Y511">
        <v>2</v>
      </c>
      <c r="Z511" t="s">
        <v>2730</v>
      </c>
      <c r="AA511">
        <v>2</v>
      </c>
      <c r="AB511" t="s">
        <v>2732</v>
      </c>
      <c r="AC511" t="s">
        <v>2730</v>
      </c>
      <c r="AD511" t="s">
        <v>2730</v>
      </c>
      <c r="AE511" t="s">
        <v>2730</v>
      </c>
      <c r="AF511" t="s">
        <v>2730</v>
      </c>
      <c r="AG511" t="s">
        <v>2730</v>
      </c>
      <c r="AH511" t="s">
        <v>2730</v>
      </c>
    </row>
    <row r="512" spans="1:34">
      <c r="A512" s="149" t="str">
        <f>HYPERLINK("http://www.ofsted.gov.uk/inspection-reports/find-inspection-report/provider/ELS/138378 ","Ofsted School Webpage")</f>
        <v>Ofsted School Webpage</v>
      </c>
      <c r="B512">
        <v>138378</v>
      </c>
      <c r="C512">
        <v>3056005</v>
      </c>
      <c r="D512" t="s">
        <v>865</v>
      </c>
      <c r="E512" t="s">
        <v>38</v>
      </c>
      <c r="F512" t="s">
        <v>184</v>
      </c>
      <c r="G512" t="s">
        <v>184</v>
      </c>
      <c r="H512" t="s">
        <v>2729</v>
      </c>
      <c r="I512" t="s">
        <v>2730</v>
      </c>
      <c r="J512" t="s">
        <v>186</v>
      </c>
      <c r="K512" t="s">
        <v>232</v>
      </c>
      <c r="L512" t="s">
        <v>232</v>
      </c>
      <c r="M512" t="s">
        <v>587</v>
      </c>
      <c r="N512" t="s">
        <v>866</v>
      </c>
      <c r="O512">
        <v>10012826</v>
      </c>
      <c r="P512" s="120">
        <v>42809</v>
      </c>
      <c r="Q512" s="120">
        <v>42811</v>
      </c>
      <c r="R512" s="120">
        <v>42858</v>
      </c>
      <c r="S512" t="s">
        <v>196</v>
      </c>
      <c r="T512">
        <v>2</v>
      </c>
      <c r="U512" t="s">
        <v>128</v>
      </c>
      <c r="V512">
        <v>2</v>
      </c>
      <c r="W512">
        <v>1</v>
      </c>
      <c r="X512">
        <v>2</v>
      </c>
      <c r="Y512">
        <v>2</v>
      </c>
      <c r="Z512" t="s">
        <v>2730</v>
      </c>
      <c r="AA512" t="s">
        <v>2730</v>
      </c>
      <c r="AB512" t="s">
        <v>2732</v>
      </c>
      <c r="AC512" t="s">
        <v>2730</v>
      </c>
      <c r="AD512" t="s">
        <v>2730</v>
      </c>
      <c r="AE512" t="s">
        <v>2730</v>
      </c>
      <c r="AF512" t="s">
        <v>2730</v>
      </c>
      <c r="AG512" t="s">
        <v>2730</v>
      </c>
      <c r="AH512" t="s">
        <v>2730</v>
      </c>
    </row>
    <row r="513" spans="1:34">
      <c r="A513" s="149" t="str">
        <f>HYPERLINK("http://www.ofsted.gov.uk/inspection-reports/find-inspection-report/provider/ELS/104975 ","Ofsted School Webpage")</f>
        <v>Ofsted School Webpage</v>
      </c>
      <c r="B513">
        <v>104975</v>
      </c>
      <c r="C513">
        <v>3436131</v>
      </c>
      <c r="D513" t="s">
        <v>867</v>
      </c>
      <c r="E513" t="s">
        <v>38</v>
      </c>
      <c r="F513" t="s">
        <v>184</v>
      </c>
      <c r="G513" t="s">
        <v>184</v>
      </c>
      <c r="H513" t="s">
        <v>2729</v>
      </c>
      <c r="I513" t="s">
        <v>2730</v>
      </c>
      <c r="J513" t="s">
        <v>186</v>
      </c>
      <c r="K513" t="s">
        <v>205</v>
      </c>
      <c r="L513" t="s">
        <v>205</v>
      </c>
      <c r="M513" t="s">
        <v>758</v>
      </c>
      <c r="N513" t="s">
        <v>868</v>
      </c>
      <c r="O513">
        <v>10008521</v>
      </c>
      <c r="P513" s="120">
        <v>42906</v>
      </c>
      <c r="Q513" s="120">
        <v>42908</v>
      </c>
      <c r="R513" s="120">
        <v>42986</v>
      </c>
      <c r="S513" t="s">
        <v>196</v>
      </c>
      <c r="T513">
        <v>2</v>
      </c>
      <c r="U513" t="s">
        <v>128</v>
      </c>
      <c r="V513">
        <v>2</v>
      </c>
      <c r="W513">
        <v>2</v>
      </c>
      <c r="X513">
        <v>2</v>
      </c>
      <c r="Y513">
        <v>2</v>
      </c>
      <c r="Z513" t="s">
        <v>2730</v>
      </c>
      <c r="AA513">
        <v>2</v>
      </c>
      <c r="AB513" t="s">
        <v>2732</v>
      </c>
      <c r="AC513" t="s">
        <v>2730</v>
      </c>
      <c r="AD513" t="s">
        <v>2730</v>
      </c>
      <c r="AE513" s="120" t="s">
        <v>2730</v>
      </c>
      <c r="AF513" t="s">
        <v>2730</v>
      </c>
      <c r="AG513" s="120" t="s">
        <v>2730</v>
      </c>
      <c r="AH513" t="s">
        <v>2730</v>
      </c>
    </row>
    <row r="514" spans="1:34">
      <c r="A514" s="149" t="str">
        <f>HYPERLINK("http://www.ofsted.gov.uk/inspection-reports/find-inspection-report/provider/ELS/140046 ","Ofsted School Webpage")</f>
        <v>Ofsted School Webpage</v>
      </c>
      <c r="B514">
        <v>140046</v>
      </c>
      <c r="C514">
        <v>8506090</v>
      </c>
      <c r="D514" t="s">
        <v>869</v>
      </c>
      <c r="E514" t="s">
        <v>38</v>
      </c>
      <c r="F514" t="s">
        <v>184</v>
      </c>
      <c r="G514" t="s">
        <v>184</v>
      </c>
      <c r="H514" t="s">
        <v>2729</v>
      </c>
      <c r="I514" t="s">
        <v>2730</v>
      </c>
      <c r="J514" t="s">
        <v>186</v>
      </c>
      <c r="K514" t="s">
        <v>181</v>
      </c>
      <c r="L514" t="s">
        <v>181</v>
      </c>
      <c r="M514" t="s">
        <v>201</v>
      </c>
      <c r="N514" t="s">
        <v>870</v>
      </c>
      <c r="O514" t="s">
        <v>3064</v>
      </c>
      <c r="P514" s="120">
        <v>41793</v>
      </c>
      <c r="Q514" s="120">
        <v>41794</v>
      </c>
      <c r="R514" s="120">
        <v>41817</v>
      </c>
      <c r="S514" t="s">
        <v>249</v>
      </c>
      <c r="T514">
        <v>2</v>
      </c>
      <c r="U514" t="s">
        <v>2730</v>
      </c>
      <c r="V514">
        <v>2</v>
      </c>
      <c r="W514" t="s">
        <v>2730</v>
      </c>
      <c r="X514">
        <v>2</v>
      </c>
      <c r="Y514">
        <v>2</v>
      </c>
      <c r="Z514" t="s">
        <v>2730</v>
      </c>
      <c r="AA514" t="s">
        <v>2730</v>
      </c>
      <c r="AB514" t="s">
        <v>2730</v>
      </c>
      <c r="AC514" t="s">
        <v>2730</v>
      </c>
      <c r="AD514" t="s">
        <v>2730</v>
      </c>
      <c r="AE514" t="s">
        <v>2730</v>
      </c>
      <c r="AF514" t="s">
        <v>2730</v>
      </c>
      <c r="AG514" t="s">
        <v>2730</v>
      </c>
      <c r="AH514" t="s">
        <v>2730</v>
      </c>
    </row>
    <row r="515" spans="1:34">
      <c r="A515" s="149" t="str">
        <f>HYPERLINK("http://www.ofsted.gov.uk/inspection-reports/find-inspection-report/provider/ELS/123619 ","Ofsted School Webpage")</f>
        <v>Ofsted School Webpage</v>
      </c>
      <c r="B515">
        <v>123619</v>
      </c>
      <c r="C515">
        <v>8936017</v>
      </c>
      <c r="D515" t="s">
        <v>1010</v>
      </c>
      <c r="E515" t="s">
        <v>38</v>
      </c>
      <c r="F515" t="s">
        <v>184</v>
      </c>
      <c r="G515" t="s">
        <v>184</v>
      </c>
      <c r="H515" t="s">
        <v>2729</v>
      </c>
      <c r="I515" t="s">
        <v>2730</v>
      </c>
      <c r="J515" t="s">
        <v>186</v>
      </c>
      <c r="K515" t="s">
        <v>193</v>
      </c>
      <c r="L515" t="s">
        <v>193</v>
      </c>
      <c r="M515" t="s">
        <v>194</v>
      </c>
      <c r="N515" t="s">
        <v>1011</v>
      </c>
      <c r="O515">
        <v>10033564</v>
      </c>
      <c r="P515" s="120">
        <v>42864</v>
      </c>
      <c r="Q515" s="120">
        <v>42866</v>
      </c>
      <c r="R515" s="120">
        <v>42907</v>
      </c>
      <c r="S515" t="s">
        <v>3119</v>
      </c>
      <c r="T515">
        <v>2</v>
      </c>
      <c r="U515" t="s">
        <v>128</v>
      </c>
      <c r="V515">
        <v>2</v>
      </c>
      <c r="W515">
        <v>2</v>
      </c>
      <c r="X515">
        <v>2</v>
      </c>
      <c r="Y515">
        <v>2</v>
      </c>
      <c r="Z515" t="s">
        <v>2730</v>
      </c>
      <c r="AA515">
        <v>2</v>
      </c>
      <c r="AB515" t="s">
        <v>2732</v>
      </c>
      <c r="AC515" t="s">
        <v>2730</v>
      </c>
      <c r="AD515" t="s">
        <v>2730</v>
      </c>
      <c r="AE515" t="s">
        <v>2730</v>
      </c>
      <c r="AF515" t="s">
        <v>2730</v>
      </c>
      <c r="AG515" t="s">
        <v>2730</v>
      </c>
      <c r="AH515" t="s">
        <v>2730</v>
      </c>
    </row>
    <row r="516" spans="1:34">
      <c r="A516" s="149" t="str">
        <f>HYPERLINK("http://www.ofsted.gov.uk/inspection-reports/find-inspection-report/provider/ELS/135541 ","Ofsted School Webpage")</f>
        <v>Ofsted School Webpage</v>
      </c>
      <c r="B516">
        <v>135541</v>
      </c>
      <c r="C516">
        <v>8886104</v>
      </c>
      <c r="D516" t="s">
        <v>1012</v>
      </c>
      <c r="E516" t="s">
        <v>38</v>
      </c>
      <c r="F516" t="s">
        <v>184</v>
      </c>
      <c r="G516" t="s">
        <v>184</v>
      </c>
      <c r="H516" t="s">
        <v>2729</v>
      </c>
      <c r="I516" t="s">
        <v>2730</v>
      </c>
      <c r="J516" t="s">
        <v>186</v>
      </c>
      <c r="K516" t="s">
        <v>205</v>
      </c>
      <c r="L516" t="s">
        <v>205</v>
      </c>
      <c r="M516" t="s">
        <v>206</v>
      </c>
      <c r="N516" t="s">
        <v>1013</v>
      </c>
      <c r="O516" t="s">
        <v>1014</v>
      </c>
      <c r="P516" s="120">
        <v>42171</v>
      </c>
      <c r="Q516" s="120">
        <v>42173</v>
      </c>
      <c r="R516" s="120">
        <v>42194</v>
      </c>
      <c r="S516" t="s">
        <v>196</v>
      </c>
      <c r="T516">
        <v>1</v>
      </c>
      <c r="U516" t="s">
        <v>2730</v>
      </c>
      <c r="V516">
        <v>1</v>
      </c>
      <c r="W516" t="s">
        <v>2730</v>
      </c>
      <c r="X516">
        <v>1</v>
      </c>
      <c r="Y516">
        <v>1</v>
      </c>
      <c r="Z516">
        <v>9</v>
      </c>
      <c r="AA516">
        <v>9</v>
      </c>
      <c r="AB516" t="s">
        <v>2730</v>
      </c>
      <c r="AC516" t="s">
        <v>2730</v>
      </c>
      <c r="AD516" t="s">
        <v>2730</v>
      </c>
      <c r="AE516" t="s">
        <v>2730</v>
      </c>
      <c r="AF516" t="s">
        <v>2730</v>
      </c>
      <c r="AG516" t="s">
        <v>2730</v>
      </c>
      <c r="AH516" t="s">
        <v>2730</v>
      </c>
    </row>
    <row r="517" spans="1:34">
      <c r="A517" s="149" t="str">
        <f>HYPERLINK("http://www.ofsted.gov.uk/inspection-reports/find-inspection-report/provider/ELS/131171 ","Ofsted School Webpage")</f>
        <v>Ofsted School Webpage</v>
      </c>
      <c r="B517">
        <v>131171</v>
      </c>
      <c r="C517">
        <v>8936099</v>
      </c>
      <c r="D517" t="s">
        <v>1015</v>
      </c>
      <c r="E517" t="s">
        <v>38</v>
      </c>
      <c r="F517" t="s">
        <v>184</v>
      </c>
      <c r="G517" t="s">
        <v>184</v>
      </c>
      <c r="H517" t="s">
        <v>2729</v>
      </c>
      <c r="I517" t="s">
        <v>2730</v>
      </c>
      <c r="J517" t="s">
        <v>186</v>
      </c>
      <c r="K517" t="s">
        <v>193</v>
      </c>
      <c r="L517" t="s">
        <v>193</v>
      </c>
      <c r="M517" t="s">
        <v>194</v>
      </c>
      <c r="N517" t="s">
        <v>1016</v>
      </c>
      <c r="O517">
        <v>10006078</v>
      </c>
      <c r="P517" s="120">
        <v>42423</v>
      </c>
      <c r="Q517" s="120">
        <v>42425</v>
      </c>
      <c r="R517" s="120">
        <v>42486</v>
      </c>
      <c r="S517" t="s">
        <v>196</v>
      </c>
      <c r="T517">
        <v>4</v>
      </c>
      <c r="U517" t="s">
        <v>128</v>
      </c>
      <c r="V517">
        <v>4</v>
      </c>
      <c r="W517">
        <v>3</v>
      </c>
      <c r="X517">
        <v>4</v>
      </c>
      <c r="Y517">
        <v>4</v>
      </c>
      <c r="Z517" t="s">
        <v>2730</v>
      </c>
      <c r="AA517">
        <v>4</v>
      </c>
      <c r="AB517" t="s">
        <v>2733</v>
      </c>
      <c r="AC517">
        <v>10022100</v>
      </c>
      <c r="AD517" t="s">
        <v>187</v>
      </c>
      <c r="AE517" s="120">
        <v>42675</v>
      </c>
      <c r="AF517" t="s">
        <v>2769</v>
      </c>
      <c r="AG517" s="120">
        <v>42712</v>
      </c>
      <c r="AH517" t="s">
        <v>189</v>
      </c>
    </row>
    <row r="518" spans="1:34">
      <c r="A518" s="149" t="str">
        <f>HYPERLINK("http://www.ofsted.gov.uk/inspection-reports/find-inspection-report/provider/ELS/135247 ","Ofsted School Webpage")</f>
        <v>Ofsted School Webpage</v>
      </c>
      <c r="B518">
        <v>135247</v>
      </c>
      <c r="C518">
        <v>8136005</v>
      </c>
      <c r="D518" t="s">
        <v>1017</v>
      </c>
      <c r="E518" t="s">
        <v>38</v>
      </c>
      <c r="F518" t="s">
        <v>184</v>
      </c>
      <c r="G518" t="s">
        <v>184</v>
      </c>
      <c r="H518" t="s">
        <v>2729</v>
      </c>
      <c r="I518" t="s">
        <v>2730</v>
      </c>
      <c r="J518" t="s">
        <v>186</v>
      </c>
      <c r="K518" t="s">
        <v>245</v>
      </c>
      <c r="L518" t="s">
        <v>246</v>
      </c>
      <c r="M518" t="s">
        <v>1018</v>
      </c>
      <c r="N518" t="s">
        <v>1019</v>
      </c>
      <c r="O518">
        <v>10020916</v>
      </c>
      <c r="P518" s="120">
        <v>42710</v>
      </c>
      <c r="Q518" s="120">
        <v>42712</v>
      </c>
      <c r="R518" s="120">
        <v>42767</v>
      </c>
      <c r="S518" t="s">
        <v>267</v>
      </c>
      <c r="T518">
        <v>2</v>
      </c>
      <c r="U518" t="s">
        <v>128</v>
      </c>
      <c r="V518">
        <v>2</v>
      </c>
      <c r="W518">
        <v>1</v>
      </c>
      <c r="X518">
        <v>2</v>
      </c>
      <c r="Y518">
        <v>2</v>
      </c>
      <c r="Z518" t="s">
        <v>2730</v>
      </c>
      <c r="AA518">
        <v>2</v>
      </c>
      <c r="AB518" t="s">
        <v>2732</v>
      </c>
      <c r="AC518" t="s">
        <v>2730</v>
      </c>
      <c r="AD518" t="s">
        <v>2730</v>
      </c>
      <c r="AE518" t="s">
        <v>2730</v>
      </c>
      <c r="AF518" t="s">
        <v>2730</v>
      </c>
      <c r="AG518" t="s">
        <v>2730</v>
      </c>
      <c r="AH518" t="s">
        <v>2730</v>
      </c>
    </row>
    <row r="519" spans="1:34">
      <c r="A519" s="149" t="str">
        <f>HYPERLINK("http://www.ofsted.gov.uk/inspection-reports/find-inspection-report/provider/ELS/106817 ","Ofsted School Webpage")</f>
        <v>Ofsted School Webpage</v>
      </c>
      <c r="B519">
        <v>106817</v>
      </c>
      <c r="C519">
        <v>3716011</v>
      </c>
      <c r="D519" t="s">
        <v>1156</v>
      </c>
      <c r="E519" t="s">
        <v>38</v>
      </c>
      <c r="F519" t="s">
        <v>184</v>
      </c>
      <c r="G519" t="s">
        <v>184</v>
      </c>
      <c r="H519" t="s">
        <v>2729</v>
      </c>
      <c r="I519" t="s">
        <v>2730</v>
      </c>
      <c r="J519" t="s">
        <v>186</v>
      </c>
      <c r="K519" t="s">
        <v>245</v>
      </c>
      <c r="L519" t="s">
        <v>246</v>
      </c>
      <c r="M519" t="s">
        <v>1157</v>
      </c>
      <c r="N519" t="s">
        <v>1158</v>
      </c>
      <c r="O519">
        <v>10006869</v>
      </c>
      <c r="P519" s="120">
        <v>42325</v>
      </c>
      <c r="Q519" s="120">
        <v>42327</v>
      </c>
      <c r="R519" s="120">
        <v>42381</v>
      </c>
      <c r="S519" t="s">
        <v>196</v>
      </c>
      <c r="T519">
        <v>2</v>
      </c>
      <c r="U519" t="s">
        <v>128</v>
      </c>
      <c r="V519">
        <v>2</v>
      </c>
      <c r="W519">
        <v>2</v>
      </c>
      <c r="X519">
        <v>2</v>
      </c>
      <c r="Y519">
        <v>2</v>
      </c>
      <c r="Z519" t="s">
        <v>2730</v>
      </c>
      <c r="AA519" t="s">
        <v>2730</v>
      </c>
      <c r="AB519" t="s">
        <v>2732</v>
      </c>
      <c r="AC519" t="s">
        <v>2730</v>
      </c>
      <c r="AD519" t="s">
        <v>2730</v>
      </c>
      <c r="AE519" t="s">
        <v>2730</v>
      </c>
      <c r="AF519" t="s">
        <v>2730</v>
      </c>
      <c r="AG519" t="s">
        <v>2730</v>
      </c>
      <c r="AH519" t="s">
        <v>2730</v>
      </c>
    </row>
    <row r="520" spans="1:34">
      <c r="A520" s="149" t="str">
        <f>HYPERLINK("http://www.ofsted.gov.uk/inspection-reports/find-inspection-report/provider/ELS/135859 ","Ofsted School Webpage")</f>
        <v>Ofsted School Webpage</v>
      </c>
      <c r="B520">
        <v>135859</v>
      </c>
      <c r="C520">
        <v>9266160</v>
      </c>
      <c r="D520" t="s">
        <v>1020</v>
      </c>
      <c r="E520" t="s">
        <v>38</v>
      </c>
      <c r="F520" t="s">
        <v>184</v>
      </c>
      <c r="G520" t="s">
        <v>184</v>
      </c>
      <c r="H520" t="s">
        <v>2729</v>
      </c>
      <c r="I520" t="s">
        <v>2730</v>
      </c>
      <c r="J520" t="s">
        <v>186</v>
      </c>
      <c r="K520" t="s">
        <v>220</v>
      </c>
      <c r="L520" t="s">
        <v>220</v>
      </c>
      <c r="M520" t="s">
        <v>445</v>
      </c>
      <c r="N520" t="s">
        <v>1021</v>
      </c>
      <c r="O520">
        <v>10020821</v>
      </c>
      <c r="P520" s="120">
        <v>42892</v>
      </c>
      <c r="Q520" s="120">
        <v>42894</v>
      </c>
      <c r="R520" s="120">
        <v>42929</v>
      </c>
      <c r="S520" t="s">
        <v>196</v>
      </c>
      <c r="T520">
        <v>3</v>
      </c>
      <c r="U520" t="s">
        <v>128</v>
      </c>
      <c r="V520">
        <v>3</v>
      </c>
      <c r="W520">
        <v>3</v>
      </c>
      <c r="X520">
        <v>3</v>
      </c>
      <c r="Y520">
        <v>3</v>
      </c>
      <c r="Z520" t="s">
        <v>2730</v>
      </c>
      <c r="AA520" t="s">
        <v>2730</v>
      </c>
      <c r="AB520" t="s">
        <v>2733</v>
      </c>
      <c r="AC520" t="s">
        <v>2730</v>
      </c>
      <c r="AD520" t="s">
        <v>2730</v>
      </c>
      <c r="AE520" s="120" t="s">
        <v>2730</v>
      </c>
      <c r="AF520" t="s">
        <v>2730</v>
      </c>
      <c r="AG520" s="120" t="s">
        <v>2730</v>
      </c>
      <c r="AH520" t="s">
        <v>2730</v>
      </c>
    </row>
    <row r="521" spans="1:34">
      <c r="A521" s="149" t="str">
        <f>HYPERLINK("http://www.ofsted.gov.uk/inspection-reports/find-inspection-report/provider/ELS/130855 ","Ofsted School Webpage")</f>
        <v>Ofsted School Webpage</v>
      </c>
      <c r="B521">
        <v>130855</v>
      </c>
      <c r="C521">
        <v>9356085</v>
      </c>
      <c r="D521" t="s">
        <v>1022</v>
      </c>
      <c r="E521" t="s">
        <v>38</v>
      </c>
      <c r="F521" t="s">
        <v>184</v>
      </c>
      <c r="G521" t="s">
        <v>184</v>
      </c>
      <c r="H521" t="s">
        <v>2729</v>
      </c>
      <c r="I521" t="s">
        <v>2730</v>
      </c>
      <c r="J521" t="s">
        <v>186</v>
      </c>
      <c r="K521" t="s">
        <v>220</v>
      </c>
      <c r="L521" t="s">
        <v>220</v>
      </c>
      <c r="M521" t="s">
        <v>297</v>
      </c>
      <c r="N521" t="s">
        <v>1023</v>
      </c>
      <c r="O521">
        <v>10006121</v>
      </c>
      <c r="P521" s="120">
        <v>42773</v>
      </c>
      <c r="Q521" s="120">
        <v>42775</v>
      </c>
      <c r="R521" s="120">
        <v>42830</v>
      </c>
      <c r="S521" t="s">
        <v>196</v>
      </c>
      <c r="T521">
        <v>4</v>
      </c>
      <c r="U521" t="s">
        <v>129</v>
      </c>
      <c r="V521">
        <v>4</v>
      </c>
      <c r="W521">
        <v>4</v>
      </c>
      <c r="X521">
        <v>2</v>
      </c>
      <c r="Y521">
        <v>2</v>
      </c>
      <c r="Z521" t="s">
        <v>2730</v>
      </c>
      <c r="AA521" t="s">
        <v>2730</v>
      </c>
      <c r="AB521" t="s">
        <v>2733</v>
      </c>
      <c r="AC521">
        <v>10040350</v>
      </c>
      <c r="AD521" t="s">
        <v>187</v>
      </c>
      <c r="AE521" s="120">
        <v>43061</v>
      </c>
      <c r="AF521" t="s">
        <v>2771</v>
      </c>
      <c r="AG521" s="120">
        <v>43090</v>
      </c>
      <c r="AH521" t="s">
        <v>217</v>
      </c>
    </row>
    <row r="522" spans="1:34">
      <c r="A522" s="149" t="str">
        <f>HYPERLINK("http://www.ofsted.gov.uk/inspection-reports/find-inspection-report/provider/ELS/137385 ","Ofsted School Webpage")</f>
        <v>Ofsted School Webpage</v>
      </c>
      <c r="B522">
        <v>137385</v>
      </c>
      <c r="C522">
        <v>9296002</v>
      </c>
      <c r="D522" t="s">
        <v>1024</v>
      </c>
      <c r="E522" t="s">
        <v>38</v>
      </c>
      <c r="F522" t="s">
        <v>184</v>
      </c>
      <c r="G522" t="s">
        <v>184</v>
      </c>
      <c r="H522" t="s">
        <v>2729</v>
      </c>
      <c r="I522" t="s">
        <v>2730</v>
      </c>
      <c r="J522" t="s">
        <v>186</v>
      </c>
      <c r="K522" t="s">
        <v>245</v>
      </c>
      <c r="L522" t="s">
        <v>277</v>
      </c>
      <c r="M522" t="s">
        <v>888</v>
      </c>
      <c r="N522" t="s">
        <v>1025</v>
      </c>
      <c r="O522">
        <v>10008612</v>
      </c>
      <c r="P522" s="120">
        <v>42388</v>
      </c>
      <c r="Q522" s="120">
        <v>42390</v>
      </c>
      <c r="R522" s="120">
        <v>42415</v>
      </c>
      <c r="S522" t="s">
        <v>196</v>
      </c>
      <c r="T522">
        <v>2</v>
      </c>
      <c r="U522" t="s">
        <v>128</v>
      </c>
      <c r="V522">
        <v>2</v>
      </c>
      <c r="W522">
        <v>2</v>
      </c>
      <c r="X522">
        <v>2</v>
      </c>
      <c r="Y522">
        <v>2</v>
      </c>
      <c r="Z522" t="s">
        <v>2730</v>
      </c>
      <c r="AA522" t="s">
        <v>2730</v>
      </c>
      <c r="AB522" t="s">
        <v>2732</v>
      </c>
      <c r="AC522" t="s">
        <v>2730</v>
      </c>
      <c r="AD522" t="s">
        <v>2730</v>
      </c>
      <c r="AE522" t="s">
        <v>2730</v>
      </c>
      <c r="AF522" t="s">
        <v>2730</v>
      </c>
      <c r="AG522" t="s">
        <v>2730</v>
      </c>
      <c r="AH522" t="s">
        <v>2730</v>
      </c>
    </row>
    <row r="523" spans="1:34">
      <c r="A523" s="149" t="str">
        <f>HYPERLINK("http://www.ofsted.gov.uk/inspection-reports/find-inspection-report/provider/ELS/108886 ","Ofsted School Webpage")</f>
        <v>Ofsted School Webpage</v>
      </c>
      <c r="B523">
        <v>108886</v>
      </c>
      <c r="C523">
        <v>8736051</v>
      </c>
      <c r="D523" t="s">
        <v>1087</v>
      </c>
      <c r="E523" t="s">
        <v>38</v>
      </c>
      <c r="F523" t="s">
        <v>184</v>
      </c>
      <c r="G523" t="s">
        <v>184</v>
      </c>
      <c r="H523" t="s">
        <v>2729</v>
      </c>
      <c r="I523" t="s">
        <v>2730</v>
      </c>
      <c r="J523" t="s">
        <v>186</v>
      </c>
      <c r="K523" t="s">
        <v>220</v>
      </c>
      <c r="L523" t="s">
        <v>220</v>
      </c>
      <c r="M523" t="s">
        <v>284</v>
      </c>
      <c r="N523" t="s">
        <v>1088</v>
      </c>
      <c r="O523" t="s">
        <v>3065</v>
      </c>
      <c r="P523" s="120">
        <v>42073</v>
      </c>
      <c r="Q523" s="120">
        <v>42075</v>
      </c>
      <c r="R523" s="120">
        <v>42188</v>
      </c>
      <c r="S523" t="s">
        <v>196</v>
      </c>
      <c r="T523">
        <v>2</v>
      </c>
      <c r="U523" t="s">
        <v>2730</v>
      </c>
      <c r="V523">
        <v>2</v>
      </c>
      <c r="W523" t="s">
        <v>2730</v>
      </c>
      <c r="X523">
        <v>2</v>
      </c>
      <c r="Y523">
        <v>2</v>
      </c>
      <c r="Z523">
        <v>9</v>
      </c>
      <c r="AA523">
        <v>9</v>
      </c>
      <c r="AB523" t="s">
        <v>2730</v>
      </c>
      <c r="AC523" t="s">
        <v>2730</v>
      </c>
      <c r="AD523" t="s">
        <v>2730</v>
      </c>
      <c r="AE523" t="s">
        <v>2730</v>
      </c>
      <c r="AF523" t="s">
        <v>2730</v>
      </c>
      <c r="AG523" t="s">
        <v>2730</v>
      </c>
      <c r="AH523" t="s">
        <v>2730</v>
      </c>
    </row>
    <row r="524" spans="1:34">
      <c r="A524" s="149" t="str">
        <f>HYPERLINK("http://www.ofsted.gov.uk/inspection-reports/find-inspection-report/provider/ELS/140619 ","Ofsted School Webpage")</f>
        <v>Ofsted School Webpage</v>
      </c>
      <c r="B524">
        <v>140619</v>
      </c>
      <c r="C524">
        <v>8066003</v>
      </c>
      <c r="D524" t="s">
        <v>1089</v>
      </c>
      <c r="E524" t="s">
        <v>38</v>
      </c>
      <c r="F524" t="s">
        <v>184</v>
      </c>
      <c r="G524" t="s">
        <v>184</v>
      </c>
      <c r="H524" t="s">
        <v>2729</v>
      </c>
      <c r="I524" t="s">
        <v>2730</v>
      </c>
      <c r="J524" t="s">
        <v>186</v>
      </c>
      <c r="K524" t="s">
        <v>245</v>
      </c>
      <c r="L524" t="s">
        <v>277</v>
      </c>
      <c r="M524" t="s">
        <v>1090</v>
      </c>
      <c r="N524" t="s">
        <v>1091</v>
      </c>
      <c r="O524">
        <v>10025963</v>
      </c>
      <c r="P524" s="120">
        <v>43046</v>
      </c>
      <c r="Q524" s="120">
        <v>43047</v>
      </c>
      <c r="R524" s="120">
        <v>43076</v>
      </c>
      <c r="S524" t="s">
        <v>196</v>
      </c>
      <c r="T524">
        <v>0</v>
      </c>
      <c r="U524" t="s">
        <v>128</v>
      </c>
      <c r="V524">
        <v>0</v>
      </c>
      <c r="W524">
        <v>0</v>
      </c>
      <c r="X524">
        <v>0</v>
      </c>
      <c r="Y524">
        <v>0</v>
      </c>
      <c r="Z524" t="s">
        <v>2730</v>
      </c>
      <c r="AA524" t="s">
        <v>2730</v>
      </c>
      <c r="AB524" t="s">
        <v>2733</v>
      </c>
      <c r="AC524" t="s">
        <v>2730</v>
      </c>
      <c r="AD524" t="s">
        <v>2730</v>
      </c>
      <c r="AE524" t="s">
        <v>2730</v>
      </c>
      <c r="AF524" t="s">
        <v>2730</v>
      </c>
      <c r="AG524" t="s">
        <v>2730</v>
      </c>
      <c r="AH524" t="s">
        <v>2730</v>
      </c>
    </row>
    <row r="525" spans="1:34">
      <c r="A525" s="149" t="str">
        <f>HYPERLINK("http://www.ofsted.gov.uk/inspection-reports/find-inspection-report/provider/ELS/138597 ","Ofsted School Webpage")</f>
        <v>Ofsted School Webpage</v>
      </c>
      <c r="B525">
        <v>138597</v>
      </c>
      <c r="C525">
        <v>8766014</v>
      </c>
      <c r="D525" t="s">
        <v>1092</v>
      </c>
      <c r="E525" t="s">
        <v>38</v>
      </c>
      <c r="F525" t="s">
        <v>184</v>
      </c>
      <c r="G525" t="s">
        <v>212</v>
      </c>
      <c r="H525" t="s">
        <v>2729</v>
      </c>
      <c r="I525" t="s">
        <v>2730</v>
      </c>
      <c r="J525" t="s">
        <v>186</v>
      </c>
      <c r="K525" t="s">
        <v>205</v>
      </c>
      <c r="L525" t="s">
        <v>205</v>
      </c>
      <c r="M525" t="s">
        <v>637</v>
      </c>
      <c r="N525" t="s">
        <v>1093</v>
      </c>
      <c r="O525" t="s">
        <v>1094</v>
      </c>
      <c r="P525" s="120">
        <v>41464</v>
      </c>
      <c r="Q525" s="120">
        <v>41465</v>
      </c>
      <c r="R525" s="120">
        <v>41486</v>
      </c>
      <c r="S525" t="s">
        <v>249</v>
      </c>
      <c r="T525">
        <v>1</v>
      </c>
      <c r="U525" t="s">
        <v>2730</v>
      </c>
      <c r="V525">
        <v>1</v>
      </c>
      <c r="W525" t="s">
        <v>2730</v>
      </c>
      <c r="X525">
        <v>1</v>
      </c>
      <c r="Y525">
        <v>1</v>
      </c>
      <c r="Z525" t="s">
        <v>2730</v>
      </c>
      <c r="AA525" t="s">
        <v>2730</v>
      </c>
      <c r="AB525" t="s">
        <v>2730</v>
      </c>
      <c r="AC525" t="s">
        <v>2730</v>
      </c>
      <c r="AD525" t="s">
        <v>2730</v>
      </c>
      <c r="AE525" t="s">
        <v>2730</v>
      </c>
      <c r="AF525" t="s">
        <v>2730</v>
      </c>
      <c r="AG525" t="s">
        <v>2730</v>
      </c>
      <c r="AH525" t="s">
        <v>2730</v>
      </c>
    </row>
    <row r="526" spans="1:34">
      <c r="A526" s="149" t="str">
        <f>HYPERLINK("http://www.ofsted.gov.uk/inspection-reports/find-inspection-report/provider/ELS/135393 ","Ofsted School Webpage")</f>
        <v>Ofsted School Webpage</v>
      </c>
      <c r="B526">
        <v>135393</v>
      </c>
      <c r="C526">
        <v>8916032</v>
      </c>
      <c r="D526" t="s">
        <v>524</v>
      </c>
      <c r="E526" t="s">
        <v>38</v>
      </c>
      <c r="F526" t="s">
        <v>184</v>
      </c>
      <c r="G526" t="s">
        <v>184</v>
      </c>
      <c r="H526" t="s">
        <v>2729</v>
      </c>
      <c r="I526" t="s">
        <v>2730</v>
      </c>
      <c r="J526" t="s">
        <v>186</v>
      </c>
      <c r="K526" t="s">
        <v>214</v>
      </c>
      <c r="L526" t="s">
        <v>214</v>
      </c>
      <c r="M526" t="s">
        <v>320</v>
      </c>
      <c r="N526" t="s">
        <v>1095</v>
      </c>
      <c r="O526">
        <v>10026051</v>
      </c>
      <c r="P526" s="120">
        <v>42850</v>
      </c>
      <c r="Q526" s="120">
        <v>42852</v>
      </c>
      <c r="R526" s="120">
        <v>42872</v>
      </c>
      <c r="S526" t="s">
        <v>196</v>
      </c>
      <c r="T526">
        <v>2</v>
      </c>
      <c r="U526" t="s">
        <v>128</v>
      </c>
      <c r="V526">
        <v>2</v>
      </c>
      <c r="W526">
        <v>1</v>
      </c>
      <c r="X526">
        <v>2</v>
      </c>
      <c r="Y526">
        <v>2</v>
      </c>
      <c r="Z526" t="s">
        <v>2730</v>
      </c>
      <c r="AA526">
        <v>2</v>
      </c>
      <c r="AB526" t="s">
        <v>2732</v>
      </c>
      <c r="AC526" t="s">
        <v>2730</v>
      </c>
      <c r="AD526" t="s">
        <v>2730</v>
      </c>
      <c r="AE526" s="120" t="s">
        <v>2730</v>
      </c>
      <c r="AF526" t="s">
        <v>2730</v>
      </c>
      <c r="AG526" s="120" t="s">
        <v>2730</v>
      </c>
      <c r="AH526" t="s">
        <v>2730</v>
      </c>
    </row>
    <row r="527" spans="1:34">
      <c r="A527" s="149" t="str">
        <f>HYPERLINK("http://www.ofsted.gov.uk/inspection-reports/find-inspection-report/provider/ELS/135438 ","Ofsted School Webpage")</f>
        <v>Ofsted School Webpage</v>
      </c>
      <c r="B527">
        <v>135438</v>
      </c>
      <c r="C527">
        <v>8866123</v>
      </c>
      <c r="D527" t="s">
        <v>1159</v>
      </c>
      <c r="E527" t="s">
        <v>38</v>
      </c>
      <c r="F527" t="s">
        <v>184</v>
      </c>
      <c r="G527" t="s">
        <v>184</v>
      </c>
      <c r="H527" t="s">
        <v>2729</v>
      </c>
      <c r="I527" t="s">
        <v>2730</v>
      </c>
      <c r="J527" t="s">
        <v>186</v>
      </c>
      <c r="K527" t="s">
        <v>181</v>
      </c>
      <c r="L527" t="s">
        <v>181</v>
      </c>
      <c r="M527" t="s">
        <v>182</v>
      </c>
      <c r="N527" t="s">
        <v>1160</v>
      </c>
      <c r="O527">
        <v>10021176</v>
      </c>
      <c r="P527" s="120">
        <v>42626</v>
      </c>
      <c r="Q527" s="120">
        <v>42628</v>
      </c>
      <c r="R527" s="120">
        <v>42654</v>
      </c>
      <c r="S527" t="s">
        <v>196</v>
      </c>
      <c r="T527">
        <v>2</v>
      </c>
      <c r="U527" t="s">
        <v>128</v>
      </c>
      <c r="V527">
        <v>2</v>
      </c>
      <c r="W527">
        <v>2</v>
      </c>
      <c r="X527">
        <v>2</v>
      </c>
      <c r="Y527">
        <v>2</v>
      </c>
      <c r="Z527" t="s">
        <v>2730</v>
      </c>
      <c r="AA527">
        <v>2</v>
      </c>
      <c r="AB527" t="s">
        <v>2732</v>
      </c>
      <c r="AC527" t="s">
        <v>2730</v>
      </c>
      <c r="AD527" t="s">
        <v>2730</v>
      </c>
      <c r="AE527" t="s">
        <v>2730</v>
      </c>
      <c r="AF527" t="s">
        <v>2730</v>
      </c>
      <c r="AG527" t="s">
        <v>2730</v>
      </c>
      <c r="AH527" t="s">
        <v>2730</v>
      </c>
    </row>
    <row r="528" spans="1:34">
      <c r="A528" s="149" t="str">
        <f>HYPERLINK("http://www.ofsted.gov.uk/inspection-reports/find-inspection-report/provider/ELS/140960 ","Ofsted School Webpage")</f>
        <v>Ofsted School Webpage</v>
      </c>
      <c r="B528">
        <v>140960</v>
      </c>
      <c r="C528">
        <v>8866142</v>
      </c>
      <c r="D528" t="s">
        <v>898</v>
      </c>
      <c r="E528" t="s">
        <v>38</v>
      </c>
      <c r="F528" t="s">
        <v>184</v>
      </c>
      <c r="G528" t="s">
        <v>184</v>
      </c>
      <c r="H528" t="s">
        <v>2729</v>
      </c>
      <c r="I528" t="s">
        <v>2730</v>
      </c>
      <c r="J528" t="s">
        <v>186</v>
      </c>
      <c r="K528" t="s">
        <v>181</v>
      </c>
      <c r="L528" t="s">
        <v>181</v>
      </c>
      <c r="M528" t="s">
        <v>182</v>
      </c>
      <c r="N528" t="s">
        <v>899</v>
      </c>
      <c r="O528">
        <v>10006351</v>
      </c>
      <c r="P528" s="120">
        <v>42277</v>
      </c>
      <c r="Q528" s="120">
        <v>42279</v>
      </c>
      <c r="R528" s="120">
        <v>42412</v>
      </c>
      <c r="S528" t="s">
        <v>249</v>
      </c>
      <c r="T528">
        <v>3</v>
      </c>
      <c r="U528" t="s">
        <v>128</v>
      </c>
      <c r="V528">
        <v>3</v>
      </c>
      <c r="W528">
        <v>3</v>
      </c>
      <c r="X528">
        <v>3</v>
      </c>
      <c r="Y528">
        <v>3</v>
      </c>
      <c r="Z528" t="s">
        <v>2730</v>
      </c>
      <c r="AA528">
        <v>3</v>
      </c>
      <c r="AB528" t="s">
        <v>2732</v>
      </c>
      <c r="AC528" t="s">
        <v>2730</v>
      </c>
      <c r="AD528" t="s">
        <v>2730</v>
      </c>
      <c r="AE528" t="s">
        <v>2730</v>
      </c>
      <c r="AF528" t="s">
        <v>2730</v>
      </c>
      <c r="AG528" t="s">
        <v>2730</v>
      </c>
      <c r="AH528" t="s">
        <v>2730</v>
      </c>
    </row>
    <row r="529" spans="1:34">
      <c r="A529" s="149" t="str">
        <f>HYPERLINK("http://www.ofsted.gov.uk/inspection-reports/find-inspection-report/provider/ELS/125436 ","Ofsted School Webpage")</f>
        <v>Ofsted School Webpage</v>
      </c>
      <c r="B529">
        <v>125436</v>
      </c>
      <c r="C529">
        <v>9366554</v>
      </c>
      <c r="D529" t="s">
        <v>900</v>
      </c>
      <c r="E529" t="s">
        <v>38</v>
      </c>
      <c r="F529" t="s">
        <v>184</v>
      </c>
      <c r="G529" t="s">
        <v>212</v>
      </c>
      <c r="H529" t="s">
        <v>2729</v>
      </c>
      <c r="I529" t="s">
        <v>2730</v>
      </c>
      <c r="J529" t="s">
        <v>186</v>
      </c>
      <c r="K529" t="s">
        <v>181</v>
      </c>
      <c r="L529" t="s">
        <v>181</v>
      </c>
      <c r="M529" t="s">
        <v>582</v>
      </c>
      <c r="N529" t="s">
        <v>901</v>
      </c>
      <c r="O529">
        <v>10039158</v>
      </c>
      <c r="P529" s="120">
        <v>43046</v>
      </c>
      <c r="Q529" s="120">
        <v>43048</v>
      </c>
      <c r="R529" s="120">
        <v>43070</v>
      </c>
      <c r="S529" t="s">
        <v>196</v>
      </c>
      <c r="T529">
        <v>2</v>
      </c>
      <c r="U529" t="s">
        <v>128</v>
      </c>
      <c r="V529">
        <v>2</v>
      </c>
      <c r="W529">
        <v>2</v>
      </c>
      <c r="X529">
        <v>2</v>
      </c>
      <c r="Y529">
        <v>2</v>
      </c>
      <c r="Z529" t="s">
        <v>2730</v>
      </c>
      <c r="AA529" t="s">
        <v>2730</v>
      </c>
      <c r="AB529" t="s">
        <v>2732</v>
      </c>
      <c r="AC529" t="s">
        <v>2730</v>
      </c>
      <c r="AD529" t="s">
        <v>2730</v>
      </c>
      <c r="AE529" t="s">
        <v>2730</v>
      </c>
      <c r="AF529" t="s">
        <v>2730</v>
      </c>
      <c r="AG529" t="s">
        <v>2730</v>
      </c>
      <c r="AH529" t="s">
        <v>2730</v>
      </c>
    </row>
    <row r="530" spans="1:34">
      <c r="A530" s="149" t="str">
        <f>HYPERLINK("http://www.ofsted.gov.uk/inspection-reports/find-inspection-report/provider/ELS/133262 ","Ofsted School Webpage")</f>
        <v>Ofsted School Webpage</v>
      </c>
      <c r="B530">
        <v>133262</v>
      </c>
      <c r="C530">
        <v>3416082</v>
      </c>
      <c r="D530" t="s">
        <v>902</v>
      </c>
      <c r="E530" t="s">
        <v>38</v>
      </c>
      <c r="F530" t="s">
        <v>184</v>
      </c>
      <c r="G530" t="s">
        <v>184</v>
      </c>
      <c r="H530" t="s">
        <v>2729</v>
      </c>
      <c r="I530" t="s">
        <v>2730</v>
      </c>
      <c r="J530" t="s">
        <v>186</v>
      </c>
      <c r="K530" t="s">
        <v>205</v>
      </c>
      <c r="L530" t="s">
        <v>205</v>
      </c>
      <c r="M530" t="s">
        <v>658</v>
      </c>
      <c r="N530" t="s">
        <v>903</v>
      </c>
      <c r="O530">
        <v>10026007</v>
      </c>
      <c r="P530" s="120">
        <v>42745</v>
      </c>
      <c r="Q530" s="120">
        <v>42747</v>
      </c>
      <c r="R530" s="120">
        <v>42793</v>
      </c>
      <c r="S530" t="s">
        <v>196</v>
      </c>
      <c r="T530">
        <v>1</v>
      </c>
      <c r="U530" t="s">
        <v>128</v>
      </c>
      <c r="V530">
        <v>1</v>
      </c>
      <c r="W530">
        <v>1</v>
      </c>
      <c r="X530">
        <v>1</v>
      </c>
      <c r="Y530">
        <v>1</v>
      </c>
      <c r="Z530" t="s">
        <v>2730</v>
      </c>
      <c r="AA530" t="s">
        <v>2730</v>
      </c>
      <c r="AB530" t="s">
        <v>2732</v>
      </c>
      <c r="AC530" t="s">
        <v>2730</v>
      </c>
      <c r="AD530" t="s">
        <v>2730</v>
      </c>
      <c r="AE530" t="s">
        <v>2730</v>
      </c>
      <c r="AF530" t="s">
        <v>2730</v>
      </c>
      <c r="AG530" t="s">
        <v>2730</v>
      </c>
      <c r="AH530" t="s">
        <v>2730</v>
      </c>
    </row>
    <row r="531" spans="1:34">
      <c r="A531" s="149" t="str">
        <f>HYPERLINK("http://www.ofsted.gov.uk/inspection-reports/find-inspection-report/provider/ELS/136752 ","Ofsted School Webpage")</f>
        <v>Ofsted School Webpage</v>
      </c>
      <c r="B531">
        <v>136752</v>
      </c>
      <c r="C531">
        <v>3406001</v>
      </c>
      <c r="D531" t="s">
        <v>904</v>
      </c>
      <c r="E531" t="s">
        <v>38</v>
      </c>
      <c r="F531" t="s">
        <v>184</v>
      </c>
      <c r="G531" t="s">
        <v>184</v>
      </c>
      <c r="H531" t="s">
        <v>2729</v>
      </c>
      <c r="I531" t="s">
        <v>2730</v>
      </c>
      <c r="J531" t="s">
        <v>186</v>
      </c>
      <c r="K531" t="s">
        <v>205</v>
      </c>
      <c r="L531" t="s">
        <v>205</v>
      </c>
      <c r="M531" t="s">
        <v>905</v>
      </c>
      <c r="N531" t="s">
        <v>3005</v>
      </c>
      <c r="O531">
        <v>10006081</v>
      </c>
      <c r="P531" s="120">
        <v>42626</v>
      </c>
      <c r="Q531" s="120">
        <v>42628</v>
      </c>
      <c r="R531" s="120">
        <v>42685</v>
      </c>
      <c r="S531" t="s">
        <v>196</v>
      </c>
      <c r="T531">
        <v>4</v>
      </c>
      <c r="U531" t="s">
        <v>129</v>
      </c>
      <c r="V531">
        <v>4</v>
      </c>
      <c r="W531">
        <v>3</v>
      </c>
      <c r="X531">
        <v>2</v>
      </c>
      <c r="Y531">
        <v>2</v>
      </c>
      <c r="Z531" t="s">
        <v>2730</v>
      </c>
      <c r="AA531">
        <v>0</v>
      </c>
      <c r="AB531" t="s">
        <v>2733</v>
      </c>
      <c r="AC531">
        <v>10034559</v>
      </c>
      <c r="AD531" t="s">
        <v>187</v>
      </c>
      <c r="AE531" s="120">
        <v>42893</v>
      </c>
      <c r="AF531" t="s">
        <v>2769</v>
      </c>
      <c r="AG531" s="120">
        <v>42921</v>
      </c>
      <c r="AH531" t="s">
        <v>189</v>
      </c>
    </row>
    <row r="532" spans="1:34">
      <c r="A532" s="149" t="str">
        <f>HYPERLINK("http://www.ofsted.gov.uk/inspection-reports/find-inspection-report/provider/ELS/136069 ","Ofsted School Webpage")</f>
        <v>Ofsted School Webpage</v>
      </c>
      <c r="B532">
        <v>136069</v>
      </c>
      <c r="C532">
        <v>8886056</v>
      </c>
      <c r="D532" t="s">
        <v>392</v>
      </c>
      <c r="E532" t="s">
        <v>38</v>
      </c>
      <c r="F532" t="s">
        <v>184</v>
      </c>
      <c r="G532" t="s">
        <v>184</v>
      </c>
      <c r="H532" t="s">
        <v>2729</v>
      </c>
      <c r="I532" t="s">
        <v>2730</v>
      </c>
      <c r="J532" t="s">
        <v>186</v>
      </c>
      <c r="K532" t="s">
        <v>205</v>
      </c>
      <c r="L532" t="s">
        <v>205</v>
      </c>
      <c r="M532" t="s">
        <v>206</v>
      </c>
      <c r="N532" t="s">
        <v>393</v>
      </c>
      <c r="O532">
        <v>10038930</v>
      </c>
      <c r="P532" s="120">
        <v>42990</v>
      </c>
      <c r="Q532" s="120">
        <v>42992</v>
      </c>
      <c r="R532" s="120">
        <v>43014</v>
      </c>
      <c r="S532" t="s">
        <v>196</v>
      </c>
      <c r="T532">
        <v>3</v>
      </c>
      <c r="U532" t="s">
        <v>128</v>
      </c>
      <c r="V532">
        <v>3</v>
      </c>
      <c r="W532">
        <v>2</v>
      </c>
      <c r="X532">
        <v>3</v>
      </c>
      <c r="Y532">
        <v>3</v>
      </c>
      <c r="Z532" t="s">
        <v>2730</v>
      </c>
      <c r="AA532">
        <v>3</v>
      </c>
      <c r="AB532" t="s">
        <v>2732</v>
      </c>
      <c r="AC532" t="s">
        <v>2730</v>
      </c>
      <c r="AD532" t="s">
        <v>2730</v>
      </c>
      <c r="AE532" t="s">
        <v>2730</v>
      </c>
      <c r="AF532" t="s">
        <v>2730</v>
      </c>
      <c r="AG532" t="s">
        <v>2730</v>
      </c>
      <c r="AH532" t="s">
        <v>2730</v>
      </c>
    </row>
    <row r="533" spans="1:34">
      <c r="A533" s="149" t="str">
        <f>HYPERLINK("http://www.ofsted.gov.uk/inspection-reports/find-inspection-report/provider/ELS/136045 ","Ofsted School Webpage")</f>
        <v>Ofsted School Webpage</v>
      </c>
      <c r="B533">
        <v>136045</v>
      </c>
      <c r="C533">
        <v>9386278</v>
      </c>
      <c r="D533" t="s">
        <v>906</v>
      </c>
      <c r="E533" t="s">
        <v>38</v>
      </c>
      <c r="F533" t="s">
        <v>184</v>
      </c>
      <c r="G533" t="s">
        <v>184</v>
      </c>
      <c r="H533" t="s">
        <v>2729</v>
      </c>
      <c r="I533" t="s">
        <v>2730</v>
      </c>
      <c r="J533" t="s">
        <v>186</v>
      </c>
      <c r="K533" t="s">
        <v>181</v>
      </c>
      <c r="L533" t="s">
        <v>181</v>
      </c>
      <c r="M533" t="s">
        <v>395</v>
      </c>
      <c r="N533" t="s">
        <v>396</v>
      </c>
      <c r="O533" t="s">
        <v>907</v>
      </c>
      <c r="P533" s="120">
        <v>41316</v>
      </c>
      <c r="Q533" s="120">
        <v>41317</v>
      </c>
      <c r="R533" s="120">
        <v>41341</v>
      </c>
      <c r="S533" t="s">
        <v>249</v>
      </c>
      <c r="T533">
        <v>4</v>
      </c>
      <c r="U533" t="s">
        <v>2730</v>
      </c>
      <c r="V533">
        <v>4</v>
      </c>
      <c r="W533" t="s">
        <v>2730</v>
      </c>
      <c r="X533">
        <v>4</v>
      </c>
      <c r="Y533">
        <v>4</v>
      </c>
      <c r="Z533" t="s">
        <v>2730</v>
      </c>
      <c r="AA533" t="s">
        <v>2730</v>
      </c>
      <c r="AB533" t="s">
        <v>2730</v>
      </c>
      <c r="AC533" t="s">
        <v>3006</v>
      </c>
      <c r="AD533" t="s">
        <v>187</v>
      </c>
      <c r="AE533" s="120">
        <v>41779</v>
      </c>
      <c r="AF533" t="s">
        <v>3007</v>
      </c>
      <c r="AG533" s="120">
        <v>41801</v>
      </c>
      <c r="AH533" t="s">
        <v>3008</v>
      </c>
    </row>
    <row r="534" spans="1:34">
      <c r="A534" s="149" t="str">
        <f>HYPERLINK("http://www.ofsted.gov.uk/inspection-reports/find-inspection-report/provider/ELS/135766 ","Ofsted School Webpage")</f>
        <v>Ofsted School Webpage</v>
      </c>
      <c r="B534">
        <v>135766</v>
      </c>
      <c r="C534">
        <v>8456057</v>
      </c>
      <c r="D534" t="s">
        <v>908</v>
      </c>
      <c r="E534" t="s">
        <v>38</v>
      </c>
      <c r="F534" t="s">
        <v>184</v>
      </c>
      <c r="G534" t="s">
        <v>184</v>
      </c>
      <c r="H534" t="s">
        <v>2729</v>
      </c>
      <c r="I534" t="s">
        <v>2730</v>
      </c>
      <c r="J534" t="s">
        <v>186</v>
      </c>
      <c r="K534" t="s">
        <v>181</v>
      </c>
      <c r="L534" t="s">
        <v>181</v>
      </c>
      <c r="M534" t="s">
        <v>438</v>
      </c>
      <c r="N534" t="s">
        <v>396</v>
      </c>
      <c r="O534">
        <v>10020899</v>
      </c>
      <c r="P534" s="120">
        <v>42871</v>
      </c>
      <c r="Q534" s="120">
        <v>42873</v>
      </c>
      <c r="R534" s="120">
        <v>42893</v>
      </c>
      <c r="S534" t="s">
        <v>3119</v>
      </c>
      <c r="T534">
        <v>2</v>
      </c>
      <c r="U534" t="s">
        <v>128</v>
      </c>
      <c r="V534">
        <v>2</v>
      </c>
      <c r="W534">
        <v>2</v>
      </c>
      <c r="X534">
        <v>2</v>
      </c>
      <c r="Y534">
        <v>2</v>
      </c>
      <c r="Z534" t="s">
        <v>2730</v>
      </c>
      <c r="AA534" t="s">
        <v>2730</v>
      </c>
      <c r="AB534" t="s">
        <v>2732</v>
      </c>
      <c r="AC534" t="s">
        <v>2730</v>
      </c>
      <c r="AD534" t="s">
        <v>2730</v>
      </c>
      <c r="AE534" t="s">
        <v>2730</v>
      </c>
      <c r="AF534" t="s">
        <v>2730</v>
      </c>
      <c r="AG534" t="s">
        <v>2730</v>
      </c>
      <c r="AH534" t="s">
        <v>2730</v>
      </c>
    </row>
    <row r="535" spans="1:34">
      <c r="A535" s="149" t="str">
        <f>HYPERLINK("http://www.ofsted.gov.uk/inspection-reports/find-inspection-report/provider/ELS/135111 ","Ofsted School Webpage")</f>
        <v>Ofsted School Webpage</v>
      </c>
      <c r="B535">
        <v>135111</v>
      </c>
      <c r="C535">
        <v>9386272</v>
      </c>
      <c r="D535" t="s">
        <v>394</v>
      </c>
      <c r="E535" t="s">
        <v>38</v>
      </c>
      <c r="F535" t="s">
        <v>184</v>
      </c>
      <c r="G535" t="s">
        <v>184</v>
      </c>
      <c r="H535" t="s">
        <v>2729</v>
      </c>
      <c r="I535" t="s">
        <v>2730</v>
      </c>
      <c r="J535" t="s">
        <v>186</v>
      </c>
      <c r="K535" t="s">
        <v>181</v>
      </c>
      <c r="L535" t="s">
        <v>181</v>
      </c>
      <c r="M535" t="s">
        <v>395</v>
      </c>
      <c r="N535" t="s">
        <v>396</v>
      </c>
      <c r="O535">
        <v>10026024</v>
      </c>
      <c r="P535" s="120">
        <v>42997</v>
      </c>
      <c r="Q535" s="120">
        <v>42999</v>
      </c>
      <c r="R535" s="120">
        <v>43020</v>
      </c>
      <c r="S535" t="s">
        <v>196</v>
      </c>
      <c r="T535">
        <v>2</v>
      </c>
      <c r="U535" t="s">
        <v>128</v>
      </c>
      <c r="V535">
        <v>2</v>
      </c>
      <c r="W535">
        <v>2</v>
      </c>
      <c r="X535">
        <v>2</v>
      </c>
      <c r="Y535">
        <v>2</v>
      </c>
      <c r="Z535" t="s">
        <v>2730</v>
      </c>
      <c r="AA535" t="s">
        <v>2730</v>
      </c>
      <c r="AB535" t="s">
        <v>2732</v>
      </c>
      <c r="AC535" t="s">
        <v>2730</v>
      </c>
      <c r="AD535" t="s">
        <v>2730</v>
      </c>
      <c r="AE535" t="s">
        <v>2730</v>
      </c>
      <c r="AF535" t="s">
        <v>2730</v>
      </c>
      <c r="AG535" t="s">
        <v>2730</v>
      </c>
      <c r="AH535" t="s">
        <v>2730</v>
      </c>
    </row>
    <row r="536" spans="1:34">
      <c r="A536" s="149" t="str">
        <f>HYPERLINK("http://www.ofsted.gov.uk/inspection-reports/find-inspection-report/provider/ELS/135805 ","Ofsted School Webpage")</f>
        <v>Ofsted School Webpage</v>
      </c>
      <c r="B536">
        <v>135805</v>
      </c>
      <c r="C536">
        <v>8256042</v>
      </c>
      <c r="D536" t="s">
        <v>997</v>
      </c>
      <c r="E536" t="s">
        <v>38</v>
      </c>
      <c r="F536" t="s">
        <v>184</v>
      </c>
      <c r="G536" t="s">
        <v>184</v>
      </c>
      <c r="H536" t="s">
        <v>2729</v>
      </c>
      <c r="I536" t="s">
        <v>2730</v>
      </c>
      <c r="J536" t="s">
        <v>186</v>
      </c>
      <c r="K536" t="s">
        <v>181</v>
      </c>
      <c r="L536" t="s">
        <v>181</v>
      </c>
      <c r="M536" t="s">
        <v>251</v>
      </c>
      <c r="N536" t="s">
        <v>998</v>
      </c>
      <c r="O536" t="s">
        <v>999</v>
      </c>
      <c r="P536" s="120">
        <v>41611</v>
      </c>
      <c r="Q536" s="120">
        <v>41612</v>
      </c>
      <c r="R536" s="120">
        <v>41632</v>
      </c>
      <c r="S536" t="s">
        <v>196</v>
      </c>
      <c r="T536">
        <v>2</v>
      </c>
      <c r="U536" t="s">
        <v>2730</v>
      </c>
      <c r="V536">
        <v>2</v>
      </c>
      <c r="W536" t="s">
        <v>2730</v>
      </c>
      <c r="X536">
        <v>2</v>
      </c>
      <c r="Y536">
        <v>2</v>
      </c>
      <c r="Z536" t="s">
        <v>2730</v>
      </c>
      <c r="AA536" t="s">
        <v>2730</v>
      </c>
      <c r="AB536" t="s">
        <v>2730</v>
      </c>
      <c r="AC536" t="s">
        <v>2730</v>
      </c>
      <c r="AD536" t="s">
        <v>2730</v>
      </c>
      <c r="AE536" s="120" t="s">
        <v>2730</v>
      </c>
      <c r="AF536" t="s">
        <v>2730</v>
      </c>
      <c r="AG536" s="120" t="s">
        <v>2730</v>
      </c>
      <c r="AH536" t="s">
        <v>2730</v>
      </c>
    </row>
    <row r="537" spans="1:34">
      <c r="A537" s="149" t="str">
        <f>HYPERLINK("http://www.ofsted.gov.uk/inspection-reports/find-inspection-report/provider/ELS/133392 ","Ofsted School Webpage")</f>
        <v>Ofsted School Webpage</v>
      </c>
      <c r="B537">
        <v>133392</v>
      </c>
      <c r="C537">
        <v>8786202</v>
      </c>
      <c r="D537" t="s">
        <v>541</v>
      </c>
      <c r="E537" t="s">
        <v>38</v>
      </c>
      <c r="F537" t="s">
        <v>184</v>
      </c>
      <c r="G537" t="s">
        <v>184</v>
      </c>
      <c r="H537" t="s">
        <v>2729</v>
      </c>
      <c r="I537" t="s">
        <v>2730</v>
      </c>
      <c r="J537" t="s">
        <v>186</v>
      </c>
      <c r="K537" t="s">
        <v>225</v>
      </c>
      <c r="L537" t="s">
        <v>225</v>
      </c>
      <c r="M537" t="s">
        <v>367</v>
      </c>
      <c r="N537" t="s">
        <v>542</v>
      </c>
      <c r="O537">
        <v>10006819</v>
      </c>
      <c r="P537" s="120">
        <v>42389</v>
      </c>
      <c r="Q537" s="120">
        <v>42391</v>
      </c>
      <c r="R537" s="120">
        <v>42430</v>
      </c>
      <c r="S537" t="s">
        <v>3119</v>
      </c>
      <c r="T537">
        <v>1</v>
      </c>
      <c r="U537" t="s">
        <v>128</v>
      </c>
      <c r="V537">
        <v>1</v>
      </c>
      <c r="W537">
        <v>1</v>
      </c>
      <c r="X537">
        <v>1</v>
      </c>
      <c r="Y537">
        <v>1</v>
      </c>
      <c r="Z537" t="s">
        <v>2730</v>
      </c>
      <c r="AA537" t="s">
        <v>2730</v>
      </c>
      <c r="AB537" t="s">
        <v>2732</v>
      </c>
      <c r="AC537" t="s">
        <v>2730</v>
      </c>
      <c r="AD537" t="s">
        <v>2730</v>
      </c>
      <c r="AE537" s="120" t="s">
        <v>2730</v>
      </c>
      <c r="AF537" t="s">
        <v>2730</v>
      </c>
      <c r="AG537" s="120" t="s">
        <v>2730</v>
      </c>
      <c r="AH537" t="s">
        <v>2730</v>
      </c>
    </row>
    <row r="538" spans="1:34">
      <c r="A538" s="149" t="str">
        <f>HYPERLINK("http://www.ofsted.gov.uk/inspection-reports/find-inspection-report/provider/ELS/113019 ","Ofsted School Webpage")</f>
        <v>Ofsted School Webpage</v>
      </c>
      <c r="B538">
        <v>113019</v>
      </c>
      <c r="C538">
        <v>8306009</v>
      </c>
      <c r="D538" t="s">
        <v>543</v>
      </c>
      <c r="E538" t="s">
        <v>38</v>
      </c>
      <c r="F538" t="s">
        <v>184</v>
      </c>
      <c r="G538" t="s">
        <v>184</v>
      </c>
      <c r="H538" t="s">
        <v>2729</v>
      </c>
      <c r="I538" t="s">
        <v>2730</v>
      </c>
      <c r="J538" t="s">
        <v>186</v>
      </c>
      <c r="K538" t="s">
        <v>214</v>
      </c>
      <c r="L538" t="s">
        <v>214</v>
      </c>
      <c r="M538" t="s">
        <v>364</v>
      </c>
      <c r="N538" t="s">
        <v>544</v>
      </c>
      <c r="O538">
        <v>10012886</v>
      </c>
      <c r="P538" s="120">
        <v>42494</v>
      </c>
      <c r="Q538" s="120">
        <v>42496</v>
      </c>
      <c r="R538" s="120">
        <v>42538</v>
      </c>
      <c r="S538" t="s">
        <v>196</v>
      </c>
      <c r="T538">
        <v>2</v>
      </c>
      <c r="U538" t="s">
        <v>128</v>
      </c>
      <c r="V538">
        <v>2</v>
      </c>
      <c r="W538">
        <v>2</v>
      </c>
      <c r="X538">
        <v>2</v>
      </c>
      <c r="Y538">
        <v>2</v>
      </c>
      <c r="Z538" t="s">
        <v>2730</v>
      </c>
      <c r="AA538">
        <v>2</v>
      </c>
      <c r="AB538" t="s">
        <v>2732</v>
      </c>
      <c r="AC538" t="s">
        <v>2730</v>
      </c>
      <c r="AD538" t="s">
        <v>2730</v>
      </c>
      <c r="AE538" t="s">
        <v>2730</v>
      </c>
      <c r="AF538" t="s">
        <v>2730</v>
      </c>
      <c r="AG538" t="s">
        <v>2730</v>
      </c>
      <c r="AH538" t="s">
        <v>2730</v>
      </c>
    </row>
    <row r="539" spans="1:34">
      <c r="A539" s="149" t="str">
        <f>HYPERLINK("http://www.ofsted.gov.uk/inspection-reports/find-inspection-report/provider/ELS/135518 ","Ofsted School Webpage")</f>
        <v>Ofsted School Webpage</v>
      </c>
      <c r="B539">
        <v>135518</v>
      </c>
      <c r="C539">
        <v>3336004</v>
      </c>
      <c r="D539" t="s">
        <v>545</v>
      </c>
      <c r="E539" t="s">
        <v>38</v>
      </c>
      <c r="F539" t="s">
        <v>184</v>
      </c>
      <c r="G539" t="s">
        <v>184</v>
      </c>
      <c r="H539" t="s">
        <v>2729</v>
      </c>
      <c r="I539" t="s">
        <v>2730</v>
      </c>
      <c r="J539" t="s">
        <v>186</v>
      </c>
      <c r="K539" t="s">
        <v>193</v>
      </c>
      <c r="L539" t="s">
        <v>193</v>
      </c>
      <c r="M539" t="s">
        <v>354</v>
      </c>
      <c r="N539" t="s">
        <v>546</v>
      </c>
      <c r="O539">
        <v>10008602</v>
      </c>
      <c r="P539" s="120">
        <v>42402</v>
      </c>
      <c r="Q539" s="120">
        <v>42404</v>
      </c>
      <c r="R539" s="120">
        <v>42436</v>
      </c>
      <c r="S539" t="s">
        <v>196</v>
      </c>
      <c r="T539">
        <v>2</v>
      </c>
      <c r="U539" t="s">
        <v>128</v>
      </c>
      <c r="V539">
        <v>2</v>
      </c>
      <c r="W539">
        <v>1</v>
      </c>
      <c r="X539">
        <v>2</v>
      </c>
      <c r="Y539">
        <v>2</v>
      </c>
      <c r="Z539" t="s">
        <v>2730</v>
      </c>
      <c r="AA539" t="s">
        <v>2730</v>
      </c>
      <c r="AB539" t="s">
        <v>2732</v>
      </c>
      <c r="AC539" t="s">
        <v>2730</v>
      </c>
      <c r="AD539" t="s">
        <v>2730</v>
      </c>
      <c r="AE539" t="s">
        <v>2730</v>
      </c>
      <c r="AF539" t="s">
        <v>2730</v>
      </c>
      <c r="AG539" t="s">
        <v>2730</v>
      </c>
      <c r="AH539" t="s">
        <v>2730</v>
      </c>
    </row>
    <row r="540" spans="1:34">
      <c r="A540" s="149" t="str">
        <f>HYPERLINK("http://www.ofsted.gov.uk/inspection-reports/find-inspection-report/provider/ELS/113616 ","Ofsted School Webpage")</f>
        <v>Ofsted School Webpage</v>
      </c>
      <c r="B540">
        <v>113616</v>
      </c>
      <c r="C540">
        <v>8786039</v>
      </c>
      <c r="D540" t="s">
        <v>930</v>
      </c>
      <c r="E540" t="s">
        <v>38</v>
      </c>
      <c r="F540" t="s">
        <v>184</v>
      </c>
      <c r="G540" t="s">
        <v>184</v>
      </c>
      <c r="H540" t="s">
        <v>2729</v>
      </c>
      <c r="I540" t="s">
        <v>2730</v>
      </c>
      <c r="J540" t="s">
        <v>186</v>
      </c>
      <c r="K540" t="s">
        <v>225</v>
      </c>
      <c r="L540" t="s">
        <v>225</v>
      </c>
      <c r="M540" t="s">
        <v>367</v>
      </c>
      <c r="N540" t="s">
        <v>931</v>
      </c>
      <c r="O540" t="s">
        <v>932</v>
      </c>
      <c r="P540" s="120">
        <v>42192</v>
      </c>
      <c r="Q540" s="120">
        <v>42194</v>
      </c>
      <c r="R540" s="120">
        <v>42221</v>
      </c>
      <c r="S540" t="s">
        <v>3119</v>
      </c>
      <c r="T540">
        <v>2</v>
      </c>
      <c r="U540" t="s">
        <v>2730</v>
      </c>
      <c r="V540">
        <v>2</v>
      </c>
      <c r="W540" t="s">
        <v>2730</v>
      </c>
      <c r="X540">
        <v>2</v>
      </c>
      <c r="Y540">
        <v>2</v>
      </c>
      <c r="Z540">
        <v>9</v>
      </c>
      <c r="AA540">
        <v>2</v>
      </c>
      <c r="AB540" t="s">
        <v>2730</v>
      </c>
      <c r="AC540" t="s">
        <v>2730</v>
      </c>
      <c r="AD540" t="s">
        <v>2730</v>
      </c>
      <c r="AE540" t="s">
        <v>2730</v>
      </c>
      <c r="AF540" t="s">
        <v>2730</v>
      </c>
      <c r="AG540" t="s">
        <v>2730</v>
      </c>
      <c r="AH540" t="s">
        <v>2730</v>
      </c>
    </row>
    <row r="541" spans="1:34">
      <c r="A541" s="149" t="str">
        <f>HYPERLINK("http://www.ofsted.gov.uk/inspection-reports/find-inspection-report/provider/ELS/140205 ","Ofsted School Webpage")</f>
        <v>Ofsted School Webpage</v>
      </c>
      <c r="B541">
        <v>140205</v>
      </c>
      <c r="C541">
        <v>3516002</v>
      </c>
      <c r="D541" t="s">
        <v>452</v>
      </c>
      <c r="E541" t="s">
        <v>38</v>
      </c>
      <c r="F541" t="s">
        <v>184</v>
      </c>
      <c r="G541" t="s">
        <v>184</v>
      </c>
      <c r="H541" t="s">
        <v>2729</v>
      </c>
      <c r="I541" t="s">
        <v>2730</v>
      </c>
      <c r="J541" t="s">
        <v>186</v>
      </c>
      <c r="K541" t="s">
        <v>205</v>
      </c>
      <c r="L541" t="s">
        <v>205</v>
      </c>
      <c r="M541" t="s">
        <v>453</v>
      </c>
      <c r="N541" t="s">
        <v>454</v>
      </c>
      <c r="O541">
        <v>10034033</v>
      </c>
      <c r="P541" s="120">
        <v>43025</v>
      </c>
      <c r="Q541" s="120">
        <v>43027</v>
      </c>
      <c r="R541" s="120">
        <v>43052</v>
      </c>
      <c r="S541" t="s">
        <v>196</v>
      </c>
      <c r="T541">
        <v>2</v>
      </c>
      <c r="U541" t="s">
        <v>128</v>
      </c>
      <c r="V541">
        <v>2</v>
      </c>
      <c r="W541">
        <v>2</v>
      </c>
      <c r="X541">
        <v>2</v>
      </c>
      <c r="Y541">
        <v>2</v>
      </c>
      <c r="Z541" t="s">
        <v>2730</v>
      </c>
      <c r="AA541" t="s">
        <v>2730</v>
      </c>
      <c r="AB541" t="s">
        <v>2732</v>
      </c>
      <c r="AC541" t="s">
        <v>2730</v>
      </c>
      <c r="AD541" t="s">
        <v>2730</v>
      </c>
      <c r="AE541" t="s">
        <v>2730</v>
      </c>
      <c r="AF541" t="s">
        <v>2730</v>
      </c>
      <c r="AG541" t="s">
        <v>2730</v>
      </c>
      <c r="AH541" t="s">
        <v>2730</v>
      </c>
    </row>
    <row r="542" spans="1:34">
      <c r="A542" s="149" t="str">
        <f>HYPERLINK("http://www.ofsted.gov.uk/inspection-reports/find-inspection-report/provider/ELS/130310 ","Ofsted School Webpage")</f>
        <v>Ofsted School Webpage</v>
      </c>
      <c r="B542">
        <v>130310</v>
      </c>
      <c r="C542">
        <v>8506063</v>
      </c>
      <c r="D542" t="s">
        <v>933</v>
      </c>
      <c r="E542" t="s">
        <v>38</v>
      </c>
      <c r="F542" t="s">
        <v>184</v>
      </c>
      <c r="G542" t="s">
        <v>184</v>
      </c>
      <c r="H542" t="s">
        <v>2729</v>
      </c>
      <c r="I542" t="s">
        <v>2730</v>
      </c>
      <c r="J542" t="s">
        <v>186</v>
      </c>
      <c r="K542" t="s">
        <v>181</v>
      </c>
      <c r="L542" t="s">
        <v>181</v>
      </c>
      <c r="M542" t="s">
        <v>201</v>
      </c>
      <c r="N542" t="s">
        <v>934</v>
      </c>
      <c r="O542">
        <v>10008604</v>
      </c>
      <c r="P542" s="120">
        <v>42655</v>
      </c>
      <c r="Q542" s="120">
        <v>42657</v>
      </c>
      <c r="R542" s="120">
        <v>42695</v>
      </c>
      <c r="S542" t="s">
        <v>196</v>
      </c>
      <c r="T542">
        <v>3</v>
      </c>
      <c r="U542" t="s">
        <v>128</v>
      </c>
      <c r="V542">
        <v>3</v>
      </c>
      <c r="W542">
        <v>2</v>
      </c>
      <c r="X542">
        <v>3</v>
      </c>
      <c r="Y542">
        <v>3</v>
      </c>
      <c r="Z542" t="s">
        <v>2730</v>
      </c>
      <c r="AA542" t="s">
        <v>2730</v>
      </c>
      <c r="AB542" t="s">
        <v>2732</v>
      </c>
      <c r="AC542" t="s">
        <v>2730</v>
      </c>
      <c r="AD542" t="s">
        <v>2730</v>
      </c>
      <c r="AE542" t="s">
        <v>2730</v>
      </c>
      <c r="AF542" t="s">
        <v>2730</v>
      </c>
      <c r="AG542" t="s">
        <v>2730</v>
      </c>
      <c r="AH542" t="s">
        <v>2730</v>
      </c>
    </row>
    <row r="543" spans="1:34">
      <c r="A543" s="149" t="str">
        <f>HYPERLINK("http://www.ofsted.gov.uk/inspection-reports/find-inspection-report/provider/ELS/131064 ","Ofsted School Webpage")</f>
        <v>Ofsted School Webpage</v>
      </c>
      <c r="B543">
        <v>131064</v>
      </c>
      <c r="C543">
        <v>9316125</v>
      </c>
      <c r="D543" t="s">
        <v>935</v>
      </c>
      <c r="E543" t="s">
        <v>38</v>
      </c>
      <c r="F543" t="s">
        <v>184</v>
      </c>
      <c r="G543" t="s">
        <v>184</v>
      </c>
      <c r="H543" t="s">
        <v>2729</v>
      </c>
      <c r="I543" t="s">
        <v>2730</v>
      </c>
      <c r="J543" t="s">
        <v>186</v>
      </c>
      <c r="K543" t="s">
        <v>181</v>
      </c>
      <c r="L543" t="s">
        <v>181</v>
      </c>
      <c r="M543" t="s">
        <v>242</v>
      </c>
      <c r="N543" t="s">
        <v>864</v>
      </c>
      <c r="O543">
        <v>10008615</v>
      </c>
      <c r="P543" s="120">
        <v>42648</v>
      </c>
      <c r="Q543" s="120">
        <v>42650</v>
      </c>
      <c r="R543" s="120">
        <v>42682</v>
      </c>
      <c r="S543" t="s">
        <v>196</v>
      </c>
      <c r="T543">
        <v>2</v>
      </c>
      <c r="U543" t="s">
        <v>128</v>
      </c>
      <c r="V543">
        <v>2</v>
      </c>
      <c r="W543">
        <v>2</v>
      </c>
      <c r="X543">
        <v>2</v>
      </c>
      <c r="Y543">
        <v>2</v>
      </c>
      <c r="Z543" t="s">
        <v>2730</v>
      </c>
      <c r="AA543" t="s">
        <v>2730</v>
      </c>
      <c r="AB543" t="s">
        <v>2732</v>
      </c>
      <c r="AC543" t="s">
        <v>2730</v>
      </c>
      <c r="AD543" t="s">
        <v>2730</v>
      </c>
      <c r="AE543" s="120" t="s">
        <v>2730</v>
      </c>
      <c r="AF543" t="s">
        <v>2730</v>
      </c>
      <c r="AG543" s="120" t="s">
        <v>2730</v>
      </c>
      <c r="AH543" t="s">
        <v>2730</v>
      </c>
    </row>
    <row r="544" spans="1:34">
      <c r="A544" s="149" t="str">
        <f>HYPERLINK("http://www.ofsted.gov.uk/inspection-reports/find-inspection-report/provider/ELS/136239 ","Ofsted School Webpage")</f>
        <v>Ofsted School Webpage</v>
      </c>
      <c r="B544">
        <v>136239</v>
      </c>
      <c r="C544">
        <v>3586019</v>
      </c>
      <c r="D544" t="s">
        <v>1389</v>
      </c>
      <c r="E544" t="s">
        <v>38</v>
      </c>
      <c r="F544" t="s">
        <v>212</v>
      </c>
      <c r="G544" t="s">
        <v>184</v>
      </c>
      <c r="H544" t="s">
        <v>2729</v>
      </c>
      <c r="I544" t="s">
        <v>2730</v>
      </c>
      <c r="J544" t="s">
        <v>186</v>
      </c>
      <c r="K544" t="s">
        <v>205</v>
      </c>
      <c r="L544" t="s">
        <v>205</v>
      </c>
      <c r="M544" t="s">
        <v>1390</v>
      </c>
      <c r="N544" t="s">
        <v>1391</v>
      </c>
      <c r="O544">
        <v>10034046</v>
      </c>
      <c r="P544" s="120">
        <v>42871</v>
      </c>
      <c r="Q544" s="120">
        <v>42872</v>
      </c>
      <c r="R544" s="120">
        <v>42898</v>
      </c>
      <c r="S544" t="s">
        <v>3119</v>
      </c>
      <c r="T544">
        <v>2</v>
      </c>
      <c r="U544" t="s">
        <v>128</v>
      </c>
      <c r="V544">
        <v>2</v>
      </c>
      <c r="W544">
        <v>1</v>
      </c>
      <c r="X544">
        <v>2</v>
      </c>
      <c r="Y544">
        <v>2</v>
      </c>
      <c r="Z544" t="s">
        <v>2730</v>
      </c>
      <c r="AA544">
        <v>2</v>
      </c>
      <c r="AB544" t="s">
        <v>2732</v>
      </c>
      <c r="AC544" t="s">
        <v>2730</v>
      </c>
      <c r="AD544" t="s">
        <v>2730</v>
      </c>
      <c r="AE544" s="120" t="s">
        <v>2730</v>
      </c>
      <c r="AF544" t="s">
        <v>2730</v>
      </c>
      <c r="AG544" s="120" t="s">
        <v>2730</v>
      </c>
      <c r="AH544" t="s">
        <v>2730</v>
      </c>
    </row>
    <row r="545" spans="1:34">
      <c r="A545" s="149" t="str">
        <f>HYPERLINK("http://www.ofsted.gov.uk/inspection-reports/find-inspection-report/provider/ELS/135623 ","Ofsted School Webpage")</f>
        <v>Ofsted School Webpage</v>
      </c>
      <c r="B545">
        <v>135623</v>
      </c>
      <c r="C545">
        <v>8866132</v>
      </c>
      <c r="D545" t="s">
        <v>1450</v>
      </c>
      <c r="E545" t="s">
        <v>38</v>
      </c>
      <c r="F545" t="s">
        <v>184</v>
      </c>
      <c r="G545" t="s">
        <v>184</v>
      </c>
      <c r="H545" t="s">
        <v>2729</v>
      </c>
      <c r="I545" t="s">
        <v>2730</v>
      </c>
      <c r="J545" t="s">
        <v>186</v>
      </c>
      <c r="K545" t="s">
        <v>181</v>
      </c>
      <c r="L545" t="s">
        <v>181</v>
      </c>
      <c r="M545" t="s">
        <v>182</v>
      </c>
      <c r="N545" t="s">
        <v>1451</v>
      </c>
      <c r="O545">
        <v>10006350</v>
      </c>
      <c r="P545" s="120">
        <v>42633</v>
      </c>
      <c r="Q545" s="120">
        <v>42634</v>
      </c>
      <c r="R545" s="120">
        <v>42661</v>
      </c>
      <c r="S545" t="s">
        <v>3119</v>
      </c>
      <c r="T545">
        <v>3</v>
      </c>
      <c r="U545" t="s">
        <v>128</v>
      </c>
      <c r="V545">
        <v>3</v>
      </c>
      <c r="W545">
        <v>3</v>
      </c>
      <c r="X545">
        <v>2</v>
      </c>
      <c r="Y545">
        <v>2</v>
      </c>
      <c r="Z545" t="s">
        <v>2730</v>
      </c>
      <c r="AA545" t="s">
        <v>2730</v>
      </c>
      <c r="AB545" t="s">
        <v>2733</v>
      </c>
      <c r="AC545" t="s">
        <v>2730</v>
      </c>
      <c r="AD545" t="s">
        <v>2730</v>
      </c>
      <c r="AE545" t="s">
        <v>2730</v>
      </c>
      <c r="AF545" t="s">
        <v>2730</v>
      </c>
      <c r="AG545" t="s">
        <v>2730</v>
      </c>
      <c r="AH545" t="s">
        <v>2730</v>
      </c>
    </row>
    <row r="546" spans="1:34">
      <c r="A546" s="149" t="str">
        <f>HYPERLINK("http://www.ofsted.gov.uk/inspection-reports/find-inspection-report/provider/ELS/126139 ","Ofsted School Webpage")</f>
        <v>Ofsted School Webpage</v>
      </c>
      <c r="B546">
        <v>126139</v>
      </c>
      <c r="C546">
        <v>9386217</v>
      </c>
      <c r="D546" t="s">
        <v>1452</v>
      </c>
      <c r="E546" t="s">
        <v>38</v>
      </c>
      <c r="F546" t="s">
        <v>184</v>
      </c>
      <c r="G546" t="s">
        <v>184</v>
      </c>
      <c r="H546" t="s">
        <v>2729</v>
      </c>
      <c r="I546" t="s">
        <v>2730</v>
      </c>
      <c r="J546" t="s">
        <v>186</v>
      </c>
      <c r="K546" t="s">
        <v>181</v>
      </c>
      <c r="L546" t="s">
        <v>181</v>
      </c>
      <c r="M546" t="s">
        <v>395</v>
      </c>
      <c r="N546" t="s">
        <v>1453</v>
      </c>
      <c r="O546">
        <v>10006011</v>
      </c>
      <c r="P546" s="120">
        <v>42311</v>
      </c>
      <c r="Q546" s="120">
        <v>42313</v>
      </c>
      <c r="R546" s="120">
        <v>42339</v>
      </c>
      <c r="S546" t="s">
        <v>267</v>
      </c>
      <c r="T546">
        <v>1</v>
      </c>
      <c r="U546" t="s">
        <v>128</v>
      </c>
      <c r="V546">
        <v>1</v>
      </c>
      <c r="W546">
        <v>1</v>
      </c>
      <c r="X546">
        <v>1</v>
      </c>
      <c r="Y546">
        <v>1</v>
      </c>
      <c r="Z546" t="s">
        <v>2730</v>
      </c>
      <c r="AA546">
        <v>1</v>
      </c>
      <c r="AB546" t="s">
        <v>2732</v>
      </c>
      <c r="AC546" t="s">
        <v>2730</v>
      </c>
      <c r="AD546" t="s">
        <v>2730</v>
      </c>
      <c r="AE546" t="s">
        <v>2730</v>
      </c>
      <c r="AF546" t="s">
        <v>2730</v>
      </c>
      <c r="AG546" t="s">
        <v>2730</v>
      </c>
      <c r="AH546" t="s">
        <v>2730</v>
      </c>
    </row>
    <row r="547" spans="1:34">
      <c r="A547" s="149" t="str">
        <f>HYPERLINK("http://www.ofsted.gov.uk/inspection-reports/find-inspection-report/provider/ELS/133346 ","Ofsted School Webpage")</f>
        <v>Ofsted School Webpage</v>
      </c>
      <c r="B547">
        <v>133346</v>
      </c>
      <c r="C547">
        <v>9096051</v>
      </c>
      <c r="D547" t="s">
        <v>1454</v>
      </c>
      <c r="E547" t="s">
        <v>38</v>
      </c>
      <c r="F547" t="s">
        <v>184</v>
      </c>
      <c r="G547" t="s">
        <v>184</v>
      </c>
      <c r="H547" t="s">
        <v>2729</v>
      </c>
      <c r="I547" t="s">
        <v>2730</v>
      </c>
      <c r="J547" t="s">
        <v>186</v>
      </c>
      <c r="K547" t="s">
        <v>205</v>
      </c>
      <c r="L547" t="s">
        <v>205</v>
      </c>
      <c r="M547" t="s">
        <v>947</v>
      </c>
      <c r="N547" t="s">
        <v>1455</v>
      </c>
      <c r="O547">
        <v>10033388</v>
      </c>
      <c r="P547" s="120">
        <v>42801</v>
      </c>
      <c r="Q547" s="120">
        <v>42803</v>
      </c>
      <c r="R547" s="120">
        <v>42828</v>
      </c>
      <c r="S547" t="s">
        <v>3119</v>
      </c>
      <c r="T547">
        <v>2</v>
      </c>
      <c r="U547" t="s">
        <v>128</v>
      </c>
      <c r="V547">
        <v>2</v>
      </c>
      <c r="W547">
        <v>1</v>
      </c>
      <c r="X547">
        <v>2</v>
      </c>
      <c r="Y547">
        <v>2</v>
      </c>
      <c r="Z547" t="s">
        <v>2730</v>
      </c>
      <c r="AA547" t="s">
        <v>2730</v>
      </c>
      <c r="AB547" t="s">
        <v>2732</v>
      </c>
      <c r="AC547" t="s">
        <v>2730</v>
      </c>
      <c r="AD547" t="s">
        <v>2730</v>
      </c>
      <c r="AE547" s="120" t="s">
        <v>2730</v>
      </c>
      <c r="AF547" t="s">
        <v>2730</v>
      </c>
      <c r="AG547" s="120" t="s">
        <v>2730</v>
      </c>
      <c r="AH547" t="s">
        <v>2730</v>
      </c>
    </row>
    <row r="548" spans="1:34">
      <c r="A548" s="149" t="str">
        <f>HYPERLINK("http://www.ofsted.gov.uk/inspection-reports/find-inspection-report/provider/ELS/142011 ","Ofsted School Webpage")</f>
        <v>Ofsted School Webpage</v>
      </c>
      <c r="B548">
        <v>142011</v>
      </c>
      <c r="C548">
        <v>8856043</v>
      </c>
      <c r="D548" t="s">
        <v>890</v>
      </c>
      <c r="E548" t="s">
        <v>38</v>
      </c>
      <c r="F548" t="s">
        <v>184</v>
      </c>
      <c r="G548" t="s">
        <v>184</v>
      </c>
      <c r="H548" t="s">
        <v>2729</v>
      </c>
      <c r="I548" t="s">
        <v>2730</v>
      </c>
      <c r="J548" t="s">
        <v>186</v>
      </c>
      <c r="K548" t="s">
        <v>193</v>
      </c>
      <c r="L548" t="s">
        <v>193</v>
      </c>
      <c r="M548" t="s">
        <v>891</v>
      </c>
      <c r="N548" t="s">
        <v>892</v>
      </c>
      <c r="O548">
        <v>10008631</v>
      </c>
      <c r="P548" s="120">
        <v>42472</v>
      </c>
      <c r="Q548" s="120">
        <v>42474</v>
      </c>
      <c r="R548" s="120">
        <v>42508</v>
      </c>
      <c r="S548" t="s">
        <v>249</v>
      </c>
      <c r="T548">
        <v>2</v>
      </c>
      <c r="U548" t="s">
        <v>128</v>
      </c>
      <c r="V548">
        <v>2</v>
      </c>
      <c r="W548">
        <v>1</v>
      </c>
      <c r="X548">
        <v>2</v>
      </c>
      <c r="Y548">
        <v>2</v>
      </c>
      <c r="Z548" t="s">
        <v>2730</v>
      </c>
      <c r="AA548">
        <v>2</v>
      </c>
      <c r="AB548" t="s">
        <v>2732</v>
      </c>
      <c r="AC548" t="s">
        <v>2730</v>
      </c>
      <c r="AD548" t="s">
        <v>2730</v>
      </c>
      <c r="AE548" t="s">
        <v>2730</v>
      </c>
      <c r="AF548" t="s">
        <v>2730</v>
      </c>
      <c r="AG548" t="s">
        <v>2730</v>
      </c>
      <c r="AH548" t="s">
        <v>2730</v>
      </c>
    </row>
    <row r="549" spans="1:34">
      <c r="A549" s="149" t="str">
        <f>HYPERLINK("http://www.ofsted.gov.uk/inspection-reports/find-inspection-report/provider/ELS/141953 ","Ofsted School Webpage")</f>
        <v>Ofsted School Webpage</v>
      </c>
      <c r="B549">
        <v>141953</v>
      </c>
      <c r="C549">
        <v>9266011</v>
      </c>
      <c r="D549" t="s">
        <v>3066</v>
      </c>
      <c r="E549" t="s">
        <v>38</v>
      </c>
      <c r="F549" t="s">
        <v>184</v>
      </c>
      <c r="G549" t="s">
        <v>184</v>
      </c>
      <c r="H549" t="s">
        <v>2729</v>
      </c>
      <c r="I549" t="s">
        <v>2730</v>
      </c>
      <c r="J549" t="s">
        <v>186</v>
      </c>
      <c r="K549" t="s">
        <v>220</v>
      </c>
      <c r="L549" t="s">
        <v>220</v>
      </c>
      <c r="M549" t="s">
        <v>445</v>
      </c>
      <c r="N549" t="s">
        <v>3067</v>
      </c>
      <c r="O549">
        <v>10008627</v>
      </c>
      <c r="P549" s="120">
        <v>42543</v>
      </c>
      <c r="Q549" s="120">
        <v>42545</v>
      </c>
      <c r="R549" s="120">
        <v>42740</v>
      </c>
      <c r="S549" t="s">
        <v>249</v>
      </c>
      <c r="T549">
        <v>2</v>
      </c>
      <c r="U549" t="s">
        <v>128</v>
      </c>
      <c r="V549">
        <v>2</v>
      </c>
      <c r="W549">
        <v>1</v>
      </c>
      <c r="X549">
        <v>2</v>
      </c>
      <c r="Y549">
        <v>2</v>
      </c>
      <c r="Z549" t="s">
        <v>2730</v>
      </c>
      <c r="AA549">
        <v>2</v>
      </c>
      <c r="AB549" t="s">
        <v>2732</v>
      </c>
      <c r="AC549" t="s">
        <v>2730</v>
      </c>
      <c r="AD549" t="s">
        <v>2730</v>
      </c>
      <c r="AE549" t="s">
        <v>2730</v>
      </c>
      <c r="AF549" t="s">
        <v>2730</v>
      </c>
      <c r="AG549" t="s">
        <v>2730</v>
      </c>
      <c r="AH549" t="s">
        <v>2730</v>
      </c>
    </row>
    <row r="550" spans="1:34">
      <c r="A550" s="149" t="str">
        <f>HYPERLINK("http://www.ofsted.gov.uk/inspection-reports/find-inspection-report/provider/ELS/142013 ","Ofsted School Webpage")</f>
        <v>Ofsted School Webpage</v>
      </c>
      <c r="B550">
        <v>142013</v>
      </c>
      <c r="C550">
        <v>8606041</v>
      </c>
      <c r="D550" t="s">
        <v>893</v>
      </c>
      <c r="E550" t="s">
        <v>38</v>
      </c>
      <c r="F550" t="s">
        <v>184</v>
      </c>
      <c r="G550" t="s">
        <v>184</v>
      </c>
      <c r="H550" t="s">
        <v>2729</v>
      </c>
      <c r="I550" t="s">
        <v>2730</v>
      </c>
      <c r="J550" t="s">
        <v>186</v>
      </c>
      <c r="K550" t="s">
        <v>193</v>
      </c>
      <c r="L550" t="s">
        <v>193</v>
      </c>
      <c r="M550" t="s">
        <v>314</v>
      </c>
      <c r="N550" t="s">
        <v>894</v>
      </c>
      <c r="O550">
        <v>10008632</v>
      </c>
      <c r="P550" s="120">
        <v>42438</v>
      </c>
      <c r="Q550" s="120">
        <v>42440</v>
      </c>
      <c r="R550" s="120">
        <v>42486</v>
      </c>
      <c r="S550" t="s">
        <v>249</v>
      </c>
      <c r="T550">
        <v>2</v>
      </c>
      <c r="U550" t="s">
        <v>128</v>
      </c>
      <c r="V550">
        <v>2</v>
      </c>
      <c r="W550">
        <v>1</v>
      </c>
      <c r="X550">
        <v>2</v>
      </c>
      <c r="Y550">
        <v>2</v>
      </c>
      <c r="Z550" t="s">
        <v>2730</v>
      </c>
      <c r="AA550">
        <v>2</v>
      </c>
      <c r="AB550" t="s">
        <v>2732</v>
      </c>
      <c r="AC550" t="s">
        <v>2730</v>
      </c>
      <c r="AD550" t="s">
        <v>2730</v>
      </c>
      <c r="AE550" t="s">
        <v>2730</v>
      </c>
      <c r="AF550" t="s">
        <v>2730</v>
      </c>
      <c r="AG550" t="s">
        <v>2730</v>
      </c>
      <c r="AH550" t="s">
        <v>2730</v>
      </c>
    </row>
    <row r="551" spans="1:34">
      <c r="A551" s="149" t="str">
        <f>HYPERLINK("http://www.ofsted.gov.uk/inspection-reports/find-inspection-report/provider/ELS/134606 ","Ofsted School Webpage")</f>
        <v>Ofsted School Webpage</v>
      </c>
      <c r="B551">
        <v>134606</v>
      </c>
      <c r="C551">
        <v>8866107</v>
      </c>
      <c r="D551" t="s">
        <v>895</v>
      </c>
      <c r="E551" t="s">
        <v>38</v>
      </c>
      <c r="F551" t="s">
        <v>184</v>
      </c>
      <c r="G551" t="s">
        <v>184</v>
      </c>
      <c r="H551" t="s">
        <v>2729</v>
      </c>
      <c r="I551" t="s">
        <v>2730</v>
      </c>
      <c r="J551" t="s">
        <v>186</v>
      </c>
      <c r="K551" t="s">
        <v>181</v>
      </c>
      <c r="L551" t="s">
        <v>181</v>
      </c>
      <c r="M551" t="s">
        <v>182</v>
      </c>
      <c r="N551" t="s">
        <v>896</v>
      </c>
      <c r="O551" t="s">
        <v>897</v>
      </c>
      <c r="P551" s="120">
        <v>42067</v>
      </c>
      <c r="Q551" s="120">
        <v>42069</v>
      </c>
      <c r="R551" s="120">
        <v>42096</v>
      </c>
      <c r="S551" t="s">
        <v>196</v>
      </c>
      <c r="T551">
        <v>2</v>
      </c>
      <c r="U551" t="s">
        <v>2730</v>
      </c>
      <c r="V551">
        <v>2</v>
      </c>
      <c r="W551" t="s">
        <v>2730</v>
      </c>
      <c r="X551">
        <v>2</v>
      </c>
      <c r="Y551">
        <v>2</v>
      </c>
      <c r="Z551">
        <v>9</v>
      </c>
      <c r="AA551">
        <v>9</v>
      </c>
      <c r="AB551" t="s">
        <v>2730</v>
      </c>
      <c r="AC551" t="s">
        <v>2730</v>
      </c>
      <c r="AD551" t="s">
        <v>2730</v>
      </c>
      <c r="AE551" t="s">
        <v>2730</v>
      </c>
      <c r="AF551" t="s">
        <v>2730</v>
      </c>
      <c r="AG551" t="s">
        <v>2730</v>
      </c>
      <c r="AH551" t="s">
        <v>2730</v>
      </c>
    </row>
    <row r="552" spans="1:34">
      <c r="A552" s="149" t="str">
        <f>HYPERLINK("http://www.ofsted.gov.uk/inspection-reports/find-inspection-report/provider/ELS/131792 ","Ofsted School Webpage")</f>
        <v>Ofsted School Webpage</v>
      </c>
      <c r="B552">
        <v>131792</v>
      </c>
      <c r="C552">
        <v>8966028</v>
      </c>
      <c r="D552" t="s">
        <v>1028</v>
      </c>
      <c r="E552" t="s">
        <v>38</v>
      </c>
      <c r="F552" t="s">
        <v>184</v>
      </c>
      <c r="G552" t="s">
        <v>184</v>
      </c>
      <c r="H552" t="s">
        <v>2729</v>
      </c>
      <c r="I552" t="s">
        <v>2730</v>
      </c>
      <c r="J552" t="s">
        <v>186</v>
      </c>
      <c r="K552" t="s">
        <v>205</v>
      </c>
      <c r="L552" t="s">
        <v>205</v>
      </c>
      <c r="M552" t="s">
        <v>372</v>
      </c>
      <c r="N552" t="s">
        <v>1029</v>
      </c>
      <c r="O552">
        <v>10006084</v>
      </c>
      <c r="P552" s="120">
        <v>42696</v>
      </c>
      <c r="Q552" s="120">
        <v>42698</v>
      </c>
      <c r="R552" s="120">
        <v>42751</v>
      </c>
      <c r="S552" t="s">
        <v>196</v>
      </c>
      <c r="T552">
        <v>2</v>
      </c>
      <c r="U552" t="s">
        <v>128</v>
      </c>
      <c r="V552">
        <v>2</v>
      </c>
      <c r="W552">
        <v>2</v>
      </c>
      <c r="X552">
        <v>2</v>
      </c>
      <c r="Y552">
        <v>2</v>
      </c>
      <c r="Z552" t="s">
        <v>2730</v>
      </c>
      <c r="AA552">
        <v>2</v>
      </c>
      <c r="AB552" t="s">
        <v>2732</v>
      </c>
      <c r="AC552" t="s">
        <v>2730</v>
      </c>
      <c r="AD552" t="s">
        <v>2730</v>
      </c>
      <c r="AE552" t="s">
        <v>2730</v>
      </c>
      <c r="AF552" t="s">
        <v>2730</v>
      </c>
      <c r="AG552" t="s">
        <v>2730</v>
      </c>
      <c r="AH552" t="s">
        <v>2730</v>
      </c>
    </row>
    <row r="553" spans="1:34">
      <c r="A553" s="149" t="str">
        <f>HYPERLINK("http://www.ofsted.gov.uk/inspection-reports/find-inspection-report/provider/ELS/123933 ","Ofsted School Webpage")</f>
        <v>Ofsted School Webpage</v>
      </c>
      <c r="B553">
        <v>123933</v>
      </c>
      <c r="C553">
        <v>9336185</v>
      </c>
      <c r="D553" t="s">
        <v>1175</v>
      </c>
      <c r="E553" t="s">
        <v>38</v>
      </c>
      <c r="F553" t="s">
        <v>184</v>
      </c>
      <c r="G553" t="s">
        <v>184</v>
      </c>
      <c r="H553" t="s">
        <v>2729</v>
      </c>
      <c r="I553" t="s">
        <v>2730</v>
      </c>
      <c r="J553" t="s">
        <v>186</v>
      </c>
      <c r="K553" t="s">
        <v>225</v>
      </c>
      <c r="L553" t="s">
        <v>225</v>
      </c>
      <c r="M553" t="s">
        <v>262</v>
      </c>
      <c r="N553" t="s">
        <v>1176</v>
      </c>
      <c r="O553">
        <v>10025565</v>
      </c>
      <c r="P553" s="120">
        <v>42752</v>
      </c>
      <c r="Q553" s="120">
        <v>42754</v>
      </c>
      <c r="R553" s="120">
        <v>42849</v>
      </c>
      <c r="S553" t="s">
        <v>267</v>
      </c>
      <c r="T553">
        <v>4</v>
      </c>
      <c r="U553" t="s">
        <v>129</v>
      </c>
      <c r="V553">
        <v>4</v>
      </c>
      <c r="W553">
        <v>4</v>
      </c>
      <c r="X553">
        <v>3</v>
      </c>
      <c r="Y553">
        <v>3</v>
      </c>
      <c r="Z553" t="s">
        <v>2730</v>
      </c>
      <c r="AA553">
        <v>4</v>
      </c>
      <c r="AB553" t="s">
        <v>2733</v>
      </c>
      <c r="AC553">
        <v>10040156</v>
      </c>
      <c r="AD553" t="s">
        <v>2770</v>
      </c>
      <c r="AE553" s="120">
        <v>43040</v>
      </c>
      <c r="AF553" t="s">
        <v>2771</v>
      </c>
      <c r="AG553" s="120">
        <v>43076</v>
      </c>
      <c r="AH553" t="s">
        <v>217</v>
      </c>
    </row>
    <row r="554" spans="1:34">
      <c r="A554" s="149" t="str">
        <f>HYPERLINK("http://www.ofsted.gov.uk/inspection-reports/find-inspection-report/provider/ELS/136949 ","Ofsted School Webpage")</f>
        <v>Ofsted School Webpage</v>
      </c>
      <c r="B554">
        <v>136949</v>
      </c>
      <c r="C554">
        <v>8556019</v>
      </c>
      <c r="D554" t="s">
        <v>1096</v>
      </c>
      <c r="E554" t="s">
        <v>38</v>
      </c>
      <c r="F554" t="s">
        <v>184</v>
      </c>
      <c r="G554" t="s">
        <v>184</v>
      </c>
      <c r="H554" t="s">
        <v>2729</v>
      </c>
      <c r="I554" t="s">
        <v>2730</v>
      </c>
      <c r="J554" t="s">
        <v>186</v>
      </c>
      <c r="K554" t="s">
        <v>214</v>
      </c>
      <c r="L554" t="s">
        <v>214</v>
      </c>
      <c r="M554" t="s">
        <v>281</v>
      </c>
      <c r="N554" t="s">
        <v>1097</v>
      </c>
      <c r="O554">
        <v>10006317</v>
      </c>
      <c r="P554" s="120">
        <v>42353</v>
      </c>
      <c r="Q554" s="120">
        <v>42355</v>
      </c>
      <c r="R554" s="120">
        <v>42390</v>
      </c>
      <c r="S554" t="s">
        <v>196</v>
      </c>
      <c r="T554">
        <v>1</v>
      </c>
      <c r="U554" t="s">
        <v>128</v>
      </c>
      <c r="V554">
        <v>1</v>
      </c>
      <c r="W554">
        <v>2</v>
      </c>
      <c r="X554">
        <v>1</v>
      </c>
      <c r="Y554">
        <v>1</v>
      </c>
      <c r="Z554" t="s">
        <v>2730</v>
      </c>
      <c r="AA554" t="s">
        <v>2730</v>
      </c>
      <c r="AB554" t="s">
        <v>2732</v>
      </c>
      <c r="AC554" t="s">
        <v>2730</v>
      </c>
      <c r="AD554" t="s">
        <v>2730</v>
      </c>
      <c r="AE554" s="120" t="s">
        <v>2730</v>
      </c>
      <c r="AF554" t="s">
        <v>2730</v>
      </c>
      <c r="AG554" s="120" t="s">
        <v>2730</v>
      </c>
      <c r="AH554" t="s">
        <v>2730</v>
      </c>
    </row>
    <row r="555" spans="1:34">
      <c r="A555" s="149" t="str">
        <f>HYPERLINK("http://www.ofsted.gov.uk/inspection-reports/find-inspection-report/provider/ELS/138868 ","Ofsted School Webpage")</f>
        <v>Ofsted School Webpage</v>
      </c>
      <c r="B555">
        <v>138868</v>
      </c>
      <c r="C555">
        <v>8886045</v>
      </c>
      <c r="D555" t="s">
        <v>1098</v>
      </c>
      <c r="E555" t="s">
        <v>38</v>
      </c>
      <c r="F555" t="s">
        <v>184</v>
      </c>
      <c r="G555" t="s">
        <v>184</v>
      </c>
      <c r="H555" t="s">
        <v>2729</v>
      </c>
      <c r="I555" t="s">
        <v>2730</v>
      </c>
      <c r="J555" t="s">
        <v>186</v>
      </c>
      <c r="K555" t="s">
        <v>205</v>
      </c>
      <c r="L555" t="s">
        <v>205</v>
      </c>
      <c r="M555" t="s">
        <v>206</v>
      </c>
      <c r="N555" t="s">
        <v>1099</v>
      </c>
      <c r="O555">
        <v>10020811</v>
      </c>
      <c r="P555" s="120">
        <v>42633</v>
      </c>
      <c r="Q555" s="120">
        <v>42635</v>
      </c>
      <c r="R555" s="120">
        <v>42663</v>
      </c>
      <c r="S555" t="s">
        <v>196</v>
      </c>
      <c r="T555">
        <v>2</v>
      </c>
      <c r="U555" t="s">
        <v>128</v>
      </c>
      <c r="V555">
        <v>2</v>
      </c>
      <c r="W555">
        <v>2</v>
      </c>
      <c r="X555">
        <v>2</v>
      </c>
      <c r="Y555">
        <v>2</v>
      </c>
      <c r="Z555" t="s">
        <v>2730</v>
      </c>
      <c r="AA555" t="s">
        <v>2730</v>
      </c>
      <c r="AB555" t="s">
        <v>2732</v>
      </c>
      <c r="AC555" t="s">
        <v>2730</v>
      </c>
      <c r="AD555" t="s">
        <v>2730</v>
      </c>
      <c r="AE555" t="s">
        <v>2730</v>
      </c>
      <c r="AF555" t="s">
        <v>2730</v>
      </c>
      <c r="AG555" t="s">
        <v>2730</v>
      </c>
      <c r="AH555" t="s">
        <v>2730</v>
      </c>
    </row>
    <row r="556" spans="1:34">
      <c r="A556" s="149" t="str">
        <f>HYPERLINK("http://www.ofsted.gov.uk/inspection-reports/find-inspection-report/provider/ELS/135216 ","Ofsted School Webpage")</f>
        <v>Ofsted School Webpage</v>
      </c>
      <c r="B556">
        <v>135216</v>
      </c>
      <c r="C556">
        <v>3846348</v>
      </c>
      <c r="D556" t="s">
        <v>1100</v>
      </c>
      <c r="E556" t="s">
        <v>38</v>
      </c>
      <c r="F556" t="s">
        <v>184</v>
      </c>
      <c r="G556" t="s">
        <v>184</v>
      </c>
      <c r="H556" t="s">
        <v>2729</v>
      </c>
      <c r="I556" t="s">
        <v>2730</v>
      </c>
      <c r="J556" t="s">
        <v>186</v>
      </c>
      <c r="K556" t="s">
        <v>245</v>
      </c>
      <c r="L556" t="s">
        <v>246</v>
      </c>
      <c r="M556" t="s">
        <v>563</v>
      </c>
      <c r="N556" t="s">
        <v>1101</v>
      </c>
      <c r="O556">
        <v>10025959</v>
      </c>
      <c r="P556" s="120">
        <v>42787</v>
      </c>
      <c r="Q556" s="120">
        <v>42789</v>
      </c>
      <c r="R556" s="120">
        <v>42816</v>
      </c>
      <c r="S556" t="s">
        <v>196</v>
      </c>
      <c r="T556">
        <v>2</v>
      </c>
      <c r="U556" t="s">
        <v>128</v>
      </c>
      <c r="V556">
        <v>2</v>
      </c>
      <c r="W556">
        <v>2</v>
      </c>
      <c r="X556">
        <v>2</v>
      </c>
      <c r="Y556">
        <v>2</v>
      </c>
      <c r="Z556" t="s">
        <v>2730</v>
      </c>
      <c r="AA556">
        <v>2</v>
      </c>
      <c r="AB556" t="s">
        <v>2732</v>
      </c>
      <c r="AC556" t="s">
        <v>2730</v>
      </c>
      <c r="AD556" t="s">
        <v>2730</v>
      </c>
      <c r="AE556" t="s">
        <v>2730</v>
      </c>
      <c r="AF556" t="s">
        <v>2730</v>
      </c>
      <c r="AG556" t="s">
        <v>2730</v>
      </c>
      <c r="AH556" t="s">
        <v>2730</v>
      </c>
    </row>
    <row r="557" spans="1:34">
      <c r="A557" s="149" t="str">
        <f>HYPERLINK("http://www.ofsted.gov.uk/inspection-reports/find-inspection-report/provider/ELS/131575 ","Ofsted School Webpage")</f>
        <v>Ofsted School Webpage</v>
      </c>
      <c r="B557">
        <v>131575</v>
      </c>
      <c r="C557">
        <v>8886094</v>
      </c>
      <c r="D557" t="s">
        <v>986</v>
      </c>
      <c r="E557" t="s">
        <v>38</v>
      </c>
      <c r="F557" t="s">
        <v>184</v>
      </c>
      <c r="G557" t="s">
        <v>184</v>
      </c>
      <c r="H557" t="s">
        <v>2729</v>
      </c>
      <c r="I557" t="s">
        <v>2730</v>
      </c>
      <c r="J557" t="s">
        <v>186</v>
      </c>
      <c r="K557" t="s">
        <v>205</v>
      </c>
      <c r="L557" t="s">
        <v>205</v>
      </c>
      <c r="M557" t="s">
        <v>206</v>
      </c>
      <c r="N557" t="s">
        <v>987</v>
      </c>
      <c r="O557">
        <v>10012971</v>
      </c>
      <c r="P557" s="120">
        <v>42633</v>
      </c>
      <c r="Q557" s="120">
        <v>42635</v>
      </c>
      <c r="R557" s="120">
        <v>42660</v>
      </c>
      <c r="S557" t="s">
        <v>196</v>
      </c>
      <c r="T557">
        <v>1</v>
      </c>
      <c r="U557" t="s">
        <v>128</v>
      </c>
      <c r="V557">
        <v>1</v>
      </c>
      <c r="W557">
        <v>1</v>
      </c>
      <c r="X557">
        <v>1</v>
      </c>
      <c r="Y557">
        <v>1</v>
      </c>
      <c r="Z557" t="s">
        <v>2730</v>
      </c>
      <c r="AA557">
        <v>1</v>
      </c>
      <c r="AB557" t="s">
        <v>2732</v>
      </c>
      <c r="AC557" t="s">
        <v>2730</v>
      </c>
      <c r="AD557" t="s">
        <v>2730</v>
      </c>
      <c r="AE557" t="s">
        <v>2730</v>
      </c>
      <c r="AF557" t="s">
        <v>2730</v>
      </c>
      <c r="AG557" t="s">
        <v>2730</v>
      </c>
      <c r="AH557" t="s">
        <v>2730</v>
      </c>
    </row>
    <row r="558" spans="1:34">
      <c r="A558" s="149" t="str">
        <f>HYPERLINK("http://www.ofsted.gov.uk/inspection-reports/find-inspection-report/provider/ELS/136088 ","Ofsted School Webpage")</f>
        <v>Ofsted School Webpage</v>
      </c>
      <c r="B558">
        <v>136088</v>
      </c>
      <c r="C558">
        <v>3436134</v>
      </c>
      <c r="D558" t="s">
        <v>988</v>
      </c>
      <c r="E558" t="s">
        <v>38</v>
      </c>
      <c r="F558" t="s">
        <v>184</v>
      </c>
      <c r="G558" t="s">
        <v>184</v>
      </c>
      <c r="H558" t="s">
        <v>2729</v>
      </c>
      <c r="I558" t="s">
        <v>2730</v>
      </c>
      <c r="J558" t="s">
        <v>186</v>
      </c>
      <c r="K558" t="s">
        <v>205</v>
      </c>
      <c r="L558" t="s">
        <v>205</v>
      </c>
      <c r="M558" t="s">
        <v>758</v>
      </c>
      <c r="N558" t="s">
        <v>989</v>
      </c>
      <c r="O558">
        <v>10026016</v>
      </c>
      <c r="P558" s="120">
        <v>42927</v>
      </c>
      <c r="Q558" s="120">
        <v>42929</v>
      </c>
      <c r="R558" s="120">
        <v>42998</v>
      </c>
      <c r="S558" t="s">
        <v>196</v>
      </c>
      <c r="T558">
        <v>2</v>
      </c>
      <c r="U558" t="s">
        <v>128</v>
      </c>
      <c r="V558">
        <v>2</v>
      </c>
      <c r="W558">
        <v>2</v>
      </c>
      <c r="X558">
        <v>2</v>
      </c>
      <c r="Y558">
        <v>2</v>
      </c>
      <c r="Z558" t="s">
        <v>2730</v>
      </c>
      <c r="AA558" t="s">
        <v>2730</v>
      </c>
      <c r="AB558" t="s">
        <v>2732</v>
      </c>
      <c r="AC558" t="s">
        <v>2730</v>
      </c>
      <c r="AD558" t="s">
        <v>2730</v>
      </c>
      <c r="AE558" t="s">
        <v>2730</v>
      </c>
      <c r="AF558" t="s">
        <v>2730</v>
      </c>
      <c r="AG558" t="s">
        <v>2730</v>
      </c>
      <c r="AH558" t="s">
        <v>2730</v>
      </c>
    </row>
    <row r="559" spans="1:34">
      <c r="A559" s="149" t="str">
        <f>HYPERLINK("http://www.ofsted.gov.uk/inspection-reports/find-inspection-report/provider/ELS/127003 ","Ofsted School Webpage")</f>
        <v>Ofsted School Webpage</v>
      </c>
      <c r="B559">
        <v>127003</v>
      </c>
      <c r="C559">
        <v>9356083</v>
      </c>
      <c r="D559" t="s">
        <v>990</v>
      </c>
      <c r="E559" t="s">
        <v>38</v>
      </c>
      <c r="F559" t="s">
        <v>184</v>
      </c>
      <c r="G559" t="s">
        <v>184</v>
      </c>
      <c r="H559" t="s">
        <v>2729</v>
      </c>
      <c r="I559" t="s">
        <v>2730</v>
      </c>
      <c r="J559" t="s">
        <v>186</v>
      </c>
      <c r="K559" t="s">
        <v>220</v>
      </c>
      <c r="L559" t="s">
        <v>220</v>
      </c>
      <c r="M559" t="s">
        <v>297</v>
      </c>
      <c r="N559" t="s">
        <v>991</v>
      </c>
      <c r="O559">
        <v>10006012</v>
      </c>
      <c r="P559" s="120">
        <v>42801</v>
      </c>
      <c r="Q559" s="120">
        <v>42803</v>
      </c>
      <c r="R559" s="120">
        <v>42835</v>
      </c>
      <c r="S559" t="s">
        <v>196</v>
      </c>
      <c r="T559">
        <v>3</v>
      </c>
      <c r="U559" t="s">
        <v>128</v>
      </c>
      <c r="V559">
        <v>3</v>
      </c>
      <c r="W559">
        <v>2</v>
      </c>
      <c r="X559">
        <v>2</v>
      </c>
      <c r="Y559">
        <v>2</v>
      </c>
      <c r="Z559" t="s">
        <v>2730</v>
      </c>
      <c r="AA559" t="s">
        <v>2730</v>
      </c>
      <c r="AB559" t="s">
        <v>2732</v>
      </c>
      <c r="AC559" t="s">
        <v>2730</v>
      </c>
      <c r="AD559" t="s">
        <v>2730</v>
      </c>
      <c r="AE559" t="s">
        <v>2730</v>
      </c>
      <c r="AF559" t="s">
        <v>2730</v>
      </c>
      <c r="AG559" t="s">
        <v>2730</v>
      </c>
      <c r="AH559" t="s">
        <v>2730</v>
      </c>
    </row>
    <row r="560" spans="1:34">
      <c r="A560" s="149" t="str">
        <f>HYPERLINK("http://www.ofsted.gov.uk/inspection-reports/find-inspection-report/provider/ELS/136227 ","Ofsted School Webpage")</f>
        <v>Ofsted School Webpage</v>
      </c>
      <c r="B560">
        <v>136227</v>
      </c>
      <c r="C560">
        <v>9286073</v>
      </c>
      <c r="D560" t="s">
        <v>992</v>
      </c>
      <c r="E560" t="s">
        <v>38</v>
      </c>
      <c r="F560" t="s">
        <v>184</v>
      </c>
      <c r="G560" t="s">
        <v>184</v>
      </c>
      <c r="H560" t="s">
        <v>2729</v>
      </c>
      <c r="I560" t="s">
        <v>2730</v>
      </c>
      <c r="J560" t="s">
        <v>186</v>
      </c>
      <c r="K560" t="s">
        <v>214</v>
      </c>
      <c r="L560" t="s">
        <v>214</v>
      </c>
      <c r="M560" t="s">
        <v>215</v>
      </c>
      <c r="N560" t="s">
        <v>993</v>
      </c>
      <c r="O560">
        <v>10039190</v>
      </c>
      <c r="P560" s="120">
        <v>43053</v>
      </c>
      <c r="Q560" s="120">
        <v>43055</v>
      </c>
      <c r="R560" s="120">
        <v>43076</v>
      </c>
      <c r="S560" t="s">
        <v>196</v>
      </c>
      <c r="T560">
        <v>2</v>
      </c>
      <c r="U560" t="s">
        <v>128</v>
      </c>
      <c r="V560">
        <v>2</v>
      </c>
      <c r="W560">
        <v>2</v>
      </c>
      <c r="X560">
        <v>2</v>
      </c>
      <c r="Y560">
        <v>2</v>
      </c>
      <c r="Z560" t="s">
        <v>2730</v>
      </c>
      <c r="AA560">
        <v>2</v>
      </c>
      <c r="AB560" t="s">
        <v>2732</v>
      </c>
      <c r="AC560" t="s">
        <v>2730</v>
      </c>
      <c r="AD560" t="s">
        <v>2730</v>
      </c>
      <c r="AE560" s="120" t="s">
        <v>2730</v>
      </c>
      <c r="AF560" t="s">
        <v>2730</v>
      </c>
      <c r="AG560" s="120" t="s">
        <v>2730</v>
      </c>
      <c r="AH560" t="s">
        <v>2730</v>
      </c>
    </row>
    <row r="561" spans="1:34">
      <c r="A561" s="149" t="str">
        <f>HYPERLINK("http://www.ofsted.gov.uk/inspection-reports/find-inspection-report/provider/ELS/139706 ","Ofsted School Webpage")</f>
        <v>Ofsted School Webpage</v>
      </c>
      <c r="B561">
        <v>139706</v>
      </c>
      <c r="C561">
        <v>3306014</v>
      </c>
      <c r="D561" t="s">
        <v>1283</v>
      </c>
      <c r="E561" t="s">
        <v>38</v>
      </c>
      <c r="F561" t="s">
        <v>1284</v>
      </c>
      <c r="G561" t="s">
        <v>184</v>
      </c>
      <c r="H561" t="s">
        <v>2729</v>
      </c>
      <c r="I561" t="s">
        <v>2730</v>
      </c>
      <c r="J561" t="s">
        <v>186</v>
      </c>
      <c r="K561" t="s">
        <v>193</v>
      </c>
      <c r="L561" t="s">
        <v>193</v>
      </c>
      <c r="M561" t="s">
        <v>210</v>
      </c>
      <c r="N561" t="s">
        <v>1285</v>
      </c>
      <c r="O561">
        <v>10033573</v>
      </c>
      <c r="P561" s="120">
        <v>42892</v>
      </c>
      <c r="Q561" s="120">
        <v>42894</v>
      </c>
      <c r="R561" s="120">
        <v>42914</v>
      </c>
      <c r="S561" t="s">
        <v>196</v>
      </c>
      <c r="T561">
        <v>2</v>
      </c>
      <c r="U561" t="s">
        <v>128</v>
      </c>
      <c r="V561">
        <v>2</v>
      </c>
      <c r="W561">
        <v>2</v>
      </c>
      <c r="X561">
        <v>2</v>
      </c>
      <c r="Y561">
        <v>2</v>
      </c>
      <c r="Z561" t="s">
        <v>2730</v>
      </c>
      <c r="AA561" t="s">
        <v>2730</v>
      </c>
      <c r="AB561" t="s">
        <v>2732</v>
      </c>
      <c r="AC561" t="s">
        <v>2730</v>
      </c>
      <c r="AD561" t="s">
        <v>2730</v>
      </c>
      <c r="AE561" t="s">
        <v>2730</v>
      </c>
      <c r="AF561" t="s">
        <v>2730</v>
      </c>
      <c r="AG561" t="s">
        <v>2730</v>
      </c>
      <c r="AH561" t="s">
        <v>2730</v>
      </c>
    </row>
    <row r="562" spans="1:34">
      <c r="A562" s="149" t="str">
        <f>HYPERLINK("http://www.ofsted.gov.uk/inspection-reports/find-inspection-report/provider/ELS/117646 ","Ofsted School Webpage")</f>
        <v>Ofsted School Webpage</v>
      </c>
      <c r="B562">
        <v>117646</v>
      </c>
      <c r="C562">
        <v>9196215</v>
      </c>
      <c r="D562" t="s">
        <v>1286</v>
      </c>
      <c r="E562" t="s">
        <v>38</v>
      </c>
      <c r="F562" t="s">
        <v>184</v>
      </c>
      <c r="G562" t="s">
        <v>184</v>
      </c>
      <c r="H562" t="s">
        <v>2729</v>
      </c>
      <c r="I562" t="s">
        <v>2730</v>
      </c>
      <c r="J562" t="s">
        <v>186</v>
      </c>
      <c r="K562" t="s">
        <v>220</v>
      </c>
      <c r="L562" t="s">
        <v>220</v>
      </c>
      <c r="M562" t="s">
        <v>822</v>
      </c>
      <c r="N562" t="s">
        <v>1287</v>
      </c>
      <c r="O562">
        <v>10008866</v>
      </c>
      <c r="P562" s="120">
        <v>42759</v>
      </c>
      <c r="Q562" s="120">
        <v>42761</v>
      </c>
      <c r="R562" s="120">
        <v>42814</v>
      </c>
      <c r="S562" t="s">
        <v>196</v>
      </c>
      <c r="T562">
        <v>1</v>
      </c>
      <c r="U562" t="s">
        <v>128</v>
      </c>
      <c r="V562">
        <v>1</v>
      </c>
      <c r="W562">
        <v>1</v>
      </c>
      <c r="X562">
        <v>1</v>
      </c>
      <c r="Y562">
        <v>1</v>
      </c>
      <c r="Z562" t="s">
        <v>2730</v>
      </c>
      <c r="AA562">
        <v>1</v>
      </c>
      <c r="AB562" t="s">
        <v>2732</v>
      </c>
      <c r="AC562" t="s">
        <v>2730</v>
      </c>
      <c r="AD562" t="s">
        <v>2730</v>
      </c>
      <c r="AE562" s="120" t="s">
        <v>2730</v>
      </c>
      <c r="AF562" t="s">
        <v>2730</v>
      </c>
      <c r="AG562" s="120" t="s">
        <v>2730</v>
      </c>
      <c r="AH562" t="s">
        <v>2730</v>
      </c>
    </row>
    <row r="563" spans="1:34">
      <c r="A563" s="149" t="str">
        <f>HYPERLINK("http://www.ofsted.gov.uk/inspection-reports/find-inspection-report/provider/ELS/134145 ","Ofsted School Webpage")</f>
        <v>Ofsted School Webpage</v>
      </c>
      <c r="B563">
        <v>134145</v>
      </c>
      <c r="C563">
        <v>2126405</v>
      </c>
      <c r="D563" t="s">
        <v>1288</v>
      </c>
      <c r="E563" t="s">
        <v>38</v>
      </c>
      <c r="F563" t="s">
        <v>184</v>
      </c>
      <c r="G563" t="s">
        <v>184</v>
      </c>
      <c r="H563" t="s">
        <v>2729</v>
      </c>
      <c r="I563" t="s">
        <v>2730</v>
      </c>
      <c r="J563" t="s">
        <v>186</v>
      </c>
      <c r="K563" t="s">
        <v>232</v>
      </c>
      <c r="L563" t="s">
        <v>232</v>
      </c>
      <c r="M563" t="s">
        <v>435</v>
      </c>
      <c r="N563" t="s">
        <v>1289</v>
      </c>
      <c r="O563">
        <v>10012791</v>
      </c>
      <c r="P563" s="120">
        <v>42542</v>
      </c>
      <c r="Q563" s="120">
        <v>42544</v>
      </c>
      <c r="R563" s="120">
        <v>42566</v>
      </c>
      <c r="S563" t="s">
        <v>196</v>
      </c>
      <c r="T563">
        <v>2</v>
      </c>
      <c r="U563" t="s">
        <v>128</v>
      </c>
      <c r="V563">
        <v>2</v>
      </c>
      <c r="W563">
        <v>1</v>
      </c>
      <c r="X563">
        <v>2</v>
      </c>
      <c r="Y563">
        <v>2</v>
      </c>
      <c r="Z563">
        <v>2</v>
      </c>
      <c r="AA563">
        <v>2</v>
      </c>
      <c r="AB563" t="s">
        <v>2732</v>
      </c>
      <c r="AC563" t="s">
        <v>2730</v>
      </c>
      <c r="AD563" t="s">
        <v>2730</v>
      </c>
      <c r="AE563" t="s">
        <v>2730</v>
      </c>
      <c r="AF563" t="s">
        <v>2730</v>
      </c>
      <c r="AG563" t="s">
        <v>2730</v>
      </c>
      <c r="AH563" t="s">
        <v>2730</v>
      </c>
    </row>
    <row r="564" spans="1:34">
      <c r="A564" s="149" t="str">
        <f>HYPERLINK("http://www.ofsted.gov.uk/inspection-reports/find-inspection-report/provider/ELS/106150 ","Ofsted School Webpage")</f>
        <v>Ofsted School Webpage</v>
      </c>
      <c r="B564">
        <v>106150</v>
      </c>
      <c r="C564">
        <v>3566008</v>
      </c>
      <c r="D564" t="s">
        <v>1290</v>
      </c>
      <c r="E564" t="s">
        <v>38</v>
      </c>
      <c r="F564" t="s">
        <v>184</v>
      </c>
      <c r="G564" t="s">
        <v>184</v>
      </c>
      <c r="H564" t="s">
        <v>2729</v>
      </c>
      <c r="I564" t="s">
        <v>2730</v>
      </c>
      <c r="J564" t="s">
        <v>186</v>
      </c>
      <c r="K564" t="s">
        <v>205</v>
      </c>
      <c r="L564" t="s">
        <v>205</v>
      </c>
      <c r="M564" t="s">
        <v>346</v>
      </c>
      <c r="N564" t="s">
        <v>1291</v>
      </c>
      <c r="O564">
        <v>10017450</v>
      </c>
      <c r="P564" s="120">
        <v>42626</v>
      </c>
      <c r="Q564" s="120">
        <v>42628</v>
      </c>
      <c r="R564" s="120">
        <v>42654</v>
      </c>
      <c r="S564" t="s">
        <v>196</v>
      </c>
      <c r="T564">
        <v>4</v>
      </c>
      <c r="U564" t="s">
        <v>128</v>
      </c>
      <c r="V564">
        <v>4</v>
      </c>
      <c r="W564">
        <v>2</v>
      </c>
      <c r="X564">
        <v>3</v>
      </c>
      <c r="Y564">
        <v>4</v>
      </c>
      <c r="Z564" t="s">
        <v>2730</v>
      </c>
      <c r="AA564" t="s">
        <v>2730</v>
      </c>
      <c r="AB564" t="s">
        <v>2733</v>
      </c>
      <c r="AC564">
        <v>10034806</v>
      </c>
      <c r="AD564" t="s">
        <v>187</v>
      </c>
      <c r="AE564" s="120">
        <v>42894</v>
      </c>
      <c r="AF564" t="s">
        <v>2769</v>
      </c>
      <c r="AG564" s="120">
        <v>42912</v>
      </c>
      <c r="AH564" t="s">
        <v>189</v>
      </c>
    </row>
    <row r="565" spans="1:34">
      <c r="A565" s="149" t="str">
        <f>HYPERLINK("http://www.ofsted.gov.uk/inspection-reports/find-inspection-report/provider/ELS/135373 ","Ofsted School Webpage")</f>
        <v>Ofsted School Webpage</v>
      </c>
      <c r="B565">
        <v>135373</v>
      </c>
      <c r="C565">
        <v>3046121</v>
      </c>
      <c r="D565" t="s">
        <v>1292</v>
      </c>
      <c r="E565" t="s">
        <v>38</v>
      </c>
      <c r="F565" t="s">
        <v>184</v>
      </c>
      <c r="G565" t="s">
        <v>184</v>
      </c>
      <c r="H565" t="s">
        <v>2729</v>
      </c>
      <c r="I565" t="s">
        <v>2730</v>
      </c>
      <c r="J565" t="s">
        <v>186</v>
      </c>
      <c r="K565" t="s">
        <v>232</v>
      </c>
      <c r="L565" t="s">
        <v>232</v>
      </c>
      <c r="M565" t="s">
        <v>749</v>
      </c>
      <c r="N565" t="s">
        <v>1293</v>
      </c>
      <c r="O565" t="s">
        <v>1294</v>
      </c>
      <c r="P565" s="120">
        <v>42032</v>
      </c>
      <c r="Q565" s="120">
        <v>42034</v>
      </c>
      <c r="R565" s="120">
        <v>42069</v>
      </c>
      <c r="S565" t="s">
        <v>196</v>
      </c>
      <c r="T565">
        <v>2</v>
      </c>
      <c r="U565" t="s">
        <v>2730</v>
      </c>
      <c r="V565">
        <v>2</v>
      </c>
      <c r="W565" t="s">
        <v>2730</v>
      </c>
      <c r="X565">
        <v>2</v>
      </c>
      <c r="Y565">
        <v>2</v>
      </c>
      <c r="Z565">
        <v>9</v>
      </c>
      <c r="AA565">
        <v>2</v>
      </c>
      <c r="AB565" t="s">
        <v>2730</v>
      </c>
      <c r="AC565" t="s">
        <v>2730</v>
      </c>
      <c r="AD565" t="s">
        <v>2730</v>
      </c>
      <c r="AE565" t="s">
        <v>2730</v>
      </c>
      <c r="AF565" t="s">
        <v>2730</v>
      </c>
      <c r="AG565" t="s">
        <v>2730</v>
      </c>
      <c r="AH565" t="s">
        <v>2730</v>
      </c>
    </row>
    <row r="566" spans="1:34">
      <c r="A566" s="149" t="str">
        <f>HYPERLINK("http://www.ofsted.gov.uk/inspection-reports/find-inspection-report/provider/ELS/140618 ","Ofsted School Webpage")</f>
        <v>Ofsted School Webpage</v>
      </c>
      <c r="B566">
        <v>140618</v>
      </c>
      <c r="C566">
        <v>3406002</v>
      </c>
      <c r="D566" t="s">
        <v>1295</v>
      </c>
      <c r="E566" t="s">
        <v>38</v>
      </c>
      <c r="F566" t="s">
        <v>184</v>
      </c>
      <c r="G566" t="s">
        <v>184</v>
      </c>
      <c r="H566" t="s">
        <v>2729</v>
      </c>
      <c r="I566" t="s">
        <v>2730</v>
      </c>
      <c r="J566" t="s">
        <v>186</v>
      </c>
      <c r="K566" t="s">
        <v>205</v>
      </c>
      <c r="L566" t="s">
        <v>205</v>
      </c>
      <c r="M566" t="s">
        <v>905</v>
      </c>
      <c r="N566" t="s">
        <v>1296</v>
      </c>
      <c r="O566" t="s">
        <v>1297</v>
      </c>
      <c r="P566" s="120">
        <v>42031</v>
      </c>
      <c r="Q566" s="120">
        <v>42032</v>
      </c>
      <c r="R566" s="120">
        <v>42069</v>
      </c>
      <c r="S566" t="s">
        <v>249</v>
      </c>
      <c r="T566">
        <v>3</v>
      </c>
      <c r="U566" t="s">
        <v>2730</v>
      </c>
      <c r="V566">
        <v>3</v>
      </c>
      <c r="W566" t="s">
        <v>2730</v>
      </c>
      <c r="X566">
        <v>3</v>
      </c>
      <c r="Y566">
        <v>3</v>
      </c>
      <c r="Z566">
        <v>9</v>
      </c>
      <c r="AA566">
        <v>9</v>
      </c>
      <c r="AB566" t="s">
        <v>2730</v>
      </c>
      <c r="AC566" t="s">
        <v>2730</v>
      </c>
      <c r="AD566" t="s">
        <v>2730</v>
      </c>
      <c r="AE566" t="s">
        <v>2730</v>
      </c>
      <c r="AF566" t="s">
        <v>2730</v>
      </c>
      <c r="AG566" t="s">
        <v>2730</v>
      </c>
      <c r="AH566" t="s">
        <v>2730</v>
      </c>
    </row>
    <row r="567" spans="1:34">
      <c r="A567" s="149" t="str">
        <f>HYPERLINK("http://www.ofsted.gov.uk/inspection-reports/find-inspection-report/provider/ELS/134982 ","Ofsted School Webpage")</f>
        <v>Ofsted School Webpage</v>
      </c>
      <c r="B567">
        <v>134982</v>
      </c>
      <c r="C567">
        <v>3306112</v>
      </c>
      <c r="D567" t="s">
        <v>1298</v>
      </c>
      <c r="E567" t="s">
        <v>38</v>
      </c>
      <c r="F567" t="s">
        <v>184</v>
      </c>
      <c r="G567" t="s">
        <v>184</v>
      </c>
      <c r="H567" t="s">
        <v>2729</v>
      </c>
      <c r="I567" t="s">
        <v>2730</v>
      </c>
      <c r="J567" t="s">
        <v>186</v>
      </c>
      <c r="K567" t="s">
        <v>193</v>
      </c>
      <c r="L567" t="s">
        <v>193</v>
      </c>
      <c r="M567" t="s">
        <v>210</v>
      </c>
      <c r="N567" t="s">
        <v>1299</v>
      </c>
      <c r="O567" t="s">
        <v>1300</v>
      </c>
      <c r="P567" s="120">
        <v>42045</v>
      </c>
      <c r="Q567" s="120">
        <v>42047</v>
      </c>
      <c r="R567" s="120">
        <v>42080</v>
      </c>
      <c r="S567" t="s">
        <v>196</v>
      </c>
      <c r="T567">
        <v>2</v>
      </c>
      <c r="U567" t="s">
        <v>2730</v>
      </c>
      <c r="V567">
        <v>2</v>
      </c>
      <c r="W567" t="s">
        <v>2730</v>
      </c>
      <c r="X567">
        <v>2</v>
      </c>
      <c r="Y567">
        <v>2</v>
      </c>
      <c r="Z567">
        <v>9</v>
      </c>
      <c r="AA567">
        <v>2</v>
      </c>
      <c r="AB567" t="s">
        <v>2730</v>
      </c>
      <c r="AC567" t="s">
        <v>2730</v>
      </c>
      <c r="AD567" t="s">
        <v>2730</v>
      </c>
      <c r="AE567" t="s">
        <v>2730</v>
      </c>
      <c r="AF567" t="s">
        <v>2730</v>
      </c>
      <c r="AG567" t="s">
        <v>2730</v>
      </c>
      <c r="AH567" t="s">
        <v>2730</v>
      </c>
    </row>
    <row r="568" spans="1:34">
      <c r="A568" s="149" t="str">
        <f>HYPERLINK("http://www.ofsted.gov.uk/inspection-reports/find-inspection-report/provider/ELS/135180 ","Ofsted School Webpage")</f>
        <v>Ofsted School Webpage</v>
      </c>
      <c r="B568">
        <v>135180</v>
      </c>
      <c r="C568">
        <v>9386050</v>
      </c>
      <c r="D568" t="s">
        <v>1187</v>
      </c>
      <c r="E568" t="s">
        <v>38</v>
      </c>
      <c r="F568" t="s">
        <v>184</v>
      </c>
      <c r="G568" t="s">
        <v>184</v>
      </c>
      <c r="H568" t="s">
        <v>2729</v>
      </c>
      <c r="I568" t="s">
        <v>2730</v>
      </c>
      <c r="J568" t="s">
        <v>186</v>
      </c>
      <c r="K568" t="s">
        <v>181</v>
      </c>
      <c r="L568" t="s">
        <v>181</v>
      </c>
      <c r="M568" t="s">
        <v>395</v>
      </c>
      <c r="N568" t="s">
        <v>1188</v>
      </c>
      <c r="O568">
        <v>10020930</v>
      </c>
      <c r="P568" s="120">
        <v>43060</v>
      </c>
      <c r="Q568" s="120">
        <v>43062</v>
      </c>
      <c r="R568" s="120">
        <v>43080</v>
      </c>
      <c r="S568" t="s">
        <v>196</v>
      </c>
      <c r="T568">
        <v>3</v>
      </c>
      <c r="U568" t="s">
        <v>128</v>
      </c>
      <c r="V568">
        <v>3</v>
      </c>
      <c r="W568">
        <v>1</v>
      </c>
      <c r="X568">
        <v>3</v>
      </c>
      <c r="Y568">
        <v>3</v>
      </c>
      <c r="Z568" t="s">
        <v>2730</v>
      </c>
      <c r="AA568" t="s">
        <v>2730</v>
      </c>
      <c r="AB568" t="s">
        <v>2732</v>
      </c>
      <c r="AC568" t="s">
        <v>2730</v>
      </c>
      <c r="AD568" t="s">
        <v>2730</v>
      </c>
      <c r="AE568" t="s">
        <v>2730</v>
      </c>
      <c r="AF568" t="s">
        <v>2730</v>
      </c>
      <c r="AG568" t="s">
        <v>2730</v>
      </c>
      <c r="AH568" t="s">
        <v>2730</v>
      </c>
    </row>
    <row r="569" spans="1:34">
      <c r="A569" s="149" t="str">
        <f>HYPERLINK("http://www.ofsted.gov.uk/inspection-reports/find-inspection-report/provider/ELS/136046 ","Ofsted School Webpage")</f>
        <v>Ofsted School Webpage</v>
      </c>
      <c r="B569">
        <v>136046</v>
      </c>
      <c r="C569">
        <v>3136082</v>
      </c>
      <c r="D569" t="s">
        <v>422</v>
      </c>
      <c r="E569" t="s">
        <v>37</v>
      </c>
      <c r="F569" t="s">
        <v>304</v>
      </c>
      <c r="G569" t="s">
        <v>223</v>
      </c>
      <c r="H569" t="s">
        <v>2729</v>
      </c>
      <c r="I569" t="s">
        <v>2730</v>
      </c>
      <c r="J569" t="s">
        <v>186</v>
      </c>
      <c r="K569" t="s">
        <v>232</v>
      </c>
      <c r="L569" t="s">
        <v>232</v>
      </c>
      <c r="M569" t="s">
        <v>269</v>
      </c>
      <c r="N569" t="s">
        <v>423</v>
      </c>
      <c r="O569">
        <v>10017799</v>
      </c>
      <c r="P569" s="120">
        <v>42675</v>
      </c>
      <c r="Q569" s="120">
        <v>42677</v>
      </c>
      <c r="R569" s="120">
        <v>42706</v>
      </c>
      <c r="S569" t="s">
        <v>196</v>
      </c>
      <c r="T569">
        <v>2</v>
      </c>
      <c r="U569" t="s">
        <v>128</v>
      </c>
      <c r="V569">
        <v>2</v>
      </c>
      <c r="W569">
        <v>2</v>
      </c>
      <c r="X569">
        <v>2</v>
      </c>
      <c r="Y569">
        <v>2</v>
      </c>
      <c r="Z569" t="s">
        <v>2730</v>
      </c>
      <c r="AA569" t="s">
        <v>2730</v>
      </c>
      <c r="AB569" t="s">
        <v>2732</v>
      </c>
      <c r="AC569" t="s">
        <v>2730</v>
      </c>
      <c r="AD569" t="s">
        <v>2730</v>
      </c>
      <c r="AE569" t="s">
        <v>2730</v>
      </c>
      <c r="AF569" t="s">
        <v>2730</v>
      </c>
      <c r="AG569" t="s">
        <v>2730</v>
      </c>
      <c r="AH569" t="s">
        <v>2730</v>
      </c>
    </row>
    <row r="570" spans="1:34">
      <c r="A570" s="149" t="str">
        <f>HYPERLINK("http://www.ofsted.gov.uk/inspection-reports/find-inspection-report/provider/ELS/135858 ","Ofsted School Webpage")</f>
        <v>Ofsted School Webpage</v>
      </c>
      <c r="B570">
        <v>135858</v>
      </c>
      <c r="C570">
        <v>8566022</v>
      </c>
      <c r="D570" t="s">
        <v>1807</v>
      </c>
      <c r="E570" t="s">
        <v>37</v>
      </c>
      <c r="F570" t="s">
        <v>184</v>
      </c>
      <c r="G570" t="s">
        <v>223</v>
      </c>
      <c r="H570" t="s">
        <v>2729</v>
      </c>
      <c r="I570" t="s">
        <v>2730</v>
      </c>
      <c r="J570" t="s">
        <v>186</v>
      </c>
      <c r="K570" t="s">
        <v>214</v>
      </c>
      <c r="L570" t="s">
        <v>214</v>
      </c>
      <c r="M570" t="s">
        <v>330</v>
      </c>
      <c r="N570" t="s">
        <v>1808</v>
      </c>
      <c r="O570">
        <v>10020934</v>
      </c>
      <c r="P570" s="120">
        <v>42710</v>
      </c>
      <c r="Q570" s="120">
        <v>42712</v>
      </c>
      <c r="R570" s="120">
        <v>42761</v>
      </c>
      <c r="S570" t="s">
        <v>196</v>
      </c>
      <c r="T570">
        <v>3</v>
      </c>
      <c r="U570" t="s">
        <v>128</v>
      </c>
      <c r="V570">
        <v>2</v>
      </c>
      <c r="W570">
        <v>2</v>
      </c>
      <c r="X570">
        <v>3</v>
      </c>
      <c r="Y570">
        <v>3</v>
      </c>
      <c r="Z570">
        <v>3</v>
      </c>
      <c r="AA570" t="s">
        <v>2730</v>
      </c>
      <c r="AB570" t="s">
        <v>2732</v>
      </c>
      <c r="AC570" t="s">
        <v>2730</v>
      </c>
      <c r="AD570" t="s">
        <v>2730</v>
      </c>
      <c r="AE570" t="s">
        <v>2730</v>
      </c>
      <c r="AF570" t="s">
        <v>2730</v>
      </c>
      <c r="AG570" t="s">
        <v>2730</v>
      </c>
      <c r="AH570" t="s">
        <v>2730</v>
      </c>
    </row>
    <row r="571" spans="1:34">
      <c r="A571" s="149" t="str">
        <f>HYPERLINK("http://www.ofsted.gov.uk/inspection-reports/find-inspection-report/provider/ELS/132848 ","Ofsted School Webpage")</f>
        <v>Ofsted School Webpage</v>
      </c>
      <c r="B571">
        <v>132848</v>
      </c>
      <c r="C571">
        <v>3206501</v>
      </c>
      <c r="D571" t="s">
        <v>708</v>
      </c>
      <c r="E571" t="s">
        <v>37</v>
      </c>
      <c r="F571" t="s">
        <v>223</v>
      </c>
      <c r="G571" t="s">
        <v>304</v>
      </c>
      <c r="H571" t="s">
        <v>2729</v>
      </c>
      <c r="I571" t="s">
        <v>2730</v>
      </c>
      <c r="J571" t="s">
        <v>186</v>
      </c>
      <c r="K571" t="s">
        <v>232</v>
      </c>
      <c r="L571" t="s">
        <v>232</v>
      </c>
      <c r="M571" t="s">
        <v>709</v>
      </c>
      <c r="N571" t="s">
        <v>710</v>
      </c>
      <c r="O571">
        <v>10007479</v>
      </c>
      <c r="P571" s="120">
        <v>42332</v>
      </c>
      <c r="Q571" s="120">
        <v>42334</v>
      </c>
      <c r="R571" s="120">
        <v>42354</v>
      </c>
      <c r="S571" t="s">
        <v>196</v>
      </c>
      <c r="T571">
        <v>1</v>
      </c>
      <c r="U571" t="s">
        <v>128</v>
      </c>
      <c r="V571">
        <v>1</v>
      </c>
      <c r="W571">
        <v>1</v>
      </c>
      <c r="X571">
        <v>1</v>
      </c>
      <c r="Y571">
        <v>1</v>
      </c>
      <c r="Z571" t="s">
        <v>2730</v>
      </c>
      <c r="AA571" t="s">
        <v>2730</v>
      </c>
      <c r="AB571" t="s">
        <v>2732</v>
      </c>
      <c r="AC571" t="s">
        <v>2730</v>
      </c>
      <c r="AD571" t="s">
        <v>2730</v>
      </c>
      <c r="AE571" t="s">
        <v>2730</v>
      </c>
      <c r="AF571" t="s">
        <v>2730</v>
      </c>
      <c r="AG571" t="s">
        <v>2730</v>
      </c>
      <c r="AH571" t="s">
        <v>2730</v>
      </c>
    </row>
    <row r="572" spans="1:34">
      <c r="A572" s="149" t="str">
        <f>HYPERLINK("http://www.ofsted.gov.uk/inspection-reports/find-inspection-report/provider/ELS/117044 ","Ofsted School Webpage")</f>
        <v>Ofsted School Webpage</v>
      </c>
      <c r="B572">
        <v>117044</v>
      </c>
      <c r="C572">
        <v>8856031</v>
      </c>
      <c r="D572" t="s">
        <v>1811</v>
      </c>
      <c r="E572" t="s">
        <v>37</v>
      </c>
      <c r="F572" t="s">
        <v>184</v>
      </c>
      <c r="G572" t="s">
        <v>223</v>
      </c>
      <c r="H572" t="s">
        <v>2729</v>
      </c>
      <c r="I572" t="s">
        <v>2730</v>
      </c>
      <c r="J572" t="s">
        <v>186</v>
      </c>
      <c r="K572" t="s">
        <v>193</v>
      </c>
      <c r="L572" t="s">
        <v>193</v>
      </c>
      <c r="M572" t="s">
        <v>891</v>
      </c>
      <c r="N572" t="s">
        <v>1812</v>
      </c>
      <c r="O572">
        <v>10007710</v>
      </c>
      <c r="P572" s="120">
        <v>42402</v>
      </c>
      <c r="Q572" s="120">
        <v>42404</v>
      </c>
      <c r="R572" s="120">
        <v>42478</v>
      </c>
      <c r="S572" t="s">
        <v>267</v>
      </c>
      <c r="T572">
        <v>4</v>
      </c>
      <c r="U572" t="s">
        <v>129</v>
      </c>
      <c r="V572">
        <v>4</v>
      </c>
      <c r="W572">
        <v>3</v>
      </c>
      <c r="X572">
        <v>3</v>
      </c>
      <c r="Y572">
        <v>3</v>
      </c>
      <c r="Z572" t="s">
        <v>2730</v>
      </c>
      <c r="AA572">
        <v>4</v>
      </c>
      <c r="AB572" t="s">
        <v>2733</v>
      </c>
      <c r="AC572">
        <v>10025762</v>
      </c>
      <c r="AD572" t="s">
        <v>187</v>
      </c>
      <c r="AE572" s="120">
        <v>42865</v>
      </c>
      <c r="AF572" t="s">
        <v>2769</v>
      </c>
      <c r="AG572" s="120">
        <v>42913</v>
      </c>
      <c r="AH572" t="s">
        <v>217</v>
      </c>
    </row>
    <row r="573" spans="1:34">
      <c r="A573" s="149" t="str">
        <f>HYPERLINK("http://www.ofsted.gov.uk/inspection-reports/find-inspection-report/provider/ELS/136955 ","Ofsted School Webpage")</f>
        <v>Ofsted School Webpage</v>
      </c>
      <c r="B573">
        <v>136955</v>
      </c>
      <c r="C573">
        <v>8716002</v>
      </c>
      <c r="D573" t="s">
        <v>442</v>
      </c>
      <c r="E573" t="s">
        <v>37</v>
      </c>
      <c r="F573" t="s">
        <v>223</v>
      </c>
      <c r="G573" t="s">
        <v>223</v>
      </c>
      <c r="H573" t="s">
        <v>2729</v>
      </c>
      <c r="I573" t="s">
        <v>2730</v>
      </c>
      <c r="J573" t="s">
        <v>186</v>
      </c>
      <c r="K573" t="s">
        <v>181</v>
      </c>
      <c r="L573" t="s">
        <v>181</v>
      </c>
      <c r="M573" t="s">
        <v>229</v>
      </c>
      <c r="N573" t="s">
        <v>443</v>
      </c>
      <c r="O573">
        <v>10039165</v>
      </c>
      <c r="P573" s="120">
        <v>43039</v>
      </c>
      <c r="Q573" s="120">
        <v>43041</v>
      </c>
      <c r="R573" s="120">
        <v>43068</v>
      </c>
      <c r="S573" t="s">
        <v>196</v>
      </c>
      <c r="T573">
        <v>2</v>
      </c>
      <c r="U573" t="s">
        <v>128</v>
      </c>
      <c r="V573">
        <v>2</v>
      </c>
      <c r="W573">
        <v>2</v>
      </c>
      <c r="X573">
        <v>2</v>
      </c>
      <c r="Y573">
        <v>2</v>
      </c>
      <c r="Z573" t="s">
        <v>2730</v>
      </c>
      <c r="AA573" t="s">
        <v>2730</v>
      </c>
      <c r="AB573" t="s">
        <v>2732</v>
      </c>
      <c r="AC573" t="s">
        <v>2730</v>
      </c>
      <c r="AD573" t="s">
        <v>2730</v>
      </c>
      <c r="AE573" s="120" t="s">
        <v>2730</v>
      </c>
      <c r="AF573" t="s">
        <v>2730</v>
      </c>
      <c r="AG573" s="120" t="s">
        <v>2730</v>
      </c>
      <c r="AH573" t="s">
        <v>2730</v>
      </c>
    </row>
    <row r="574" spans="1:34">
      <c r="A574" s="149" t="str">
        <f>HYPERLINK("http://www.ofsted.gov.uk/inspection-reports/find-inspection-report/provider/ELS/107794 ","Ofsted School Webpage")</f>
        <v>Ofsted School Webpage</v>
      </c>
      <c r="B574">
        <v>107794</v>
      </c>
      <c r="C574">
        <v>3826017</v>
      </c>
      <c r="D574" t="s">
        <v>1813</v>
      </c>
      <c r="E574" t="s">
        <v>37</v>
      </c>
      <c r="F574" t="s">
        <v>184</v>
      </c>
      <c r="G574" t="s">
        <v>223</v>
      </c>
      <c r="H574" t="s">
        <v>2729</v>
      </c>
      <c r="I574" t="s">
        <v>2730</v>
      </c>
      <c r="J574" t="s">
        <v>186</v>
      </c>
      <c r="K574" t="s">
        <v>245</v>
      </c>
      <c r="L574" t="s">
        <v>246</v>
      </c>
      <c r="M574" t="s">
        <v>768</v>
      </c>
      <c r="N574" t="s">
        <v>1814</v>
      </c>
      <c r="O574">
        <v>10020762</v>
      </c>
      <c r="P574" s="120">
        <v>42654</v>
      </c>
      <c r="Q574" s="120">
        <v>42656</v>
      </c>
      <c r="R574" s="120">
        <v>42695</v>
      </c>
      <c r="S574" t="s">
        <v>196</v>
      </c>
      <c r="T574">
        <v>2</v>
      </c>
      <c r="U574" t="s">
        <v>128</v>
      </c>
      <c r="V574">
        <v>2</v>
      </c>
      <c r="W574">
        <v>2</v>
      </c>
      <c r="X574">
        <v>2</v>
      </c>
      <c r="Y574">
        <v>2</v>
      </c>
      <c r="Z574">
        <v>2</v>
      </c>
      <c r="AA574" t="s">
        <v>2730</v>
      </c>
      <c r="AB574" t="s">
        <v>2732</v>
      </c>
      <c r="AC574" t="s">
        <v>2730</v>
      </c>
      <c r="AD574" t="s">
        <v>2730</v>
      </c>
      <c r="AE574" t="s">
        <v>2730</v>
      </c>
      <c r="AF574" t="s">
        <v>2730</v>
      </c>
      <c r="AG574" t="s">
        <v>2730</v>
      </c>
      <c r="AH574" t="s">
        <v>2730</v>
      </c>
    </row>
    <row r="575" spans="1:34">
      <c r="A575" s="149" t="str">
        <f>HYPERLINK("http://www.ofsted.gov.uk/inspection-reports/find-inspection-report/provider/ELS/133285 ","Ofsted School Webpage")</f>
        <v>Ofsted School Webpage</v>
      </c>
      <c r="B575">
        <v>133285</v>
      </c>
      <c r="C575">
        <v>3506018</v>
      </c>
      <c r="D575" t="s">
        <v>1551</v>
      </c>
      <c r="E575" t="s">
        <v>37</v>
      </c>
      <c r="F575" t="s">
        <v>304</v>
      </c>
      <c r="G575" t="s">
        <v>223</v>
      </c>
      <c r="H575" t="s">
        <v>2729</v>
      </c>
      <c r="I575" t="s">
        <v>2730</v>
      </c>
      <c r="J575" t="s">
        <v>186</v>
      </c>
      <c r="K575" t="s">
        <v>205</v>
      </c>
      <c r="L575" t="s">
        <v>205</v>
      </c>
      <c r="M575" t="s">
        <v>1265</v>
      </c>
      <c r="N575" t="s">
        <v>1552</v>
      </c>
      <c r="O575">
        <v>10007711</v>
      </c>
      <c r="P575" s="120">
        <v>42759</v>
      </c>
      <c r="Q575" s="120">
        <v>42761</v>
      </c>
      <c r="R575" s="120">
        <v>42803</v>
      </c>
      <c r="S575" t="s">
        <v>196</v>
      </c>
      <c r="T575">
        <v>1</v>
      </c>
      <c r="U575" t="s">
        <v>128</v>
      </c>
      <c r="V575">
        <v>1</v>
      </c>
      <c r="W575">
        <v>1</v>
      </c>
      <c r="X575">
        <v>1</v>
      </c>
      <c r="Y575">
        <v>1</v>
      </c>
      <c r="Z575" t="s">
        <v>2730</v>
      </c>
      <c r="AA575">
        <v>1</v>
      </c>
      <c r="AB575" t="s">
        <v>2732</v>
      </c>
      <c r="AC575" t="s">
        <v>2730</v>
      </c>
      <c r="AD575" t="s">
        <v>2730</v>
      </c>
      <c r="AE575" t="s">
        <v>2730</v>
      </c>
      <c r="AF575" t="s">
        <v>2730</v>
      </c>
      <c r="AG575" t="s">
        <v>2730</v>
      </c>
      <c r="AH575" t="s">
        <v>2730</v>
      </c>
    </row>
    <row r="576" spans="1:34">
      <c r="A576" s="149" t="str">
        <f>HYPERLINK("http://www.ofsted.gov.uk/inspection-reports/find-inspection-report/provider/ELS/110141 ","Ofsted School Webpage")</f>
        <v>Ofsted School Webpage</v>
      </c>
      <c r="B576">
        <v>110141</v>
      </c>
      <c r="C576">
        <v>8676004</v>
      </c>
      <c r="D576" t="s">
        <v>1815</v>
      </c>
      <c r="E576" t="s">
        <v>37</v>
      </c>
      <c r="F576" t="s">
        <v>184</v>
      </c>
      <c r="G576" t="s">
        <v>691</v>
      </c>
      <c r="H576" t="s">
        <v>2729</v>
      </c>
      <c r="I576" t="s">
        <v>2730</v>
      </c>
      <c r="J576" t="s">
        <v>186</v>
      </c>
      <c r="K576" t="s">
        <v>181</v>
      </c>
      <c r="L576" t="s">
        <v>181</v>
      </c>
      <c r="M576" t="s">
        <v>1033</v>
      </c>
      <c r="N576" t="s">
        <v>1816</v>
      </c>
      <c r="O576">
        <v>10012939</v>
      </c>
      <c r="P576" s="120">
        <v>42486</v>
      </c>
      <c r="Q576" s="120">
        <v>42488</v>
      </c>
      <c r="R576" s="120">
        <v>42508</v>
      </c>
      <c r="S576" t="s">
        <v>196</v>
      </c>
      <c r="T576">
        <v>2</v>
      </c>
      <c r="U576" t="s">
        <v>128</v>
      </c>
      <c r="V576">
        <v>2</v>
      </c>
      <c r="W576">
        <v>2</v>
      </c>
      <c r="X576">
        <v>2</v>
      </c>
      <c r="Y576">
        <v>2</v>
      </c>
      <c r="Z576">
        <v>2</v>
      </c>
      <c r="AA576" t="s">
        <v>2730</v>
      </c>
      <c r="AB576" t="s">
        <v>2732</v>
      </c>
      <c r="AC576" t="s">
        <v>2730</v>
      </c>
      <c r="AD576" t="s">
        <v>2730</v>
      </c>
      <c r="AE576" s="120" t="s">
        <v>2730</v>
      </c>
      <c r="AF576" t="s">
        <v>2730</v>
      </c>
      <c r="AG576" s="120" t="s">
        <v>2730</v>
      </c>
      <c r="AH576" t="s">
        <v>2730</v>
      </c>
    </row>
    <row r="577" spans="1:34">
      <c r="A577" s="149" t="str">
        <f>HYPERLINK("http://www.ofsted.gov.uk/inspection-reports/find-inspection-report/provider/ELS/135819 ","Ofsted School Webpage")</f>
        <v>Ofsted School Webpage</v>
      </c>
      <c r="B577">
        <v>135819</v>
      </c>
      <c r="C577">
        <v>8696016</v>
      </c>
      <c r="D577" t="s">
        <v>1817</v>
      </c>
      <c r="E577" t="s">
        <v>37</v>
      </c>
      <c r="F577" t="s">
        <v>184</v>
      </c>
      <c r="G577" t="s">
        <v>184</v>
      </c>
      <c r="H577" t="s">
        <v>2729</v>
      </c>
      <c r="I577" t="s">
        <v>2730</v>
      </c>
      <c r="J577" t="s">
        <v>186</v>
      </c>
      <c r="K577" t="s">
        <v>181</v>
      </c>
      <c r="L577" t="s">
        <v>181</v>
      </c>
      <c r="M577" t="s">
        <v>599</v>
      </c>
      <c r="N577" t="s">
        <v>1818</v>
      </c>
      <c r="O577">
        <v>10012909</v>
      </c>
      <c r="P577" s="120">
        <v>42507</v>
      </c>
      <c r="Q577" s="120">
        <v>42509</v>
      </c>
      <c r="R577" s="120">
        <v>42549</v>
      </c>
      <c r="S577" t="s">
        <v>267</v>
      </c>
      <c r="T577">
        <v>4</v>
      </c>
      <c r="U577" t="s">
        <v>129</v>
      </c>
      <c r="V577">
        <v>4</v>
      </c>
      <c r="W577">
        <v>4</v>
      </c>
      <c r="X577">
        <v>3</v>
      </c>
      <c r="Y577">
        <v>3</v>
      </c>
      <c r="Z577" t="s">
        <v>2730</v>
      </c>
      <c r="AA577">
        <v>4</v>
      </c>
      <c r="AB577" t="s">
        <v>2733</v>
      </c>
      <c r="AC577">
        <v>10023055</v>
      </c>
      <c r="AD577" t="s">
        <v>2770</v>
      </c>
      <c r="AE577" s="120">
        <v>42768</v>
      </c>
      <c r="AF577" t="s">
        <v>2769</v>
      </c>
      <c r="AG577" s="120">
        <v>42849</v>
      </c>
      <c r="AH577" t="s">
        <v>217</v>
      </c>
    </row>
    <row r="578" spans="1:34">
      <c r="A578" s="149" t="str">
        <f>HYPERLINK("http://www.ofsted.gov.uk/inspection-reports/find-inspection-report/provider/ELS/142069 ","Ofsted School Webpage")</f>
        <v>Ofsted School Webpage</v>
      </c>
      <c r="B578">
        <v>142069</v>
      </c>
      <c r="C578">
        <v>8256044</v>
      </c>
      <c r="D578" t="s">
        <v>3068</v>
      </c>
      <c r="E578" t="s">
        <v>37</v>
      </c>
      <c r="F578" t="s">
        <v>184</v>
      </c>
      <c r="G578" t="s">
        <v>184</v>
      </c>
      <c r="H578" t="s">
        <v>2729</v>
      </c>
      <c r="I578" t="s">
        <v>2730</v>
      </c>
      <c r="J578" t="s">
        <v>186</v>
      </c>
      <c r="K578" t="s">
        <v>181</v>
      </c>
      <c r="L578" t="s">
        <v>181</v>
      </c>
      <c r="M578" t="s">
        <v>251</v>
      </c>
      <c r="N578" t="s">
        <v>1819</v>
      </c>
      <c r="O578">
        <v>10010521</v>
      </c>
      <c r="P578" s="120">
        <v>42696</v>
      </c>
      <c r="Q578" s="120">
        <v>42698</v>
      </c>
      <c r="R578" s="120">
        <v>42751</v>
      </c>
      <c r="S578" t="s">
        <v>249</v>
      </c>
      <c r="T578">
        <v>2</v>
      </c>
      <c r="U578" t="s">
        <v>128</v>
      </c>
      <c r="V578">
        <v>2</v>
      </c>
      <c r="W578">
        <v>2</v>
      </c>
      <c r="X578">
        <v>2</v>
      </c>
      <c r="Y578">
        <v>2</v>
      </c>
      <c r="Z578" t="s">
        <v>2730</v>
      </c>
      <c r="AA578" t="s">
        <v>2730</v>
      </c>
      <c r="AB578" t="s">
        <v>2732</v>
      </c>
      <c r="AC578" t="s">
        <v>2730</v>
      </c>
      <c r="AD578" t="s">
        <v>2730</v>
      </c>
      <c r="AE578" t="s">
        <v>2730</v>
      </c>
      <c r="AF578" t="s">
        <v>2730</v>
      </c>
      <c r="AG578" t="s">
        <v>2730</v>
      </c>
      <c r="AH578" t="s">
        <v>2730</v>
      </c>
    </row>
    <row r="579" spans="1:34">
      <c r="A579" s="149" t="str">
        <f>HYPERLINK("http://www.ofsted.gov.uk/inspection-reports/find-inspection-report/provider/ELS/140487 ","Ofsted School Webpage")</f>
        <v>Ofsted School Webpage</v>
      </c>
      <c r="B579">
        <v>140487</v>
      </c>
      <c r="C579">
        <v>8926017</v>
      </c>
      <c r="D579" t="s">
        <v>1820</v>
      </c>
      <c r="E579" t="s">
        <v>37</v>
      </c>
      <c r="F579" t="s">
        <v>184</v>
      </c>
      <c r="G579" t="s">
        <v>184</v>
      </c>
      <c r="H579" t="s">
        <v>2729</v>
      </c>
      <c r="I579" t="s">
        <v>2730</v>
      </c>
      <c r="J579" t="s">
        <v>186</v>
      </c>
      <c r="K579" t="s">
        <v>214</v>
      </c>
      <c r="L579" t="s">
        <v>214</v>
      </c>
      <c r="M579" t="s">
        <v>287</v>
      </c>
      <c r="N579" t="s">
        <v>1821</v>
      </c>
      <c r="O579" t="s">
        <v>1822</v>
      </c>
      <c r="P579" s="120">
        <v>41961</v>
      </c>
      <c r="Q579" s="120">
        <v>41963</v>
      </c>
      <c r="R579" s="120">
        <v>41983</v>
      </c>
      <c r="S579" t="s">
        <v>249</v>
      </c>
      <c r="T579">
        <v>2</v>
      </c>
      <c r="U579" t="s">
        <v>2730</v>
      </c>
      <c r="V579">
        <v>2</v>
      </c>
      <c r="W579" t="s">
        <v>2730</v>
      </c>
      <c r="X579">
        <v>2</v>
      </c>
      <c r="Y579">
        <v>2</v>
      </c>
      <c r="Z579">
        <v>9</v>
      </c>
      <c r="AA579">
        <v>2</v>
      </c>
      <c r="AB579" t="s">
        <v>2730</v>
      </c>
      <c r="AC579" t="s">
        <v>2730</v>
      </c>
      <c r="AD579" t="s">
        <v>2730</v>
      </c>
      <c r="AE579" t="s">
        <v>2730</v>
      </c>
      <c r="AF579" t="s">
        <v>2730</v>
      </c>
      <c r="AG579" t="s">
        <v>2730</v>
      </c>
      <c r="AH579" t="s">
        <v>2730</v>
      </c>
    </row>
    <row r="580" spans="1:34">
      <c r="A580" s="149" t="str">
        <f>HYPERLINK("http://www.ofsted.gov.uk/inspection-reports/find-inspection-report/provider/ELS/141315 ","Ofsted School Webpage")</f>
        <v>Ofsted School Webpage</v>
      </c>
      <c r="B580">
        <v>141315</v>
      </c>
      <c r="C580">
        <v>2036004</v>
      </c>
      <c r="D580" t="s">
        <v>510</v>
      </c>
      <c r="E580" t="s">
        <v>37</v>
      </c>
      <c r="F580" t="s">
        <v>184</v>
      </c>
      <c r="G580" t="s">
        <v>184</v>
      </c>
      <c r="H580" t="s">
        <v>2729</v>
      </c>
      <c r="I580" t="s">
        <v>2730</v>
      </c>
      <c r="J580" t="s">
        <v>186</v>
      </c>
      <c r="K580" t="s">
        <v>232</v>
      </c>
      <c r="L580" t="s">
        <v>232</v>
      </c>
      <c r="M580" t="s">
        <v>482</v>
      </c>
      <c r="N580" t="s">
        <v>511</v>
      </c>
      <c r="O580">
        <v>10035815</v>
      </c>
      <c r="P580" s="120">
        <v>43011</v>
      </c>
      <c r="Q580" s="120">
        <v>43013</v>
      </c>
      <c r="R580" s="120">
        <v>43061</v>
      </c>
      <c r="S580" t="s">
        <v>196</v>
      </c>
      <c r="T580">
        <v>3</v>
      </c>
      <c r="U580" t="s">
        <v>128</v>
      </c>
      <c r="V580">
        <v>3</v>
      </c>
      <c r="W580">
        <v>2</v>
      </c>
      <c r="X580">
        <v>3</v>
      </c>
      <c r="Y580">
        <v>3</v>
      </c>
      <c r="Z580" t="s">
        <v>2730</v>
      </c>
      <c r="AA580" t="s">
        <v>2730</v>
      </c>
      <c r="AB580" t="s">
        <v>2732</v>
      </c>
      <c r="AC580" t="s">
        <v>2730</v>
      </c>
      <c r="AD580" t="s">
        <v>2730</v>
      </c>
      <c r="AE580" t="s">
        <v>2730</v>
      </c>
      <c r="AF580" t="s">
        <v>2730</v>
      </c>
      <c r="AG580" t="s">
        <v>2730</v>
      </c>
      <c r="AH580" t="s">
        <v>2730</v>
      </c>
    </row>
    <row r="581" spans="1:34">
      <c r="A581" s="149" t="str">
        <f>HYPERLINK("http://www.ofsted.gov.uk/inspection-reports/find-inspection-report/provider/ELS/108109 ","Ofsted School Webpage")</f>
        <v>Ofsted School Webpage</v>
      </c>
      <c r="B581">
        <v>108109</v>
      </c>
      <c r="C581">
        <v>3836098</v>
      </c>
      <c r="D581" t="s">
        <v>737</v>
      </c>
      <c r="E581" t="s">
        <v>37</v>
      </c>
      <c r="F581" t="s">
        <v>184</v>
      </c>
      <c r="G581" t="s">
        <v>212</v>
      </c>
      <c r="H581" t="s">
        <v>2729</v>
      </c>
      <c r="I581" t="s">
        <v>2730</v>
      </c>
      <c r="J581" t="s">
        <v>186</v>
      </c>
      <c r="K581" t="s">
        <v>245</v>
      </c>
      <c r="L581" t="s">
        <v>246</v>
      </c>
      <c r="M581" t="s">
        <v>714</v>
      </c>
      <c r="N581" t="s">
        <v>738</v>
      </c>
      <c r="O581">
        <v>10020785</v>
      </c>
      <c r="P581" s="120">
        <v>42689</v>
      </c>
      <c r="Q581" s="120">
        <v>42691</v>
      </c>
      <c r="R581" s="120">
        <v>42761</v>
      </c>
      <c r="S581" t="s">
        <v>196</v>
      </c>
      <c r="T581">
        <v>2</v>
      </c>
      <c r="U581" t="s">
        <v>128</v>
      </c>
      <c r="V581">
        <v>2</v>
      </c>
      <c r="W581">
        <v>1</v>
      </c>
      <c r="X581">
        <v>2</v>
      </c>
      <c r="Y581">
        <v>2</v>
      </c>
      <c r="Z581">
        <v>2</v>
      </c>
      <c r="AA581" t="s">
        <v>2730</v>
      </c>
      <c r="AB581" t="s">
        <v>2732</v>
      </c>
      <c r="AC581" t="s">
        <v>2730</v>
      </c>
      <c r="AD581" t="s">
        <v>2730</v>
      </c>
      <c r="AE581" s="120" t="s">
        <v>2730</v>
      </c>
      <c r="AF581" t="s">
        <v>2730</v>
      </c>
      <c r="AG581" s="120" t="s">
        <v>2730</v>
      </c>
      <c r="AH581" t="s">
        <v>2730</v>
      </c>
    </row>
    <row r="582" spans="1:34">
      <c r="A582" s="149" t="str">
        <f>HYPERLINK("http://www.ofsted.gov.uk/inspection-reports/find-inspection-report/provider/ELS/134627 ","Ofsted School Webpage")</f>
        <v>Ofsted School Webpage</v>
      </c>
      <c r="B582">
        <v>134627</v>
      </c>
      <c r="C582">
        <v>3166066</v>
      </c>
      <c r="D582" t="s">
        <v>739</v>
      </c>
      <c r="E582" t="s">
        <v>37</v>
      </c>
      <c r="F582" t="s">
        <v>184</v>
      </c>
      <c r="G582" t="s">
        <v>223</v>
      </c>
      <c r="H582" t="s">
        <v>2729</v>
      </c>
      <c r="I582" t="s">
        <v>2730</v>
      </c>
      <c r="J582" t="s">
        <v>186</v>
      </c>
      <c r="K582" t="s">
        <v>232</v>
      </c>
      <c r="L582" t="s">
        <v>232</v>
      </c>
      <c r="M582" t="s">
        <v>505</v>
      </c>
      <c r="N582" t="s">
        <v>740</v>
      </c>
      <c r="O582" t="s">
        <v>741</v>
      </c>
      <c r="P582" s="120">
        <v>41667</v>
      </c>
      <c r="Q582" s="120">
        <v>41669</v>
      </c>
      <c r="R582" s="120">
        <v>41697</v>
      </c>
      <c r="S582" t="s">
        <v>196</v>
      </c>
      <c r="T582">
        <v>2</v>
      </c>
      <c r="U582" t="s">
        <v>2730</v>
      </c>
      <c r="V582">
        <v>2</v>
      </c>
      <c r="W582" t="s">
        <v>2730</v>
      </c>
      <c r="X582">
        <v>2</v>
      </c>
      <c r="Y582">
        <v>2</v>
      </c>
      <c r="Z582" t="s">
        <v>2730</v>
      </c>
      <c r="AA582" t="s">
        <v>2730</v>
      </c>
      <c r="AB582" t="s">
        <v>2730</v>
      </c>
      <c r="AC582" t="s">
        <v>2730</v>
      </c>
      <c r="AD582" t="s">
        <v>2730</v>
      </c>
      <c r="AE582" t="s">
        <v>2730</v>
      </c>
      <c r="AF582" t="s">
        <v>2730</v>
      </c>
      <c r="AG582" t="s">
        <v>2730</v>
      </c>
      <c r="AH582" t="s">
        <v>2730</v>
      </c>
    </row>
    <row r="583" spans="1:34">
      <c r="A583" s="149" t="str">
        <f>HYPERLINK("http://www.ofsted.gov.uk/inspection-reports/find-inspection-report/provider/ELS/130331 ","Ofsted School Webpage")</f>
        <v>Ofsted School Webpage</v>
      </c>
      <c r="B583">
        <v>130331</v>
      </c>
      <c r="C583">
        <v>8216001</v>
      </c>
      <c r="D583" t="s">
        <v>3069</v>
      </c>
      <c r="E583" t="s">
        <v>37</v>
      </c>
      <c r="F583" t="s">
        <v>184</v>
      </c>
      <c r="G583" t="s">
        <v>223</v>
      </c>
      <c r="H583" t="s">
        <v>2729</v>
      </c>
      <c r="I583" t="s">
        <v>2730</v>
      </c>
      <c r="J583" t="s">
        <v>186</v>
      </c>
      <c r="K583" t="s">
        <v>220</v>
      </c>
      <c r="L583" t="s">
        <v>220</v>
      </c>
      <c r="M583" t="s">
        <v>221</v>
      </c>
      <c r="N583" t="s">
        <v>742</v>
      </c>
      <c r="O583">
        <v>10018158</v>
      </c>
      <c r="P583" s="120">
        <v>42472</v>
      </c>
      <c r="Q583" s="120">
        <v>42474</v>
      </c>
      <c r="R583" s="120">
        <v>42501</v>
      </c>
      <c r="S583" t="s">
        <v>196</v>
      </c>
      <c r="T583">
        <v>4</v>
      </c>
      <c r="U583" t="s">
        <v>128</v>
      </c>
      <c r="V583">
        <v>4</v>
      </c>
      <c r="W583">
        <v>2</v>
      </c>
      <c r="X583">
        <v>3</v>
      </c>
      <c r="Y583">
        <v>3</v>
      </c>
      <c r="Z583" t="s">
        <v>2730</v>
      </c>
      <c r="AA583" t="s">
        <v>2730</v>
      </c>
      <c r="AB583" t="s">
        <v>2733</v>
      </c>
      <c r="AC583">
        <v>10033775</v>
      </c>
      <c r="AD583" t="s">
        <v>187</v>
      </c>
      <c r="AE583" s="120">
        <v>42852</v>
      </c>
      <c r="AF583" t="s">
        <v>2769</v>
      </c>
      <c r="AG583" s="120">
        <v>42891</v>
      </c>
      <c r="AH583" t="s">
        <v>217</v>
      </c>
    </row>
    <row r="584" spans="1:34">
      <c r="A584" s="149" t="str">
        <f>HYPERLINK("http://www.ofsted.gov.uk/inspection-reports/find-inspection-report/provider/ELS/109355 ","Ofsted School Webpage")</f>
        <v>Ofsted School Webpage</v>
      </c>
      <c r="B584">
        <v>109355</v>
      </c>
      <c r="C584">
        <v>8036002</v>
      </c>
      <c r="D584" t="s">
        <v>2213</v>
      </c>
      <c r="E584" t="s">
        <v>37</v>
      </c>
      <c r="F584" t="s">
        <v>184</v>
      </c>
      <c r="G584" t="s">
        <v>441</v>
      </c>
      <c r="H584" t="s">
        <v>2729</v>
      </c>
      <c r="I584" t="s">
        <v>2730</v>
      </c>
      <c r="J584" t="s">
        <v>186</v>
      </c>
      <c r="K584" t="s">
        <v>225</v>
      </c>
      <c r="L584" t="s">
        <v>225</v>
      </c>
      <c r="M584" t="s">
        <v>614</v>
      </c>
      <c r="N584" t="s">
        <v>2214</v>
      </c>
      <c r="O584">
        <v>10020727</v>
      </c>
      <c r="P584" s="120">
        <v>42697</v>
      </c>
      <c r="Q584" s="120">
        <v>42699</v>
      </c>
      <c r="R584" s="120">
        <v>42745</v>
      </c>
      <c r="S584" t="s">
        <v>196</v>
      </c>
      <c r="T584">
        <v>1</v>
      </c>
      <c r="U584" t="s">
        <v>128</v>
      </c>
      <c r="V584">
        <v>1</v>
      </c>
      <c r="W584">
        <v>1</v>
      </c>
      <c r="X584">
        <v>1</v>
      </c>
      <c r="Y584">
        <v>1</v>
      </c>
      <c r="Z584">
        <v>1</v>
      </c>
      <c r="AA584" t="s">
        <v>2730</v>
      </c>
      <c r="AB584" t="s">
        <v>2732</v>
      </c>
      <c r="AC584" t="s">
        <v>2730</v>
      </c>
      <c r="AD584" t="s">
        <v>2730</v>
      </c>
      <c r="AE584" t="s">
        <v>2730</v>
      </c>
      <c r="AF584" t="s">
        <v>2730</v>
      </c>
      <c r="AG584" t="s">
        <v>2730</v>
      </c>
      <c r="AH584" t="s">
        <v>2730</v>
      </c>
    </row>
    <row r="585" spans="1:34">
      <c r="A585" s="149" t="str">
        <f>HYPERLINK("http://www.ofsted.gov.uk/inspection-reports/find-inspection-report/provider/ELS/135594 ","Ofsted School Webpage")</f>
        <v>Ofsted School Webpage</v>
      </c>
      <c r="B585">
        <v>135594</v>
      </c>
      <c r="C585">
        <v>8816058</v>
      </c>
      <c r="D585" t="s">
        <v>2550</v>
      </c>
      <c r="E585" t="s">
        <v>37</v>
      </c>
      <c r="F585" t="s">
        <v>184</v>
      </c>
      <c r="G585" t="s">
        <v>184</v>
      </c>
      <c r="H585" t="s">
        <v>2729</v>
      </c>
      <c r="I585" t="s">
        <v>2730</v>
      </c>
      <c r="J585" t="s">
        <v>186</v>
      </c>
      <c r="K585" t="s">
        <v>220</v>
      </c>
      <c r="L585" t="s">
        <v>220</v>
      </c>
      <c r="M585" t="s">
        <v>323</v>
      </c>
      <c r="N585" t="s">
        <v>2551</v>
      </c>
      <c r="O585">
        <v>10026068</v>
      </c>
      <c r="P585" s="120">
        <v>42753</v>
      </c>
      <c r="Q585" s="120">
        <v>42755</v>
      </c>
      <c r="R585" s="120">
        <v>42794</v>
      </c>
      <c r="S585" t="s">
        <v>196</v>
      </c>
      <c r="T585">
        <v>2</v>
      </c>
      <c r="U585" t="s">
        <v>128</v>
      </c>
      <c r="V585">
        <v>2</v>
      </c>
      <c r="W585">
        <v>1</v>
      </c>
      <c r="X585">
        <v>2</v>
      </c>
      <c r="Y585">
        <v>2</v>
      </c>
      <c r="Z585">
        <v>2</v>
      </c>
      <c r="AA585" t="s">
        <v>2730</v>
      </c>
      <c r="AB585" t="s">
        <v>2732</v>
      </c>
      <c r="AC585" t="s">
        <v>2730</v>
      </c>
      <c r="AD585" t="s">
        <v>2730</v>
      </c>
      <c r="AE585" t="s">
        <v>2730</v>
      </c>
      <c r="AF585" t="s">
        <v>2730</v>
      </c>
      <c r="AG585" t="s">
        <v>2730</v>
      </c>
      <c r="AH585" t="s">
        <v>2730</v>
      </c>
    </row>
    <row r="586" spans="1:34">
      <c r="A586" s="149" t="str">
        <f>HYPERLINK("http://www.ofsted.gov.uk/inspection-reports/find-inspection-report/provider/ELS/139831 ","Ofsted School Webpage")</f>
        <v>Ofsted School Webpage</v>
      </c>
      <c r="B586">
        <v>139831</v>
      </c>
      <c r="C586">
        <v>3526008</v>
      </c>
      <c r="D586" t="s">
        <v>2552</v>
      </c>
      <c r="E586" t="s">
        <v>37</v>
      </c>
      <c r="F586" t="s">
        <v>184</v>
      </c>
      <c r="G586" t="s">
        <v>212</v>
      </c>
      <c r="H586" t="s">
        <v>2729</v>
      </c>
      <c r="I586" t="s">
        <v>2730</v>
      </c>
      <c r="J586" t="s">
        <v>186</v>
      </c>
      <c r="K586" t="s">
        <v>205</v>
      </c>
      <c r="L586" t="s">
        <v>205</v>
      </c>
      <c r="M586" t="s">
        <v>306</v>
      </c>
      <c r="N586" t="s">
        <v>2553</v>
      </c>
      <c r="O586" t="s">
        <v>2554</v>
      </c>
      <c r="P586" s="120">
        <v>41933</v>
      </c>
      <c r="Q586" s="120">
        <v>41935</v>
      </c>
      <c r="R586" s="120">
        <v>42031</v>
      </c>
      <c r="S586" t="s">
        <v>249</v>
      </c>
      <c r="T586">
        <v>3</v>
      </c>
      <c r="U586" t="s">
        <v>2730</v>
      </c>
      <c r="V586">
        <v>3</v>
      </c>
      <c r="W586" t="s">
        <v>2730</v>
      </c>
      <c r="X586">
        <v>2</v>
      </c>
      <c r="Y586">
        <v>2</v>
      </c>
      <c r="Z586">
        <v>2</v>
      </c>
      <c r="AA586">
        <v>3</v>
      </c>
      <c r="AB586" t="s">
        <v>2730</v>
      </c>
      <c r="AC586" t="s">
        <v>2730</v>
      </c>
      <c r="AD586" t="s">
        <v>2730</v>
      </c>
      <c r="AE586" t="s">
        <v>2730</v>
      </c>
      <c r="AF586" t="s">
        <v>2730</v>
      </c>
      <c r="AG586" t="s">
        <v>2730</v>
      </c>
      <c r="AH586" t="s">
        <v>2730</v>
      </c>
    </row>
    <row r="587" spans="1:34">
      <c r="A587" s="149" t="str">
        <f>HYPERLINK("http://www.ofsted.gov.uk/inspection-reports/find-inspection-report/provider/ELS/135065 ","Ofsted School Webpage")</f>
        <v>Ofsted School Webpage</v>
      </c>
      <c r="B587">
        <v>135065</v>
      </c>
      <c r="C587">
        <v>8136003</v>
      </c>
      <c r="D587" t="s">
        <v>2555</v>
      </c>
      <c r="E587" t="s">
        <v>37</v>
      </c>
      <c r="F587" t="s">
        <v>184</v>
      </c>
      <c r="G587" t="s">
        <v>184</v>
      </c>
      <c r="H587" t="s">
        <v>2729</v>
      </c>
      <c r="I587" t="s">
        <v>2730</v>
      </c>
      <c r="J587" t="s">
        <v>186</v>
      </c>
      <c r="K587" t="s">
        <v>245</v>
      </c>
      <c r="L587" t="s">
        <v>246</v>
      </c>
      <c r="M587" t="s">
        <v>1018</v>
      </c>
      <c r="N587" t="s">
        <v>2556</v>
      </c>
      <c r="O587" t="s">
        <v>2557</v>
      </c>
      <c r="P587" s="120">
        <v>42143</v>
      </c>
      <c r="Q587" s="120">
        <v>42145</v>
      </c>
      <c r="R587" s="120">
        <v>42181</v>
      </c>
      <c r="S587" t="s">
        <v>196</v>
      </c>
      <c r="T587">
        <v>2</v>
      </c>
      <c r="U587" t="s">
        <v>2730</v>
      </c>
      <c r="V587">
        <v>2</v>
      </c>
      <c r="W587" t="s">
        <v>2730</v>
      </c>
      <c r="X587">
        <v>2</v>
      </c>
      <c r="Y587">
        <v>2</v>
      </c>
      <c r="Z587">
        <v>9</v>
      </c>
      <c r="AA587">
        <v>9</v>
      </c>
      <c r="AB587" t="s">
        <v>2730</v>
      </c>
      <c r="AC587" t="s">
        <v>2730</v>
      </c>
      <c r="AD587" t="s">
        <v>2730</v>
      </c>
      <c r="AE587" t="s">
        <v>2730</v>
      </c>
      <c r="AF587" t="s">
        <v>2730</v>
      </c>
      <c r="AG587" t="s">
        <v>2730</v>
      </c>
      <c r="AH587" t="s">
        <v>2730</v>
      </c>
    </row>
    <row r="588" spans="1:34">
      <c r="A588" s="149" t="str">
        <f>HYPERLINK("http://www.ofsted.gov.uk/inspection-reports/find-inspection-report/provider/ELS/116594 ","Ofsted School Webpage")</f>
        <v>Ofsted School Webpage</v>
      </c>
      <c r="B588">
        <v>116594</v>
      </c>
      <c r="C588">
        <v>8506062</v>
      </c>
      <c r="D588" t="s">
        <v>417</v>
      </c>
      <c r="E588" t="s">
        <v>37</v>
      </c>
      <c r="F588" t="s">
        <v>413</v>
      </c>
      <c r="G588" t="s">
        <v>413</v>
      </c>
      <c r="H588" t="s">
        <v>2729</v>
      </c>
      <c r="I588" t="s">
        <v>2730</v>
      </c>
      <c r="J588" t="s">
        <v>186</v>
      </c>
      <c r="K588" t="s">
        <v>181</v>
      </c>
      <c r="L588" t="s">
        <v>181</v>
      </c>
      <c r="M588" t="s">
        <v>201</v>
      </c>
      <c r="N588" t="s">
        <v>418</v>
      </c>
      <c r="O588">
        <v>10006334</v>
      </c>
      <c r="P588" s="120">
        <v>43018</v>
      </c>
      <c r="Q588" s="120">
        <v>43020</v>
      </c>
      <c r="R588" s="120">
        <v>43060</v>
      </c>
      <c r="S588" t="s">
        <v>267</v>
      </c>
      <c r="T588">
        <v>4</v>
      </c>
      <c r="U588" t="s">
        <v>129</v>
      </c>
      <c r="V588">
        <v>4</v>
      </c>
      <c r="W588">
        <v>4</v>
      </c>
      <c r="X588">
        <v>2</v>
      </c>
      <c r="Y588">
        <v>2</v>
      </c>
      <c r="Z588" t="s">
        <v>2730</v>
      </c>
      <c r="AA588">
        <v>4</v>
      </c>
      <c r="AB588" t="s">
        <v>2733</v>
      </c>
      <c r="AC588" t="s">
        <v>2730</v>
      </c>
      <c r="AD588" t="s">
        <v>2730</v>
      </c>
      <c r="AE588" t="s">
        <v>2730</v>
      </c>
      <c r="AF588" t="s">
        <v>2730</v>
      </c>
      <c r="AG588" t="s">
        <v>2730</v>
      </c>
      <c r="AH588" t="s">
        <v>2730</v>
      </c>
    </row>
    <row r="589" spans="1:34">
      <c r="A589" s="149" t="str">
        <f>HYPERLINK("http://www.ofsted.gov.uk/inspection-reports/find-inspection-report/provider/ELS/100516 ","Ofsted School Webpage")</f>
        <v>Ofsted School Webpage</v>
      </c>
      <c r="B589">
        <v>100516</v>
      </c>
      <c r="C589">
        <v>2076104</v>
      </c>
      <c r="D589" t="s">
        <v>2428</v>
      </c>
      <c r="E589" t="s">
        <v>37</v>
      </c>
      <c r="F589" t="s">
        <v>413</v>
      </c>
      <c r="G589" t="s">
        <v>413</v>
      </c>
      <c r="H589" t="s">
        <v>2729</v>
      </c>
      <c r="I589" t="s">
        <v>2730</v>
      </c>
      <c r="J589" t="s">
        <v>186</v>
      </c>
      <c r="K589" t="s">
        <v>232</v>
      </c>
      <c r="L589" t="s">
        <v>232</v>
      </c>
      <c r="M589" t="s">
        <v>294</v>
      </c>
      <c r="N589" t="s">
        <v>2429</v>
      </c>
      <c r="O589" t="s">
        <v>2430</v>
      </c>
      <c r="P589" s="120">
        <v>41408</v>
      </c>
      <c r="Q589" s="120">
        <v>41410</v>
      </c>
      <c r="R589" s="120">
        <v>41457</v>
      </c>
      <c r="S589" t="s">
        <v>196</v>
      </c>
      <c r="T589">
        <v>2</v>
      </c>
      <c r="U589" t="s">
        <v>2730</v>
      </c>
      <c r="V589">
        <v>2</v>
      </c>
      <c r="W589" t="s">
        <v>2730</v>
      </c>
      <c r="X589">
        <v>1</v>
      </c>
      <c r="Y589">
        <v>1</v>
      </c>
      <c r="Z589" t="s">
        <v>2730</v>
      </c>
      <c r="AA589" t="s">
        <v>2730</v>
      </c>
      <c r="AB589" t="s">
        <v>2730</v>
      </c>
      <c r="AC589" t="s">
        <v>2730</v>
      </c>
      <c r="AD589" t="s">
        <v>2730</v>
      </c>
      <c r="AE589" t="s">
        <v>2730</v>
      </c>
      <c r="AF589" t="s">
        <v>2730</v>
      </c>
      <c r="AG589" t="s">
        <v>2730</v>
      </c>
      <c r="AH589" t="s">
        <v>2730</v>
      </c>
    </row>
    <row r="590" spans="1:34">
      <c r="A590" s="149" t="str">
        <f>HYPERLINK("http://www.ofsted.gov.uk/inspection-reports/find-inspection-report/provider/ELS/113944 ","Ofsted School Webpage")</f>
        <v>Ofsted School Webpage</v>
      </c>
      <c r="B590">
        <v>113944</v>
      </c>
      <c r="C590">
        <v>8376004</v>
      </c>
      <c r="D590" t="s">
        <v>411</v>
      </c>
      <c r="E590" t="s">
        <v>37</v>
      </c>
      <c r="F590" t="s">
        <v>413</v>
      </c>
      <c r="G590" t="s">
        <v>413</v>
      </c>
      <c r="H590" t="s">
        <v>2729</v>
      </c>
      <c r="I590" t="s">
        <v>2730</v>
      </c>
      <c r="J590" t="s">
        <v>186</v>
      </c>
      <c r="K590" t="s">
        <v>225</v>
      </c>
      <c r="L590" t="s">
        <v>225</v>
      </c>
      <c r="M590" t="s">
        <v>290</v>
      </c>
      <c r="N590" t="s">
        <v>412</v>
      </c>
      <c r="O590">
        <v>10033884</v>
      </c>
      <c r="P590" s="120">
        <v>42997</v>
      </c>
      <c r="Q590" s="120">
        <v>42999</v>
      </c>
      <c r="R590" s="120">
        <v>43021</v>
      </c>
      <c r="S590" t="s">
        <v>196</v>
      </c>
      <c r="T590">
        <v>2</v>
      </c>
      <c r="U590" t="s">
        <v>128</v>
      </c>
      <c r="V590">
        <v>2</v>
      </c>
      <c r="W590">
        <v>2</v>
      </c>
      <c r="X590">
        <v>2</v>
      </c>
      <c r="Y590">
        <v>2</v>
      </c>
      <c r="Z590">
        <v>2</v>
      </c>
      <c r="AA590" t="s">
        <v>2730</v>
      </c>
      <c r="AB590" t="s">
        <v>2732</v>
      </c>
      <c r="AC590" t="s">
        <v>2730</v>
      </c>
      <c r="AD590" t="s">
        <v>2730</v>
      </c>
      <c r="AE590" t="s">
        <v>2730</v>
      </c>
      <c r="AF590" t="s">
        <v>2730</v>
      </c>
      <c r="AG590" t="s">
        <v>2730</v>
      </c>
      <c r="AH590" t="s">
        <v>2730</v>
      </c>
    </row>
    <row r="591" spans="1:34">
      <c r="A591" s="149" t="str">
        <f>HYPERLINK("http://www.ofsted.gov.uk/inspection-reports/find-inspection-report/provider/ELS/113567 ","Ofsted School Webpage")</f>
        <v>Ofsted School Webpage</v>
      </c>
      <c r="B591">
        <v>113567</v>
      </c>
      <c r="C591">
        <v>8786004</v>
      </c>
      <c r="D591" t="s">
        <v>366</v>
      </c>
      <c r="E591" t="s">
        <v>37</v>
      </c>
      <c r="F591" t="s">
        <v>184</v>
      </c>
      <c r="G591" t="s">
        <v>292</v>
      </c>
      <c r="H591" t="s">
        <v>2729</v>
      </c>
      <c r="I591" t="s">
        <v>2730</v>
      </c>
      <c r="J591" t="s">
        <v>186</v>
      </c>
      <c r="K591" t="s">
        <v>225</v>
      </c>
      <c r="L591" t="s">
        <v>225</v>
      </c>
      <c r="M591" t="s">
        <v>367</v>
      </c>
      <c r="N591" t="s">
        <v>368</v>
      </c>
      <c r="O591">
        <v>10033881</v>
      </c>
      <c r="P591" s="120">
        <v>43025</v>
      </c>
      <c r="Q591" s="120">
        <v>43027</v>
      </c>
      <c r="R591" s="120">
        <v>43059</v>
      </c>
      <c r="S591" t="s">
        <v>196</v>
      </c>
      <c r="T591">
        <v>2</v>
      </c>
      <c r="U591" t="s">
        <v>128</v>
      </c>
      <c r="V591">
        <v>2</v>
      </c>
      <c r="W591">
        <v>2</v>
      </c>
      <c r="X591">
        <v>2</v>
      </c>
      <c r="Y591">
        <v>2</v>
      </c>
      <c r="Z591">
        <v>2</v>
      </c>
      <c r="AA591" t="s">
        <v>2730</v>
      </c>
      <c r="AB591" t="s">
        <v>2732</v>
      </c>
      <c r="AC591" t="s">
        <v>2730</v>
      </c>
      <c r="AD591" t="s">
        <v>2730</v>
      </c>
      <c r="AE591" t="s">
        <v>2730</v>
      </c>
      <c r="AF591" t="s">
        <v>2730</v>
      </c>
      <c r="AG591" t="s">
        <v>2730</v>
      </c>
      <c r="AH591" t="s">
        <v>2730</v>
      </c>
    </row>
    <row r="592" spans="1:34">
      <c r="A592" s="149" t="str">
        <f>HYPERLINK("http://www.ofsted.gov.uk/inspection-reports/find-inspection-report/provider/ELS/100300 ","Ofsted School Webpage")</f>
        <v>Ofsted School Webpage</v>
      </c>
      <c r="B592">
        <v>100300</v>
      </c>
      <c r="C592">
        <v>2046388</v>
      </c>
      <c r="D592" t="s">
        <v>2431</v>
      </c>
      <c r="E592" t="s">
        <v>37</v>
      </c>
      <c r="F592" t="s">
        <v>184</v>
      </c>
      <c r="G592" t="s">
        <v>223</v>
      </c>
      <c r="H592" t="s">
        <v>2729</v>
      </c>
      <c r="I592" t="s">
        <v>2730</v>
      </c>
      <c r="J592" t="s">
        <v>186</v>
      </c>
      <c r="K592" t="s">
        <v>232</v>
      </c>
      <c r="L592" t="s">
        <v>232</v>
      </c>
      <c r="M592" t="s">
        <v>479</v>
      </c>
      <c r="N592" t="s">
        <v>2432</v>
      </c>
      <c r="O592">
        <v>10017856</v>
      </c>
      <c r="P592" s="120">
        <v>42634</v>
      </c>
      <c r="Q592" s="120">
        <v>42636</v>
      </c>
      <c r="R592" s="120">
        <v>42716</v>
      </c>
      <c r="S592" t="s">
        <v>196</v>
      </c>
      <c r="T592">
        <v>4</v>
      </c>
      <c r="U592" t="s">
        <v>129</v>
      </c>
      <c r="V592">
        <v>4</v>
      </c>
      <c r="W592">
        <v>4</v>
      </c>
      <c r="X592">
        <v>3</v>
      </c>
      <c r="Y592">
        <v>3</v>
      </c>
      <c r="Z592" t="s">
        <v>2730</v>
      </c>
      <c r="AA592">
        <v>4</v>
      </c>
      <c r="AB592" t="s">
        <v>2733</v>
      </c>
      <c r="AC592">
        <v>10035530</v>
      </c>
      <c r="AD592" t="s">
        <v>187</v>
      </c>
      <c r="AE592" s="120">
        <v>42907</v>
      </c>
      <c r="AF592" t="s">
        <v>2769</v>
      </c>
      <c r="AG592" s="120">
        <v>42990</v>
      </c>
      <c r="AH592" t="s">
        <v>217</v>
      </c>
    </row>
    <row r="593" spans="1:34">
      <c r="A593" s="149" t="str">
        <f>HYPERLINK("http://www.ofsted.gov.uk/inspection-reports/find-inspection-report/provider/ELS/131291 ","Ofsted School Webpage")</f>
        <v>Ofsted School Webpage</v>
      </c>
      <c r="B593">
        <v>131291</v>
      </c>
      <c r="C593">
        <v>2026396</v>
      </c>
      <c r="D593" t="s">
        <v>2433</v>
      </c>
      <c r="E593" t="s">
        <v>37</v>
      </c>
      <c r="F593" t="s">
        <v>184</v>
      </c>
      <c r="G593" t="s">
        <v>184</v>
      </c>
      <c r="H593" t="s">
        <v>2729</v>
      </c>
      <c r="I593" t="s">
        <v>2730</v>
      </c>
      <c r="J593" t="s">
        <v>186</v>
      </c>
      <c r="K593" t="s">
        <v>232</v>
      </c>
      <c r="L593" t="s">
        <v>232</v>
      </c>
      <c r="M593" t="s">
        <v>536</v>
      </c>
      <c r="N593" t="s">
        <v>2434</v>
      </c>
      <c r="O593">
        <v>10008533</v>
      </c>
      <c r="P593" s="120">
        <v>42752</v>
      </c>
      <c r="Q593" s="120">
        <v>42754</v>
      </c>
      <c r="R593" s="120">
        <v>42823</v>
      </c>
      <c r="S593" t="s">
        <v>196</v>
      </c>
      <c r="T593">
        <v>1</v>
      </c>
      <c r="U593" t="s">
        <v>128</v>
      </c>
      <c r="V593">
        <v>1</v>
      </c>
      <c r="W593">
        <v>1</v>
      </c>
      <c r="X593">
        <v>1</v>
      </c>
      <c r="Y593">
        <v>1</v>
      </c>
      <c r="Z593" t="s">
        <v>2730</v>
      </c>
      <c r="AA593" t="s">
        <v>2730</v>
      </c>
      <c r="AB593" t="s">
        <v>2732</v>
      </c>
      <c r="AC593" t="s">
        <v>2730</v>
      </c>
      <c r="AD593" t="s">
        <v>2730</v>
      </c>
      <c r="AE593" s="120" t="s">
        <v>2730</v>
      </c>
      <c r="AF593" t="s">
        <v>2730</v>
      </c>
      <c r="AG593" s="120" t="s">
        <v>2730</v>
      </c>
      <c r="AH593" t="s">
        <v>2730</v>
      </c>
    </row>
    <row r="594" spans="1:34">
      <c r="A594" s="149" t="str">
        <f>HYPERLINK("http://www.ofsted.gov.uk/inspection-reports/find-inspection-report/provider/ELS/115808 ","Ofsted School Webpage")</f>
        <v>Ofsted School Webpage</v>
      </c>
      <c r="B594">
        <v>115808</v>
      </c>
      <c r="C594">
        <v>9166068</v>
      </c>
      <c r="D594" t="s">
        <v>2435</v>
      </c>
      <c r="E594" t="s">
        <v>37</v>
      </c>
      <c r="F594" t="s">
        <v>184</v>
      </c>
      <c r="G594" t="s">
        <v>212</v>
      </c>
      <c r="H594" t="s">
        <v>2729</v>
      </c>
      <c r="I594" t="s">
        <v>2730</v>
      </c>
      <c r="J594" t="s">
        <v>186</v>
      </c>
      <c r="K594" t="s">
        <v>225</v>
      </c>
      <c r="L594" t="s">
        <v>225</v>
      </c>
      <c r="M594" t="s">
        <v>265</v>
      </c>
      <c r="N594" t="s">
        <v>2436</v>
      </c>
      <c r="O594">
        <v>10012958</v>
      </c>
      <c r="P594" s="120">
        <v>42542</v>
      </c>
      <c r="Q594" s="120">
        <v>42544</v>
      </c>
      <c r="R594" s="120">
        <v>42632</v>
      </c>
      <c r="S594" t="s">
        <v>196</v>
      </c>
      <c r="T594">
        <v>2</v>
      </c>
      <c r="U594" t="s">
        <v>128</v>
      </c>
      <c r="V594">
        <v>2</v>
      </c>
      <c r="W594">
        <v>2</v>
      </c>
      <c r="X594">
        <v>2</v>
      </c>
      <c r="Y594">
        <v>2</v>
      </c>
      <c r="Z594" t="s">
        <v>2730</v>
      </c>
      <c r="AA594">
        <v>2</v>
      </c>
      <c r="AB594" t="s">
        <v>2732</v>
      </c>
      <c r="AC594" t="s">
        <v>2730</v>
      </c>
      <c r="AD594" t="s">
        <v>2730</v>
      </c>
      <c r="AE594" t="s">
        <v>2730</v>
      </c>
      <c r="AF594" t="s">
        <v>2730</v>
      </c>
      <c r="AG594" t="s">
        <v>2730</v>
      </c>
      <c r="AH594" t="s">
        <v>2730</v>
      </c>
    </row>
    <row r="595" spans="1:34">
      <c r="A595" s="149" t="str">
        <f>HYPERLINK("http://www.ofsted.gov.uk/inspection-reports/find-inspection-report/provider/ELS/101168 ","Ofsted School Webpage")</f>
        <v>Ofsted School Webpage</v>
      </c>
      <c r="B595">
        <v>101168</v>
      </c>
      <c r="C595">
        <v>2136215</v>
      </c>
      <c r="D595" t="s">
        <v>2437</v>
      </c>
      <c r="E595" t="s">
        <v>37</v>
      </c>
      <c r="F595" t="s">
        <v>184</v>
      </c>
      <c r="G595" t="s">
        <v>184</v>
      </c>
      <c r="H595" t="s">
        <v>2729</v>
      </c>
      <c r="I595" t="s">
        <v>2730</v>
      </c>
      <c r="J595" t="s">
        <v>186</v>
      </c>
      <c r="K595" t="s">
        <v>232</v>
      </c>
      <c r="L595" t="s">
        <v>232</v>
      </c>
      <c r="M595" t="s">
        <v>679</v>
      </c>
      <c r="N595" t="s">
        <v>2438</v>
      </c>
      <c r="O595" t="s">
        <v>2439</v>
      </c>
      <c r="P595" s="120">
        <v>41324</v>
      </c>
      <c r="Q595" s="120">
        <v>41326</v>
      </c>
      <c r="R595" s="120">
        <v>41346</v>
      </c>
      <c r="S595" t="s">
        <v>196</v>
      </c>
      <c r="T595">
        <v>1</v>
      </c>
      <c r="U595" t="s">
        <v>2730</v>
      </c>
      <c r="V595">
        <v>1</v>
      </c>
      <c r="W595" t="s">
        <v>2730</v>
      </c>
      <c r="X595">
        <v>1</v>
      </c>
      <c r="Y595">
        <v>1</v>
      </c>
      <c r="Z595" t="s">
        <v>2730</v>
      </c>
      <c r="AA595" t="s">
        <v>2730</v>
      </c>
      <c r="AB595" t="s">
        <v>2730</v>
      </c>
      <c r="AC595" t="s">
        <v>2730</v>
      </c>
      <c r="AD595" t="s">
        <v>2730</v>
      </c>
      <c r="AE595" s="120" t="s">
        <v>2730</v>
      </c>
      <c r="AF595" t="s">
        <v>2730</v>
      </c>
      <c r="AG595" s="120" t="s">
        <v>2730</v>
      </c>
      <c r="AH595" t="s">
        <v>2730</v>
      </c>
    </row>
    <row r="596" spans="1:34">
      <c r="A596" s="149" t="str">
        <f>HYPERLINK("http://www.ofsted.gov.uk/inspection-reports/find-inspection-report/provider/ELS/138768 ","Ofsted School Webpage")</f>
        <v>Ofsted School Webpage</v>
      </c>
      <c r="B596">
        <v>138768</v>
      </c>
      <c r="C596">
        <v>8686019</v>
      </c>
      <c r="D596" t="s">
        <v>3070</v>
      </c>
      <c r="E596" t="s">
        <v>37</v>
      </c>
      <c r="F596" t="s">
        <v>212</v>
      </c>
      <c r="G596" t="s">
        <v>212</v>
      </c>
      <c r="H596" t="s">
        <v>2729</v>
      </c>
      <c r="I596" t="s">
        <v>2730</v>
      </c>
      <c r="J596" t="s">
        <v>186</v>
      </c>
      <c r="K596" t="s">
        <v>181</v>
      </c>
      <c r="L596" t="s">
        <v>181</v>
      </c>
      <c r="M596" t="s">
        <v>1515</v>
      </c>
      <c r="N596" t="s">
        <v>3071</v>
      </c>
      <c r="O596">
        <v>10020895</v>
      </c>
      <c r="P596" s="120">
        <v>42661</v>
      </c>
      <c r="Q596" s="120">
        <v>42663</v>
      </c>
      <c r="R596" s="120">
        <v>42697</v>
      </c>
      <c r="S596" t="s">
        <v>196</v>
      </c>
      <c r="T596">
        <v>4</v>
      </c>
      <c r="U596" t="s">
        <v>129</v>
      </c>
      <c r="V596">
        <v>4</v>
      </c>
      <c r="W596">
        <v>4</v>
      </c>
      <c r="X596">
        <v>4</v>
      </c>
      <c r="Y596">
        <v>4</v>
      </c>
      <c r="Z596">
        <v>4</v>
      </c>
      <c r="AA596" t="s">
        <v>2730</v>
      </c>
      <c r="AB596" t="s">
        <v>2733</v>
      </c>
      <c r="AC596">
        <v>10035503</v>
      </c>
      <c r="AD596" t="s">
        <v>187</v>
      </c>
      <c r="AE596" s="120">
        <v>42894</v>
      </c>
      <c r="AF596" t="s">
        <v>2769</v>
      </c>
      <c r="AG596" s="120">
        <v>42921</v>
      </c>
      <c r="AH596" t="s">
        <v>189</v>
      </c>
    </row>
    <row r="597" spans="1:34">
      <c r="A597" s="149" t="str">
        <f>HYPERLINK("http://www.ofsted.gov.uk/inspection-reports/find-inspection-report/provider/ELS/116585 ","Ofsted School Webpage")</f>
        <v>Ofsted School Webpage</v>
      </c>
      <c r="B597">
        <v>116585</v>
      </c>
      <c r="C597">
        <v>8506003</v>
      </c>
      <c r="D597" t="s">
        <v>2161</v>
      </c>
      <c r="E597" t="s">
        <v>37</v>
      </c>
      <c r="F597" t="s">
        <v>212</v>
      </c>
      <c r="G597" t="s">
        <v>212</v>
      </c>
      <c r="H597" t="s">
        <v>2729</v>
      </c>
      <c r="I597" t="s">
        <v>2730</v>
      </c>
      <c r="J597" t="s">
        <v>186</v>
      </c>
      <c r="K597" t="s">
        <v>181</v>
      </c>
      <c r="L597" t="s">
        <v>181</v>
      </c>
      <c r="M597" t="s">
        <v>201</v>
      </c>
      <c r="N597" t="s">
        <v>2162</v>
      </c>
      <c r="O597">
        <v>10007692</v>
      </c>
      <c r="P597" s="120">
        <v>42283</v>
      </c>
      <c r="Q597" s="120">
        <v>42285</v>
      </c>
      <c r="R597" s="120">
        <v>42318</v>
      </c>
      <c r="S597" t="s">
        <v>196</v>
      </c>
      <c r="T597">
        <v>3</v>
      </c>
      <c r="U597" t="s">
        <v>128</v>
      </c>
      <c r="V597">
        <v>3</v>
      </c>
      <c r="W597">
        <v>3</v>
      </c>
      <c r="X597">
        <v>3</v>
      </c>
      <c r="Y597">
        <v>3</v>
      </c>
      <c r="Z597">
        <v>3</v>
      </c>
      <c r="AA597" t="s">
        <v>2730</v>
      </c>
      <c r="AB597" t="s">
        <v>2732</v>
      </c>
      <c r="AC597" t="s">
        <v>2730</v>
      </c>
      <c r="AD597" t="s">
        <v>2730</v>
      </c>
      <c r="AE597" t="s">
        <v>2730</v>
      </c>
      <c r="AF597" t="s">
        <v>2730</v>
      </c>
      <c r="AG597" t="s">
        <v>2730</v>
      </c>
      <c r="AH597" t="s">
        <v>2730</v>
      </c>
    </row>
    <row r="598" spans="1:34">
      <c r="A598" s="149" t="str">
        <f>HYPERLINK("http://www.ofsted.gov.uk/inspection-reports/find-inspection-report/provider/ELS/117650 ","Ofsted School Webpage")</f>
        <v>Ofsted School Webpage</v>
      </c>
      <c r="B598">
        <v>117650</v>
      </c>
      <c r="C598">
        <v>9196224</v>
      </c>
      <c r="D598" t="s">
        <v>2161</v>
      </c>
      <c r="E598" t="s">
        <v>37</v>
      </c>
      <c r="F598" t="s">
        <v>212</v>
      </c>
      <c r="G598" t="s">
        <v>212</v>
      </c>
      <c r="H598" t="s">
        <v>2729</v>
      </c>
      <c r="I598" t="s">
        <v>2730</v>
      </c>
      <c r="J598" t="s">
        <v>186</v>
      </c>
      <c r="K598" t="s">
        <v>220</v>
      </c>
      <c r="L598" t="s">
        <v>220</v>
      </c>
      <c r="M598" t="s">
        <v>822</v>
      </c>
      <c r="N598" t="s">
        <v>2163</v>
      </c>
      <c r="O598">
        <v>10020942</v>
      </c>
      <c r="P598" s="120">
        <v>42710</v>
      </c>
      <c r="Q598" s="120">
        <v>42712</v>
      </c>
      <c r="R598" s="120">
        <v>42760</v>
      </c>
      <c r="S598" t="s">
        <v>196</v>
      </c>
      <c r="T598">
        <v>2</v>
      </c>
      <c r="U598" t="s">
        <v>128</v>
      </c>
      <c r="V598">
        <v>2</v>
      </c>
      <c r="W598">
        <v>1</v>
      </c>
      <c r="X598">
        <v>2</v>
      </c>
      <c r="Y598">
        <v>2</v>
      </c>
      <c r="Z598">
        <v>2</v>
      </c>
      <c r="AA598" t="s">
        <v>2730</v>
      </c>
      <c r="AB598" t="s">
        <v>2732</v>
      </c>
      <c r="AC598" t="s">
        <v>2730</v>
      </c>
      <c r="AD598" t="s">
        <v>2730</v>
      </c>
      <c r="AE598" t="s">
        <v>2730</v>
      </c>
      <c r="AF598" t="s">
        <v>2730</v>
      </c>
      <c r="AG598" t="s">
        <v>2730</v>
      </c>
      <c r="AH598" t="s">
        <v>2730</v>
      </c>
    </row>
    <row r="599" spans="1:34">
      <c r="A599" s="149" t="str">
        <f>HYPERLINK("http://www.ofsted.gov.uk/inspection-reports/find-inspection-report/provider/ELS/134091 ","Ofsted School Webpage")</f>
        <v>Ofsted School Webpage</v>
      </c>
      <c r="B599">
        <v>134091</v>
      </c>
      <c r="C599">
        <v>3306105</v>
      </c>
      <c r="D599" t="s">
        <v>2164</v>
      </c>
      <c r="E599" t="s">
        <v>37</v>
      </c>
      <c r="F599" t="s">
        <v>184</v>
      </c>
      <c r="G599" t="s">
        <v>212</v>
      </c>
      <c r="H599" t="s">
        <v>2729</v>
      </c>
      <c r="I599" t="s">
        <v>2730</v>
      </c>
      <c r="J599" t="s">
        <v>186</v>
      </c>
      <c r="K599" t="s">
        <v>193</v>
      </c>
      <c r="L599" t="s">
        <v>193</v>
      </c>
      <c r="M599" t="s">
        <v>210</v>
      </c>
      <c r="N599" t="s">
        <v>2165</v>
      </c>
      <c r="O599">
        <v>10008549</v>
      </c>
      <c r="P599" s="120">
        <v>42388</v>
      </c>
      <c r="Q599" s="120">
        <v>42390</v>
      </c>
      <c r="R599" s="120">
        <v>42426</v>
      </c>
      <c r="S599" t="s">
        <v>196</v>
      </c>
      <c r="T599">
        <v>2</v>
      </c>
      <c r="U599" t="s">
        <v>128</v>
      </c>
      <c r="V599">
        <v>2</v>
      </c>
      <c r="W599">
        <v>1</v>
      </c>
      <c r="X599">
        <v>2</v>
      </c>
      <c r="Y599">
        <v>2</v>
      </c>
      <c r="Z599">
        <v>1</v>
      </c>
      <c r="AA599" t="s">
        <v>2730</v>
      </c>
      <c r="AB599" t="s">
        <v>2732</v>
      </c>
      <c r="AC599" t="s">
        <v>2730</v>
      </c>
      <c r="AD599" t="s">
        <v>2730</v>
      </c>
      <c r="AE599" t="s">
        <v>2730</v>
      </c>
      <c r="AF599" t="s">
        <v>2730</v>
      </c>
      <c r="AG599" t="s">
        <v>2730</v>
      </c>
      <c r="AH599" t="s">
        <v>2730</v>
      </c>
    </row>
    <row r="600" spans="1:34">
      <c r="A600" s="149" t="str">
        <f>HYPERLINK("http://www.ofsted.gov.uk/inspection-reports/find-inspection-report/provider/ELS/131403 ","Ofsted School Webpage")</f>
        <v>Ofsted School Webpage</v>
      </c>
      <c r="B600">
        <v>131403</v>
      </c>
      <c r="C600">
        <v>3026110</v>
      </c>
      <c r="D600" t="s">
        <v>2170</v>
      </c>
      <c r="E600" t="s">
        <v>37</v>
      </c>
      <c r="F600" t="s">
        <v>184</v>
      </c>
      <c r="G600" t="s">
        <v>318</v>
      </c>
      <c r="H600" t="s">
        <v>2729</v>
      </c>
      <c r="I600" t="s">
        <v>2730</v>
      </c>
      <c r="J600" t="s">
        <v>186</v>
      </c>
      <c r="K600" t="s">
        <v>232</v>
      </c>
      <c r="L600" t="s">
        <v>232</v>
      </c>
      <c r="M600" t="s">
        <v>311</v>
      </c>
      <c r="N600" t="s">
        <v>2171</v>
      </c>
      <c r="O600" t="s">
        <v>2172</v>
      </c>
      <c r="P600" s="120">
        <v>41954</v>
      </c>
      <c r="Q600" s="120">
        <v>41956</v>
      </c>
      <c r="R600" s="120">
        <v>41981</v>
      </c>
      <c r="S600" t="s">
        <v>196</v>
      </c>
      <c r="T600">
        <v>2</v>
      </c>
      <c r="U600" t="s">
        <v>2730</v>
      </c>
      <c r="V600">
        <v>2</v>
      </c>
      <c r="W600" t="s">
        <v>2730</v>
      </c>
      <c r="X600">
        <v>2</v>
      </c>
      <c r="Y600">
        <v>2</v>
      </c>
      <c r="Z600">
        <v>9</v>
      </c>
      <c r="AA600">
        <v>9</v>
      </c>
      <c r="AB600" t="s">
        <v>2730</v>
      </c>
      <c r="AC600" t="s">
        <v>2730</v>
      </c>
      <c r="AD600" t="s">
        <v>2730</v>
      </c>
      <c r="AE600" t="s">
        <v>2730</v>
      </c>
      <c r="AF600" t="s">
        <v>2730</v>
      </c>
      <c r="AG600" t="s">
        <v>2730</v>
      </c>
      <c r="AH600" t="s">
        <v>2730</v>
      </c>
    </row>
    <row r="601" spans="1:34">
      <c r="A601" s="149" t="str">
        <f>HYPERLINK("http://www.ofsted.gov.uk/inspection-reports/find-inspection-report/provider/ELS/139771 ","Ofsted School Webpage")</f>
        <v>Ofsted School Webpage</v>
      </c>
      <c r="B601">
        <v>139771</v>
      </c>
      <c r="C601">
        <v>8926016</v>
      </c>
      <c r="D601" t="s">
        <v>3072</v>
      </c>
      <c r="E601" t="s">
        <v>37</v>
      </c>
      <c r="F601" t="s">
        <v>184</v>
      </c>
      <c r="G601" t="s">
        <v>212</v>
      </c>
      <c r="H601" t="s">
        <v>2729</v>
      </c>
      <c r="I601" t="s">
        <v>2730</v>
      </c>
      <c r="J601" t="s">
        <v>186</v>
      </c>
      <c r="K601" t="s">
        <v>214</v>
      </c>
      <c r="L601" t="s">
        <v>214</v>
      </c>
      <c r="M601" t="s">
        <v>287</v>
      </c>
      <c r="N601" t="s">
        <v>2173</v>
      </c>
      <c r="O601" t="s">
        <v>2174</v>
      </c>
      <c r="P601" s="120">
        <v>41794</v>
      </c>
      <c r="Q601" s="120">
        <v>41796</v>
      </c>
      <c r="R601" s="120">
        <v>41816</v>
      </c>
      <c r="S601" t="s">
        <v>249</v>
      </c>
      <c r="T601">
        <v>2</v>
      </c>
      <c r="U601" t="s">
        <v>2730</v>
      </c>
      <c r="V601">
        <v>2</v>
      </c>
      <c r="W601" t="s">
        <v>2730</v>
      </c>
      <c r="X601">
        <v>2</v>
      </c>
      <c r="Y601">
        <v>2</v>
      </c>
      <c r="Z601" t="s">
        <v>2730</v>
      </c>
      <c r="AA601" t="s">
        <v>2730</v>
      </c>
      <c r="AB601" t="s">
        <v>2730</v>
      </c>
      <c r="AC601" t="s">
        <v>2730</v>
      </c>
      <c r="AD601" t="s">
        <v>2730</v>
      </c>
      <c r="AE601" s="120" t="s">
        <v>2730</v>
      </c>
      <c r="AF601" t="s">
        <v>2730</v>
      </c>
      <c r="AG601" s="120" t="s">
        <v>2730</v>
      </c>
      <c r="AH601" t="s">
        <v>2730</v>
      </c>
    </row>
    <row r="602" spans="1:34">
      <c r="A602" s="149" t="str">
        <f>HYPERLINK("http://www.ofsted.gov.uk/inspection-reports/find-inspection-report/provider/ELS/135240 ","Ofsted School Webpage")</f>
        <v>Ofsted School Webpage</v>
      </c>
      <c r="B602">
        <v>135240</v>
      </c>
      <c r="C602">
        <v>8506088</v>
      </c>
      <c r="D602" t="s">
        <v>2025</v>
      </c>
      <c r="E602" t="s">
        <v>37</v>
      </c>
      <c r="F602" t="s">
        <v>184</v>
      </c>
      <c r="G602" t="s">
        <v>184</v>
      </c>
      <c r="H602" t="s">
        <v>2729</v>
      </c>
      <c r="I602" t="s">
        <v>2730</v>
      </c>
      <c r="J602" t="s">
        <v>186</v>
      </c>
      <c r="K602" t="s">
        <v>181</v>
      </c>
      <c r="L602" t="s">
        <v>181</v>
      </c>
      <c r="M602" t="s">
        <v>201</v>
      </c>
      <c r="N602" t="s">
        <v>2026</v>
      </c>
      <c r="O602" t="s">
        <v>2027</v>
      </c>
      <c r="P602" s="120">
        <v>41710</v>
      </c>
      <c r="Q602" s="120">
        <v>41712</v>
      </c>
      <c r="R602" s="120">
        <v>41732</v>
      </c>
      <c r="S602" t="s">
        <v>196</v>
      </c>
      <c r="T602">
        <v>2</v>
      </c>
      <c r="U602" t="s">
        <v>2730</v>
      </c>
      <c r="V602">
        <v>1</v>
      </c>
      <c r="W602" t="s">
        <v>2730</v>
      </c>
      <c r="X602">
        <v>2</v>
      </c>
      <c r="Y602">
        <v>2</v>
      </c>
      <c r="Z602" t="s">
        <v>2730</v>
      </c>
      <c r="AA602" t="s">
        <v>2730</v>
      </c>
      <c r="AB602" t="s">
        <v>2730</v>
      </c>
      <c r="AC602" t="s">
        <v>2730</v>
      </c>
      <c r="AD602" t="s">
        <v>2730</v>
      </c>
      <c r="AE602" t="s">
        <v>2730</v>
      </c>
      <c r="AF602" t="s">
        <v>2730</v>
      </c>
      <c r="AG602" t="s">
        <v>2730</v>
      </c>
      <c r="AH602" t="s">
        <v>2730</v>
      </c>
    </row>
    <row r="603" spans="1:34">
      <c r="A603" s="149" t="str">
        <f>HYPERLINK("http://www.ofsted.gov.uk/inspection-reports/find-inspection-report/provider/ELS/105747 ","Ofsted School Webpage")</f>
        <v>Ofsted School Webpage</v>
      </c>
      <c r="B603">
        <v>105747</v>
      </c>
      <c r="C603">
        <v>3536014</v>
      </c>
      <c r="D603" t="s">
        <v>467</v>
      </c>
      <c r="E603" t="s">
        <v>37</v>
      </c>
      <c r="F603" t="s">
        <v>184</v>
      </c>
      <c r="G603" t="s">
        <v>184</v>
      </c>
      <c r="H603" t="s">
        <v>2729</v>
      </c>
      <c r="I603" t="s">
        <v>2730</v>
      </c>
      <c r="J603" t="s">
        <v>186</v>
      </c>
      <c r="K603" t="s">
        <v>205</v>
      </c>
      <c r="L603" t="s">
        <v>205</v>
      </c>
      <c r="M603" t="s">
        <v>468</v>
      </c>
      <c r="N603" t="s">
        <v>469</v>
      </c>
      <c r="O603">
        <v>10034020</v>
      </c>
      <c r="P603" s="120">
        <v>43004</v>
      </c>
      <c r="Q603" s="120">
        <v>43006</v>
      </c>
      <c r="R603" s="120">
        <v>43025</v>
      </c>
      <c r="S603" t="s">
        <v>196</v>
      </c>
      <c r="T603">
        <v>2</v>
      </c>
      <c r="U603" t="s">
        <v>128</v>
      </c>
      <c r="V603">
        <v>2</v>
      </c>
      <c r="W603">
        <v>1</v>
      </c>
      <c r="X603">
        <v>2</v>
      </c>
      <c r="Y603">
        <v>2</v>
      </c>
      <c r="Z603">
        <v>3</v>
      </c>
      <c r="AA603" t="s">
        <v>2730</v>
      </c>
      <c r="AB603" t="s">
        <v>2732</v>
      </c>
      <c r="AC603" t="s">
        <v>2730</v>
      </c>
      <c r="AD603" t="s">
        <v>2730</v>
      </c>
      <c r="AE603" s="120" t="s">
        <v>2730</v>
      </c>
      <c r="AF603" t="s">
        <v>2730</v>
      </c>
      <c r="AG603" s="120" t="s">
        <v>2730</v>
      </c>
      <c r="AH603" t="s">
        <v>2730</v>
      </c>
    </row>
    <row r="604" spans="1:34">
      <c r="A604" s="149" t="str">
        <f>HYPERLINK("http://www.ofsted.gov.uk/inspection-reports/find-inspection-report/provider/ELS/124899 ","Ofsted School Webpage")</f>
        <v>Ofsted School Webpage</v>
      </c>
      <c r="B604">
        <v>124899</v>
      </c>
      <c r="C604">
        <v>9356076</v>
      </c>
      <c r="D604" t="s">
        <v>296</v>
      </c>
      <c r="E604" t="s">
        <v>37</v>
      </c>
      <c r="F604" t="s">
        <v>184</v>
      </c>
      <c r="G604" t="s">
        <v>292</v>
      </c>
      <c r="H604" t="s">
        <v>2729</v>
      </c>
      <c r="I604" t="s">
        <v>2730</v>
      </c>
      <c r="J604" t="s">
        <v>186</v>
      </c>
      <c r="K604" t="s">
        <v>220</v>
      </c>
      <c r="L604" t="s">
        <v>220</v>
      </c>
      <c r="M604" t="s">
        <v>297</v>
      </c>
      <c r="N604" t="s">
        <v>298</v>
      </c>
      <c r="O604">
        <v>10026063</v>
      </c>
      <c r="P604" s="120">
        <v>43011</v>
      </c>
      <c r="Q604" s="120">
        <v>43013</v>
      </c>
      <c r="R604" s="120">
        <v>43052</v>
      </c>
      <c r="S604" t="s">
        <v>196</v>
      </c>
      <c r="T604">
        <v>3</v>
      </c>
      <c r="U604" t="s">
        <v>128</v>
      </c>
      <c r="V604">
        <v>3</v>
      </c>
      <c r="W604">
        <v>2</v>
      </c>
      <c r="X604">
        <v>3</v>
      </c>
      <c r="Y604">
        <v>3</v>
      </c>
      <c r="Z604" t="s">
        <v>2730</v>
      </c>
      <c r="AA604">
        <v>3</v>
      </c>
      <c r="AB604" t="s">
        <v>2733</v>
      </c>
      <c r="AC604" t="s">
        <v>2730</v>
      </c>
      <c r="AD604" t="s">
        <v>2730</v>
      </c>
      <c r="AE604" t="s">
        <v>2730</v>
      </c>
      <c r="AF604" t="s">
        <v>2730</v>
      </c>
      <c r="AG604" t="s">
        <v>2730</v>
      </c>
      <c r="AH604" t="s">
        <v>2730</v>
      </c>
    </row>
    <row r="605" spans="1:34">
      <c r="A605" s="149" t="str">
        <f>HYPERLINK("http://www.ofsted.gov.uk/inspection-reports/find-inspection-report/provider/ELS/132190 ","Ofsted School Webpage")</f>
        <v>Ofsted School Webpage</v>
      </c>
      <c r="B605">
        <v>132190</v>
      </c>
      <c r="C605">
        <v>8926013</v>
      </c>
      <c r="D605" t="s">
        <v>1715</v>
      </c>
      <c r="E605" t="s">
        <v>37</v>
      </c>
      <c r="F605" t="s">
        <v>184</v>
      </c>
      <c r="G605" t="s">
        <v>223</v>
      </c>
      <c r="H605" t="s">
        <v>2729</v>
      </c>
      <c r="I605" t="s">
        <v>2730</v>
      </c>
      <c r="J605" t="s">
        <v>186</v>
      </c>
      <c r="K605" t="s">
        <v>214</v>
      </c>
      <c r="L605" t="s">
        <v>214</v>
      </c>
      <c r="M605" t="s">
        <v>287</v>
      </c>
      <c r="N605" t="s">
        <v>1716</v>
      </c>
      <c r="O605">
        <v>10033530</v>
      </c>
      <c r="P605" s="120">
        <v>42920</v>
      </c>
      <c r="Q605" s="120">
        <v>42922</v>
      </c>
      <c r="R605" s="120">
        <v>43041</v>
      </c>
      <c r="S605" t="s">
        <v>196</v>
      </c>
      <c r="T605">
        <v>4</v>
      </c>
      <c r="U605" t="s">
        <v>129</v>
      </c>
      <c r="V605">
        <v>4</v>
      </c>
      <c r="W605">
        <v>4</v>
      </c>
      <c r="X605">
        <v>3</v>
      </c>
      <c r="Y605">
        <v>3</v>
      </c>
      <c r="Z605" t="s">
        <v>2730</v>
      </c>
      <c r="AA605" t="s">
        <v>2730</v>
      </c>
      <c r="AB605" t="s">
        <v>2733</v>
      </c>
      <c r="AC605" t="s">
        <v>2730</v>
      </c>
      <c r="AD605" t="s">
        <v>2730</v>
      </c>
      <c r="AE605" s="120" t="s">
        <v>2730</v>
      </c>
      <c r="AF605" t="s">
        <v>2730</v>
      </c>
      <c r="AG605" s="120" t="s">
        <v>2730</v>
      </c>
      <c r="AH605" t="s">
        <v>2730</v>
      </c>
    </row>
    <row r="606" spans="1:34">
      <c r="A606" s="149" t="str">
        <f>HYPERLINK("http://www.ofsted.gov.uk/inspection-reports/find-inspection-report/provider/ELS/133964 ","Ofsted School Webpage")</f>
        <v>Ofsted School Webpage</v>
      </c>
      <c r="B606">
        <v>133964</v>
      </c>
      <c r="C606">
        <v>8506079</v>
      </c>
      <c r="D606" t="s">
        <v>2294</v>
      </c>
      <c r="E606" t="s">
        <v>37</v>
      </c>
      <c r="F606" t="s">
        <v>184</v>
      </c>
      <c r="G606" t="s">
        <v>212</v>
      </c>
      <c r="H606" t="s">
        <v>2729</v>
      </c>
      <c r="I606" t="s">
        <v>2730</v>
      </c>
      <c r="J606" t="s">
        <v>186</v>
      </c>
      <c r="K606" t="s">
        <v>181</v>
      </c>
      <c r="L606" t="s">
        <v>181</v>
      </c>
      <c r="M606" t="s">
        <v>201</v>
      </c>
      <c r="N606" t="s">
        <v>2295</v>
      </c>
      <c r="O606">
        <v>10008560</v>
      </c>
      <c r="P606" s="120">
        <v>42514</v>
      </c>
      <c r="Q606" s="120">
        <v>42516</v>
      </c>
      <c r="R606" s="120">
        <v>42542</v>
      </c>
      <c r="S606" t="s">
        <v>196</v>
      </c>
      <c r="T606">
        <v>3</v>
      </c>
      <c r="U606" t="s">
        <v>128</v>
      </c>
      <c r="V606">
        <v>3</v>
      </c>
      <c r="W606">
        <v>2</v>
      </c>
      <c r="X606">
        <v>2</v>
      </c>
      <c r="Y606">
        <v>2</v>
      </c>
      <c r="Z606" t="s">
        <v>2730</v>
      </c>
      <c r="AA606" t="s">
        <v>2730</v>
      </c>
      <c r="AB606" t="s">
        <v>2732</v>
      </c>
      <c r="AC606" t="s">
        <v>2730</v>
      </c>
      <c r="AD606" t="s">
        <v>2730</v>
      </c>
      <c r="AE606" t="s">
        <v>2730</v>
      </c>
      <c r="AF606" t="s">
        <v>2730</v>
      </c>
      <c r="AG606" t="s">
        <v>2730</v>
      </c>
      <c r="AH606" t="s">
        <v>2730</v>
      </c>
    </row>
    <row r="607" spans="1:34">
      <c r="A607" s="149" t="str">
        <f>HYPERLINK("http://www.ofsted.gov.uk/inspection-reports/find-inspection-report/provider/ELS/131791 ","Ofsted School Webpage")</f>
        <v>Ofsted School Webpage</v>
      </c>
      <c r="B607">
        <v>131791</v>
      </c>
      <c r="C607">
        <v>8966027</v>
      </c>
      <c r="D607" t="s">
        <v>371</v>
      </c>
      <c r="E607" t="s">
        <v>37</v>
      </c>
      <c r="F607" t="s">
        <v>212</v>
      </c>
      <c r="G607" t="s">
        <v>212</v>
      </c>
      <c r="H607" t="s">
        <v>2729</v>
      </c>
      <c r="I607" t="s">
        <v>2730</v>
      </c>
      <c r="J607" t="s">
        <v>186</v>
      </c>
      <c r="K607" t="s">
        <v>205</v>
      </c>
      <c r="L607" t="s">
        <v>205</v>
      </c>
      <c r="M607" t="s">
        <v>372</v>
      </c>
      <c r="N607" t="s">
        <v>373</v>
      </c>
      <c r="O607">
        <v>10020947</v>
      </c>
      <c r="P607" s="120">
        <v>42661</v>
      </c>
      <c r="Q607" s="120">
        <v>42663</v>
      </c>
      <c r="R607" s="120">
        <v>42774</v>
      </c>
      <c r="S607" t="s">
        <v>196</v>
      </c>
      <c r="T607">
        <v>4</v>
      </c>
      <c r="U607" t="s">
        <v>129</v>
      </c>
      <c r="V607">
        <v>4</v>
      </c>
      <c r="W607">
        <v>4</v>
      </c>
      <c r="X607">
        <v>2</v>
      </c>
      <c r="Y607">
        <v>2</v>
      </c>
      <c r="Z607" t="s">
        <v>2730</v>
      </c>
      <c r="AA607" t="s">
        <v>2730</v>
      </c>
      <c r="AB607" t="s">
        <v>2733</v>
      </c>
      <c r="AC607">
        <v>10040244</v>
      </c>
      <c r="AD607" t="s">
        <v>187</v>
      </c>
      <c r="AE607" s="120">
        <v>43011</v>
      </c>
      <c r="AF607" t="s">
        <v>2771</v>
      </c>
      <c r="AG607" s="120">
        <v>43048</v>
      </c>
      <c r="AH607" t="s">
        <v>217</v>
      </c>
    </row>
    <row r="608" spans="1:34">
      <c r="A608" s="149" t="str">
        <f>HYPERLINK("http://www.ofsted.gov.uk/inspection-reports/find-inspection-report/provider/ELS/131788 ","Ofsted School Webpage")</f>
        <v>Ofsted School Webpage</v>
      </c>
      <c r="B608">
        <v>131788</v>
      </c>
      <c r="C608">
        <v>3076080</v>
      </c>
      <c r="D608" t="s">
        <v>2028</v>
      </c>
      <c r="E608" t="s">
        <v>37</v>
      </c>
      <c r="F608" t="s">
        <v>184</v>
      </c>
      <c r="G608" t="s">
        <v>2029</v>
      </c>
      <c r="H608" t="s">
        <v>2729</v>
      </c>
      <c r="I608" t="s">
        <v>2730</v>
      </c>
      <c r="J608" t="s">
        <v>186</v>
      </c>
      <c r="K608" t="s">
        <v>232</v>
      </c>
      <c r="L608" t="s">
        <v>232</v>
      </c>
      <c r="M608" t="s">
        <v>631</v>
      </c>
      <c r="N608" t="s">
        <v>2030</v>
      </c>
      <c r="O608" t="s">
        <v>3073</v>
      </c>
      <c r="P608" s="120">
        <v>41807</v>
      </c>
      <c r="Q608" s="120">
        <v>41809</v>
      </c>
      <c r="R608" s="120">
        <v>41831</v>
      </c>
      <c r="S608" t="s">
        <v>196</v>
      </c>
      <c r="T608">
        <v>2</v>
      </c>
      <c r="U608" t="s">
        <v>2730</v>
      </c>
      <c r="V608">
        <v>2</v>
      </c>
      <c r="W608" t="s">
        <v>2730</v>
      </c>
      <c r="X608">
        <v>2</v>
      </c>
      <c r="Y608">
        <v>2</v>
      </c>
      <c r="Z608" t="s">
        <v>2730</v>
      </c>
      <c r="AA608" t="s">
        <v>2730</v>
      </c>
      <c r="AB608" t="s">
        <v>2730</v>
      </c>
      <c r="AC608" t="s">
        <v>2730</v>
      </c>
      <c r="AD608" t="s">
        <v>2730</v>
      </c>
      <c r="AE608" s="120" t="s">
        <v>2730</v>
      </c>
      <c r="AF608" t="s">
        <v>2730</v>
      </c>
      <c r="AG608" s="120" t="s">
        <v>2730</v>
      </c>
      <c r="AH608" t="s">
        <v>2730</v>
      </c>
    </row>
    <row r="609" spans="1:34">
      <c r="A609" s="149" t="str">
        <f>HYPERLINK("http://www.ofsted.gov.uk/inspection-reports/find-inspection-report/provider/ELS/101959 ","Ofsted School Webpage")</f>
        <v>Ofsted School Webpage</v>
      </c>
      <c r="B609">
        <v>101959</v>
      </c>
      <c r="C609">
        <v>3096081</v>
      </c>
      <c r="D609" t="s">
        <v>2031</v>
      </c>
      <c r="E609" t="s">
        <v>37</v>
      </c>
      <c r="F609" t="s">
        <v>184</v>
      </c>
      <c r="G609" t="s">
        <v>184</v>
      </c>
      <c r="H609" t="s">
        <v>2729</v>
      </c>
      <c r="I609" t="s">
        <v>2730</v>
      </c>
      <c r="J609" t="s">
        <v>186</v>
      </c>
      <c r="K609" t="s">
        <v>232</v>
      </c>
      <c r="L609" t="s">
        <v>232</v>
      </c>
      <c r="M609" t="s">
        <v>697</v>
      </c>
      <c r="N609" t="s">
        <v>2032</v>
      </c>
      <c r="O609" t="s">
        <v>2033</v>
      </c>
      <c r="P609" s="120">
        <v>41772</v>
      </c>
      <c r="Q609" s="120">
        <v>41774</v>
      </c>
      <c r="R609" s="120">
        <v>41795</v>
      </c>
      <c r="S609" t="s">
        <v>196</v>
      </c>
      <c r="T609">
        <v>2</v>
      </c>
      <c r="U609" t="s">
        <v>2730</v>
      </c>
      <c r="V609">
        <v>2</v>
      </c>
      <c r="W609" t="s">
        <v>2730</v>
      </c>
      <c r="X609">
        <v>2</v>
      </c>
      <c r="Y609">
        <v>2</v>
      </c>
      <c r="Z609" t="s">
        <v>2730</v>
      </c>
      <c r="AA609" t="s">
        <v>2730</v>
      </c>
      <c r="AB609" t="s">
        <v>2730</v>
      </c>
      <c r="AC609" t="s">
        <v>2730</v>
      </c>
      <c r="AD609" t="s">
        <v>2730</v>
      </c>
      <c r="AE609" t="s">
        <v>2730</v>
      </c>
      <c r="AF609" t="s">
        <v>2730</v>
      </c>
      <c r="AG609" t="s">
        <v>2730</v>
      </c>
      <c r="AH609" t="s">
        <v>2730</v>
      </c>
    </row>
    <row r="610" spans="1:34">
      <c r="A610" s="149" t="str">
        <f>HYPERLINK("http://www.ofsted.gov.uk/inspection-reports/find-inspection-report/provider/ELS/141138 ","Ofsted School Webpage")</f>
        <v>Ofsted School Webpage</v>
      </c>
      <c r="B610">
        <v>141138</v>
      </c>
      <c r="C610">
        <v>8356038</v>
      </c>
      <c r="D610" t="s">
        <v>1669</v>
      </c>
      <c r="E610" t="s">
        <v>37</v>
      </c>
      <c r="F610" t="s">
        <v>184</v>
      </c>
      <c r="G610" t="s">
        <v>184</v>
      </c>
      <c r="H610" t="s">
        <v>2729</v>
      </c>
      <c r="I610" t="s">
        <v>2730</v>
      </c>
      <c r="J610" t="s">
        <v>186</v>
      </c>
      <c r="K610" t="s">
        <v>225</v>
      </c>
      <c r="L610" t="s">
        <v>225</v>
      </c>
      <c r="M610" t="s">
        <v>611</v>
      </c>
      <c r="N610" t="s">
        <v>1670</v>
      </c>
      <c r="O610">
        <v>10006027</v>
      </c>
      <c r="P610" s="120">
        <v>42339</v>
      </c>
      <c r="Q610" s="120">
        <v>42341</v>
      </c>
      <c r="R610" s="120">
        <v>42402</v>
      </c>
      <c r="S610" t="s">
        <v>1180</v>
      </c>
      <c r="T610">
        <v>1</v>
      </c>
      <c r="U610" t="s">
        <v>128</v>
      </c>
      <c r="V610">
        <v>1</v>
      </c>
      <c r="W610">
        <v>1</v>
      </c>
      <c r="X610">
        <v>1</v>
      </c>
      <c r="Y610">
        <v>1</v>
      </c>
      <c r="Z610" t="s">
        <v>2730</v>
      </c>
      <c r="AA610">
        <v>1</v>
      </c>
      <c r="AB610" t="s">
        <v>2732</v>
      </c>
      <c r="AC610" t="s">
        <v>2730</v>
      </c>
      <c r="AD610" t="s">
        <v>2730</v>
      </c>
      <c r="AE610" t="s">
        <v>2730</v>
      </c>
      <c r="AF610" t="s">
        <v>2730</v>
      </c>
      <c r="AG610" t="s">
        <v>2730</v>
      </c>
      <c r="AH610" t="s">
        <v>2730</v>
      </c>
    </row>
    <row r="611" spans="1:34">
      <c r="A611" s="149" t="str">
        <f>HYPERLINK("http://www.ofsted.gov.uk/inspection-reports/find-inspection-report/provider/ELS/138598 ","Ofsted School Webpage")</f>
        <v>Ofsted School Webpage</v>
      </c>
      <c r="B611">
        <v>138598</v>
      </c>
      <c r="C611">
        <v>3106006</v>
      </c>
      <c r="D611" t="s">
        <v>1671</v>
      </c>
      <c r="E611" t="s">
        <v>37</v>
      </c>
      <c r="F611" t="s">
        <v>304</v>
      </c>
      <c r="G611" t="s">
        <v>223</v>
      </c>
      <c r="H611" t="s">
        <v>2729</v>
      </c>
      <c r="I611" t="s">
        <v>2730</v>
      </c>
      <c r="J611" t="s">
        <v>186</v>
      </c>
      <c r="K611" t="s">
        <v>232</v>
      </c>
      <c r="L611" t="s">
        <v>232</v>
      </c>
      <c r="M611" t="s">
        <v>1672</v>
      </c>
      <c r="N611" t="s">
        <v>1673</v>
      </c>
      <c r="O611">
        <v>10020780</v>
      </c>
      <c r="P611" s="120">
        <v>42745</v>
      </c>
      <c r="Q611" s="120">
        <v>42747</v>
      </c>
      <c r="R611" s="120">
        <v>42829</v>
      </c>
      <c r="S611" t="s">
        <v>196</v>
      </c>
      <c r="T611">
        <v>4</v>
      </c>
      <c r="U611" t="s">
        <v>129</v>
      </c>
      <c r="V611">
        <v>4</v>
      </c>
      <c r="W611">
        <v>4</v>
      </c>
      <c r="X611">
        <v>3</v>
      </c>
      <c r="Y611">
        <v>3</v>
      </c>
      <c r="Z611" t="s">
        <v>2730</v>
      </c>
      <c r="AA611" t="s">
        <v>2730</v>
      </c>
      <c r="AB611" t="s">
        <v>2733</v>
      </c>
      <c r="AC611">
        <v>10037575</v>
      </c>
      <c r="AD611" t="s">
        <v>187</v>
      </c>
      <c r="AE611" s="120">
        <v>42892</v>
      </c>
      <c r="AF611" t="s">
        <v>2769</v>
      </c>
      <c r="AG611" s="120">
        <v>43000</v>
      </c>
      <c r="AH611" t="s">
        <v>189</v>
      </c>
    </row>
    <row r="612" spans="1:34">
      <c r="A612" s="149" t="str">
        <f>HYPERLINK("http://www.ofsted.gov.uk/inspection-reports/find-inspection-report/provider/ELS/122918 ","Ofsted School Webpage")</f>
        <v>Ofsted School Webpage</v>
      </c>
      <c r="B612">
        <v>122918</v>
      </c>
      <c r="C612">
        <v>8916004</v>
      </c>
      <c r="D612" t="s">
        <v>319</v>
      </c>
      <c r="E612" t="s">
        <v>37</v>
      </c>
      <c r="F612" t="s">
        <v>184</v>
      </c>
      <c r="G612" t="s">
        <v>184</v>
      </c>
      <c r="H612" t="s">
        <v>2729</v>
      </c>
      <c r="I612" t="s">
        <v>2730</v>
      </c>
      <c r="J612" t="s">
        <v>186</v>
      </c>
      <c r="K612" t="s">
        <v>214</v>
      </c>
      <c r="L612" t="s">
        <v>214</v>
      </c>
      <c r="M612" t="s">
        <v>320</v>
      </c>
      <c r="N612" t="s">
        <v>321</v>
      </c>
      <c r="O612">
        <v>10020943</v>
      </c>
      <c r="P612" s="120">
        <v>42997</v>
      </c>
      <c r="Q612" s="120">
        <v>42999</v>
      </c>
      <c r="R612" s="120">
        <v>43019</v>
      </c>
      <c r="S612" t="s">
        <v>196</v>
      </c>
      <c r="T612">
        <v>3</v>
      </c>
      <c r="U612" t="s">
        <v>128</v>
      </c>
      <c r="V612">
        <v>3</v>
      </c>
      <c r="W612">
        <v>2</v>
      </c>
      <c r="X612">
        <v>2</v>
      </c>
      <c r="Y612">
        <v>2</v>
      </c>
      <c r="Z612">
        <v>2</v>
      </c>
      <c r="AA612" t="s">
        <v>2730</v>
      </c>
      <c r="AB612" t="s">
        <v>2733</v>
      </c>
      <c r="AC612" t="s">
        <v>2730</v>
      </c>
      <c r="AD612" t="s">
        <v>2730</v>
      </c>
      <c r="AE612" s="120" t="s">
        <v>2730</v>
      </c>
      <c r="AF612" t="s">
        <v>2730</v>
      </c>
      <c r="AG612" s="120" t="s">
        <v>2730</v>
      </c>
      <c r="AH612" t="s">
        <v>2730</v>
      </c>
    </row>
    <row r="613" spans="1:34">
      <c r="A613" s="149" t="str">
        <f>HYPERLINK("http://www.ofsted.gov.uk/inspection-reports/find-inspection-report/provider/ELS/136123 ","Ofsted School Webpage")</f>
        <v>Ofsted School Webpage</v>
      </c>
      <c r="B613">
        <v>136123</v>
      </c>
      <c r="C613">
        <v>3306170</v>
      </c>
      <c r="D613" t="s">
        <v>498</v>
      </c>
      <c r="E613" t="s">
        <v>37</v>
      </c>
      <c r="F613" t="s">
        <v>304</v>
      </c>
      <c r="G613" t="s">
        <v>223</v>
      </c>
      <c r="H613" t="s">
        <v>2729</v>
      </c>
      <c r="I613" t="s">
        <v>2730</v>
      </c>
      <c r="J613" t="s">
        <v>186</v>
      </c>
      <c r="K613" t="s">
        <v>193</v>
      </c>
      <c r="L613" t="s">
        <v>193</v>
      </c>
      <c r="M613" t="s">
        <v>210</v>
      </c>
      <c r="N613" t="s">
        <v>499</v>
      </c>
      <c r="O613">
        <v>10038841</v>
      </c>
      <c r="P613" s="120">
        <v>43039</v>
      </c>
      <c r="Q613" s="120">
        <v>43041</v>
      </c>
      <c r="R613" s="120">
        <v>43067</v>
      </c>
      <c r="S613" t="s">
        <v>196</v>
      </c>
      <c r="T613">
        <v>3</v>
      </c>
      <c r="U613" t="s">
        <v>128</v>
      </c>
      <c r="V613">
        <v>3</v>
      </c>
      <c r="W613">
        <v>2</v>
      </c>
      <c r="X613">
        <v>3</v>
      </c>
      <c r="Y613">
        <v>3</v>
      </c>
      <c r="Z613" t="s">
        <v>2730</v>
      </c>
      <c r="AA613" t="s">
        <v>2730</v>
      </c>
      <c r="AB613" t="s">
        <v>2733</v>
      </c>
      <c r="AC613" t="s">
        <v>2730</v>
      </c>
      <c r="AD613" t="s">
        <v>2730</v>
      </c>
      <c r="AE613" t="s">
        <v>2730</v>
      </c>
      <c r="AF613" t="s">
        <v>2730</v>
      </c>
      <c r="AG613" t="s">
        <v>2730</v>
      </c>
      <c r="AH613" t="s">
        <v>2730</v>
      </c>
    </row>
    <row r="614" spans="1:34">
      <c r="A614" s="149" t="str">
        <f>HYPERLINK("http://www.ofsted.gov.uk/inspection-reports/find-inspection-report/provider/ELS/134085 ","Ofsted School Webpage")</f>
        <v>Ofsted School Webpage</v>
      </c>
      <c r="B614">
        <v>134085</v>
      </c>
      <c r="C614">
        <v>8716003</v>
      </c>
      <c r="D614" t="s">
        <v>228</v>
      </c>
      <c r="E614" t="s">
        <v>37</v>
      </c>
      <c r="F614" t="s">
        <v>184</v>
      </c>
      <c r="G614" t="s">
        <v>223</v>
      </c>
      <c r="H614" t="s">
        <v>2729</v>
      </c>
      <c r="I614" t="s">
        <v>2730</v>
      </c>
      <c r="J614" t="s">
        <v>186</v>
      </c>
      <c r="K614" t="s">
        <v>181</v>
      </c>
      <c r="L614" t="s">
        <v>181</v>
      </c>
      <c r="M614" t="s">
        <v>229</v>
      </c>
      <c r="N614" t="s">
        <v>230</v>
      </c>
      <c r="O614">
        <v>10039160</v>
      </c>
      <c r="P614" s="120">
        <v>43018</v>
      </c>
      <c r="Q614" s="120">
        <v>43020</v>
      </c>
      <c r="R614" s="120">
        <v>43045</v>
      </c>
      <c r="S614" t="s">
        <v>196</v>
      </c>
      <c r="T614">
        <v>2</v>
      </c>
      <c r="U614" t="s">
        <v>128</v>
      </c>
      <c r="V614">
        <v>1</v>
      </c>
      <c r="W614">
        <v>1</v>
      </c>
      <c r="X614">
        <v>2</v>
      </c>
      <c r="Y614">
        <v>2</v>
      </c>
      <c r="Z614">
        <v>1</v>
      </c>
      <c r="AA614" t="s">
        <v>2730</v>
      </c>
      <c r="AB614" t="s">
        <v>2732</v>
      </c>
      <c r="AC614" t="s">
        <v>2730</v>
      </c>
      <c r="AD614" t="s">
        <v>2730</v>
      </c>
      <c r="AE614" t="s">
        <v>2730</v>
      </c>
      <c r="AF614" t="s">
        <v>2730</v>
      </c>
      <c r="AG614" t="s">
        <v>2730</v>
      </c>
      <c r="AH614" t="s">
        <v>2730</v>
      </c>
    </row>
    <row r="615" spans="1:34">
      <c r="A615" s="149" t="str">
        <f>HYPERLINK("http://www.ofsted.gov.uk/inspection-reports/find-inspection-report/provider/ELS/133453 ","Ofsted School Webpage")</f>
        <v>Ofsted School Webpage</v>
      </c>
      <c r="B615">
        <v>133453</v>
      </c>
      <c r="C615">
        <v>3806113</v>
      </c>
      <c r="D615" t="s">
        <v>1795</v>
      </c>
      <c r="E615" t="s">
        <v>37</v>
      </c>
      <c r="F615" t="s">
        <v>184</v>
      </c>
      <c r="G615" t="s">
        <v>223</v>
      </c>
      <c r="H615" t="s">
        <v>2729</v>
      </c>
      <c r="I615" t="s">
        <v>2730</v>
      </c>
      <c r="J615" t="s">
        <v>186</v>
      </c>
      <c r="K615" t="s">
        <v>245</v>
      </c>
      <c r="L615" t="s">
        <v>246</v>
      </c>
      <c r="M615" t="s">
        <v>339</v>
      </c>
      <c r="N615" t="s">
        <v>1796</v>
      </c>
      <c r="O615" t="s">
        <v>3074</v>
      </c>
      <c r="P615" s="120">
        <v>41773</v>
      </c>
      <c r="Q615" s="120">
        <v>41775</v>
      </c>
      <c r="R615" s="120">
        <v>41807</v>
      </c>
      <c r="S615" t="s">
        <v>196</v>
      </c>
      <c r="T615">
        <v>3</v>
      </c>
      <c r="U615" t="s">
        <v>2730</v>
      </c>
      <c r="V615">
        <v>3</v>
      </c>
      <c r="W615" t="s">
        <v>2730</v>
      </c>
      <c r="X615">
        <v>2</v>
      </c>
      <c r="Y615">
        <v>2</v>
      </c>
      <c r="Z615" t="s">
        <v>2730</v>
      </c>
      <c r="AA615" t="s">
        <v>2730</v>
      </c>
      <c r="AB615" t="s">
        <v>2730</v>
      </c>
      <c r="AC615" t="s">
        <v>2730</v>
      </c>
      <c r="AD615" t="s">
        <v>2730</v>
      </c>
      <c r="AE615" s="120" t="s">
        <v>2730</v>
      </c>
      <c r="AF615" t="s">
        <v>2730</v>
      </c>
      <c r="AG615" s="120" t="s">
        <v>2730</v>
      </c>
      <c r="AH615" t="s">
        <v>2730</v>
      </c>
    </row>
    <row r="616" spans="1:34">
      <c r="A616" s="149" t="str">
        <f>HYPERLINK("http://www.ofsted.gov.uk/inspection-reports/find-inspection-report/provider/ELS/132749 ","Ofsted School Webpage")</f>
        <v>Ofsted School Webpage</v>
      </c>
      <c r="B616">
        <v>132749</v>
      </c>
      <c r="C616">
        <v>8896007</v>
      </c>
      <c r="D616" t="s">
        <v>1797</v>
      </c>
      <c r="E616" t="s">
        <v>37</v>
      </c>
      <c r="F616" t="s">
        <v>304</v>
      </c>
      <c r="G616" t="s">
        <v>223</v>
      </c>
      <c r="H616" t="s">
        <v>2729</v>
      </c>
      <c r="I616" t="s">
        <v>2730</v>
      </c>
      <c r="J616" t="s">
        <v>186</v>
      </c>
      <c r="K616" t="s">
        <v>205</v>
      </c>
      <c r="L616" t="s">
        <v>205</v>
      </c>
      <c r="M616" t="s">
        <v>485</v>
      </c>
      <c r="N616" t="s">
        <v>1798</v>
      </c>
      <c r="O616" t="s">
        <v>1799</v>
      </c>
      <c r="P616" s="120">
        <v>41961</v>
      </c>
      <c r="Q616" s="120">
        <v>41963</v>
      </c>
      <c r="R616" s="120">
        <v>41985</v>
      </c>
      <c r="S616" t="s">
        <v>196</v>
      </c>
      <c r="T616">
        <v>2</v>
      </c>
      <c r="U616" t="s">
        <v>2730</v>
      </c>
      <c r="V616">
        <v>1</v>
      </c>
      <c r="W616" t="s">
        <v>2730</v>
      </c>
      <c r="X616">
        <v>2</v>
      </c>
      <c r="Y616">
        <v>2</v>
      </c>
      <c r="Z616">
        <v>9</v>
      </c>
      <c r="AA616">
        <v>9</v>
      </c>
      <c r="AB616" t="s">
        <v>2730</v>
      </c>
      <c r="AC616" t="s">
        <v>2730</v>
      </c>
      <c r="AD616" t="s">
        <v>2730</v>
      </c>
      <c r="AE616" t="s">
        <v>2730</v>
      </c>
      <c r="AF616" t="s">
        <v>2730</v>
      </c>
      <c r="AG616" t="s">
        <v>2730</v>
      </c>
      <c r="AH616" t="s">
        <v>2730</v>
      </c>
    </row>
    <row r="617" spans="1:34">
      <c r="A617" s="149" t="str">
        <f>HYPERLINK("http://www.ofsted.gov.uk/inspection-reports/find-inspection-report/provider/ELS/107460 ","Ofsted School Webpage")</f>
        <v>Ofsted School Webpage</v>
      </c>
      <c r="B617">
        <v>107460</v>
      </c>
      <c r="C617">
        <v>3806109</v>
      </c>
      <c r="D617" t="s">
        <v>1800</v>
      </c>
      <c r="E617" t="s">
        <v>37</v>
      </c>
      <c r="F617" t="s">
        <v>223</v>
      </c>
      <c r="G617" t="s">
        <v>223</v>
      </c>
      <c r="H617" t="s">
        <v>2729</v>
      </c>
      <c r="I617" t="s">
        <v>2730</v>
      </c>
      <c r="J617" t="s">
        <v>186</v>
      </c>
      <c r="K617" t="s">
        <v>245</v>
      </c>
      <c r="L617" t="s">
        <v>246</v>
      </c>
      <c r="M617" t="s">
        <v>339</v>
      </c>
      <c r="N617" t="s">
        <v>1801</v>
      </c>
      <c r="O617" t="s">
        <v>1802</v>
      </c>
      <c r="P617" s="120">
        <v>42143</v>
      </c>
      <c r="Q617" s="120">
        <v>42146</v>
      </c>
      <c r="R617" s="120">
        <v>42185</v>
      </c>
      <c r="S617" t="s">
        <v>267</v>
      </c>
      <c r="T617">
        <v>2</v>
      </c>
      <c r="U617" t="s">
        <v>2730</v>
      </c>
      <c r="V617">
        <v>2</v>
      </c>
      <c r="W617" t="s">
        <v>2730</v>
      </c>
      <c r="X617">
        <v>2</v>
      </c>
      <c r="Y617">
        <v>2</v>
      </c>
      <c r="Z617">
        <v>9</v>
      </c>
      <c r="AA617">
        <v>9</v>
      </c>
      <c r="AB617" t="s">
        <v>2730</v>
      </c>
      <c r="AC617" t="s">
        <v>2730</v>
      </c>
      <c r="AD617" t="s">
        <v>2730</v>
      </c>
      <c r="AE617" t="s">
        <v>2730</v>
      </c>
      <c r="AF617" t="s">
        <v>2730</v>
      </c>
      <c r="AG617" t="s">
        <v>2730</v>
      </c>
      <c r="AH617" t="s">
        <v>2730</v>
      </c>
    </row>
    <row r="618" spans="1:34">
      <c r="A618" s="149" t="str">
        <f>HYPERLINK("http://www.ofsted.gov.uk/inspection-reports/find-inspection-report/provider/ELS/140330 ","Ofsted School Webpage")</f>
        <v>Ofsted School Webpage</v>
      </c>
      <c r="B618">
        <v>140330</v>
      </c>
      <c r="C618">
        <v>8616011</v>
      </c>
      <c r="D618" t="s">
        <v>491</v>
      </c>
      <c r="E618" t="s">
        <v>37</v>
      </c>
      <c r="F618" t="s">
        <v>184</v>
      </c>
      <c r="G618" t="s">
        <v>184</v>
      </c>
      <c r="H618" t="s">
        <v>2729</v>
      </c>
      <c r="I618" t="s">
        <v>2730</v>
      </c>
      <c r="J618" t="s">
        <v>186</v>
      </c>
      <c r="K618" t="s">
        <v>193</v>
      </c>
      <c r="L618" t="s">
        <v>193</v>
      </c>
      <c r="M618" t="s">
        <v>492</v>
      </c>
      <c r="N618" t="s">
        <v>493</v>
      </c>
      <c r="O618">
        <v>10038847</v>
      </c>
      <c r="P618" s="120">
        <v>43039</v>
      </c>
      <c r="Q618" s="120">
        <v>43041</v>
      </c>
      <c r="R618" s="120">
        <v>43059</v>
      </c>
      <c r="S618" t="s">
        <v>196</v>
      </c>
      <c r="T618">
        <v>2</v>
      </c>
      <c r="U618" t="s">
        <v>128</v>
      </c>
      <c r="V618">
        <v>1</v>
      </c>
      <c r="W618">
        <v>2</v>
      </c>
      <c r="X618">
        <v>2</v>
      </c>
      <c r="Y618">
        <v>2</v>
      </c>
      <c r="Z618" t="s">
        <v>2730</v>
      </c>
      <c r="AA618" t="s">
        <v>2730</v>
      </c>
      <c r="AB618" t="s">
        <v>2732</v>
      </c>
      <c r="AC618" t="s">
        <v>2730</v>
      </c>
      <c r="AD618" t="s">
        <v>2730</v>
      </c>
      <c r="AE618" t="s">
        <v>2730</v>
      </c>
      <c r="AF618" t="s">
        <v>2730</v>
      </c>
      <c r="AG618" t="s">
        <v>2730</v>
      </c>
      <c r="AH618" t="s">
        <v>2730</v>
      </c>
    </row>
    <row r="619" spans="1:34">
      <c r="A619" s="149" t="str">
        <f>HYPERLINK("http://www.ofsted.gov.uk/inspection-reports/find-inspection-report/provider/ELS/101957 ","Ofsted School Webpage")</f>
        <v>Ofsted School Webpage</v>
      </c>
      <c r="B619">
        <v>101957</v>
      </c>
      <c r="C619">
        <v>3076068</v>
      </c>
      <c r="D619" t="s">
        <v>2367</v>
      </c>
      <c r="E619" t="s">
        <v>37</v>
      </c>
      <c r="F619" t="s">
        <v>184</v>
      </c>
      <c r="G619" t="s">
        <v>223</v>
      </c>
      <c r="H619" t="s">
        <v>2729</v>
      </c>
      <c r="I619" t="s">
        <v>2730</v>
      </c>
      <c r="J619" t="s">
        <v>186</v>
      </c>
      <c r="K619" t="s">
        <v>232</v>
      </c>
      <c r="L619" t="s">
        <v>232</v>
      </c>
      <c r="M619" t="s">
        <v>631</v>
      </c>
      <c r="N619" t="s">
        <v>2368</v>
      </c>
      <c r="O619">
        <v>10006090</v>
      </c>
      <c r="P619" s="120">
        <v>42752</v>
      </c>
      <c r="Q619" s="120">
        <v>42754</v>
      </c>
      <c r="R619" s="120">
        <v>42779</v>
      </c>
      <c r="S619" t="s">
        <v>196</v>
      </c>
      <c r="T619">
        <v>3</v>
      </c>
      <c r="U619" t="s">
        <v>128</v>
      </c>
      <c r="V619">
        <v>3</v>
      </c>
      <c r="W619">
        <v>3</v>
      </c>
      <c r="X619">
        <v>3</v>
      </c>
      <c r="Y619">
        <v>3</v>
      </c>
      <c r="Z619">
        <v>2</v>
      </c>
      <c r="AA619">
        <v>2</v>
      </c>
      <c r="AB619" t="s">
        <v>2733</v>
      </c>
      <c r="AC619" t="s">
        <v>2730</v>
      </c>
      <c r="AD619" t="s">
        <v>2730</v>
      </c>
      <c r="AE619" t="s">
        <v>2730</v>
      </c>
      <c r="AF619" t="s">
        <v>2730</v>
      </c>
      <c r="AG619" t="s">
        <v>2730</v>
      </c>
      <c r="AH619" t="s">
        <v>2730</v>
      </c>
    </row>
    <row r="620" spans="1:34">
      <c r="A620" s="149" t="str">
        <f>HYPERLINK("http://www.ofsted.gov.uk/inspection-reports/find-inspection-report/provider/ELS/105596 ","Ofsted School Webpage")</f>
        <v>Ofsted School Webpage</v>
      </c>
      <c r="B620">
        <v>105596</v>
      </c>
      <c r="C620">
        <v>3526037</v>
      </c>
      <c r="D620" t="s">
        <v>1674</v>
      </c>
      <c r="E620" t="s">
        <v>37</v>
      </c>
      <c r="F620" t="s">
        <v>184</v>
      </c>
      <c r="G620" t="s">
        <v>212</v>
      </c>
      <c r="H620" t="s">
        <v>2729</v>
      </c>
      <c r="I620" t="s">
        <v>2730</v>
      </c>
      <c r="J620" t="s">
        <v>186</v>
      </c>
      <c r="K620" t="s">
        <v>205</v>
      </c>
      <c r="L620" t="s">
        <v>205</v>
      </c>
      <c r="M620" t="s">
        <v>306</v>
      </c>
      <c r="N620" t="s">
        <v>1675</v>
      </c>
      <c r="O620">
        <v>10006653</v>
      </c>
      <c r="P620" s="120">
        <v>42352</v>
      </c>
      <c r="Q620" s="120">
        <v>42354</v>
      </c>
      <c r="R620" s="120">
        <v>42389</v>
      </c>
      <c r="S620" t="s">
        <v>196</v>
      </c>
      <c r="T620">
        <v>4</v>
      </c>
      <c r="U620" t="s">
        <v>128</v>
      </c>
      <c r="V620">
        <v>4</v>
      </c>
      <c r="W620">
        <v>2</v>
      </c>
      <c r="X620">
        <v>3</v>
      </c>
      <c r="Y620">
        <v>3</v>
      </c>
      <c r="Z620">
        <v>3</v>
      </c>
      <c r="AA620">
        <v>3</v>
      </c>
      <c r="AB620" t="s">
        <v>2733</v>
      </c>
      <c r="AC620">
        <v>10020962</v>
      </c>
      <c r="AD620" t="s">
        <v>187</v>
      </c>
      <c r="AE620" s="120">
        <v>42661</v>
      </c>
      <c r="AF620" t="s">
        <v>2769</v>
      </c>
      <c r="AG620" s="120">
        <v>42741</v>
      </c>
      <c r="AH620" t="s">
        <v>217</v>
      </c>
    </row>
    <row r="621" spans="1:34">
      <c r="A621" s="149" t="str">
        <f>HYPERLINK("http://www.ofsted.gov.uk/inspection-reports/find-inspection-report/provider/ELS/138333 ","Ofsted School Webpage")</f>
        <v>Ofsted School Webpage</v>
      </c>
      <c r="B621">
        <v>138333</v>
      </c>
      <c r="C621">
        <v>8376009</v>
      </c>
      <c r="D621" t="s">
        <v>1676</v>
      </c>
      <c r="E621" t="s">
        <v>37</v>
      </c>
      <c r="F621" t="s">
        <v>184</v>
      </c>
      <c r="G621" t="s">
        <v>184</v>
      </c>
      <c r="H621" t="s">
        <v>2729</v>
      </c>
      <c r="I621" t="s">
        <v>2730</v>
      </c>
      <c r="J621" t="s">
        <v>186</v>
      </c>
      <c r="K621" t="s">
        <v>225</v>
      </c>
      <c r="L621" t="s">
        <v>225</v>
      </c>
      <c r="M621" t="s">
        <v>290</v>
      </c>
      <c r="N621" t="s">
        <v>1677</v>
      </c>
      <c r="O621">
        <v>10020906</v>
      </c>
      <c r="P621" s="120">
        <v>42717</v>
      </c>
      <c r="Q621" s="120">
        <v>42719</v>
      </c>
      <c r="R621" s="120">
        <v>42780</v>
      </c>
      <c r="S621" t="s">
        <v>196</v>
      </c>
      <c r="T621">
        <v>3</v>
      </c>
      <c r="U621" t="s">
        <v>128</v>
      </c>
      <c r="V621">
        <v>3</v>
      </c>
      <c r="W621">
        <v>2</v>
      </c>
      <c r="X621">
        <v>2</v>
      </c>
      <c r="Y621">
        <v>2</v>
      </c>
      <c r="Z621" t="s">
        <v>2730</v>
      </c>
      <c r="AA621">
        <v>3</v>
      </c>
      <c r="AB621" t="s">
        <v>2732</v>
      </c>
      <c r="AC621" t="s">
        <v>2730</v>
      </c>
      <c r="AD621" t="s">
        <v>2730</v>
      </c>
      <c r="AE621" s="120" t="s">
        <v>2730</v>
      </c>
      <c r="AF621" t="s">
        <v>2730</v>
      </c>
      <c r="AG621" s="120" t="s">
        <v>2730</v>
      </c>
      <c r="AH621" t="s">
        <v>2730</v>
      </c>
    </row>
    <row r="622" spans="1:34">
      <c r="A622" s="149" t="str">
        <f>HYPERLINK("http://www.ofsted.gov.uk/inspection-reports/find-inspection-report/provider/ELS/117662 ","Ofsted School Webpage")</f>
        <v>Ofsted School Webpage</v>
      </c>
      <c r="B622">
        <v>117662</v>
      </c>
      <c r="C622">
        <v>9196236</v>
      </c>
      <c r="D622" t="s">
        <v>1753</v>
      </c>
      <c r="E622" t="s">
        <v>37</v>
      </c>
      <c r="F622" t="s">
        <v>184</v>
      </c>
      <c r="G622" t="s">
        <v>441</v>
      </c>
      <c r="H622" t="s">
        <v>2729</v>
      </c>
      <c r="I622" t="s">
        <v>2730</v>
      </c>
      <c r="J622" t="s">
        <v>186</v>
      </c>
      <c r="K622" t="s">
        <v>220</v>
      </c>
      <c r="L622" t="s">
        <v>220</v>
      </c>
      <c r="M622" t="s">
        <v>822</v>
      </c>
      <c r="N622" t="s">
        <v>1754</v>
      </c>
      <c r="O622" t="s">
        <v>3075</v>
      </c>
      <c r="P622" s="120">
        <v>41947</v>
      </c>
      <c r="Q622" s="120">
        <v>41949</v>
      </c>
      <c r="R622" s="120">
        <v>41968</v>
      </c>
      <c r="S622" t="s">
        <v>196</v>
      </c>
      <c r="T622">
        <v>2</v>
      </c>
      <c r="U622" t="s">
        <v>2730</v>
      </c>
      <c r="V622">
        <v>2</v>
      </c>
      <c r="W622" t="s">
        <v>2730</v>
      </c>
      <c r="X622">
        <v>2</v>
      </c>
      <c r="Y622">
        <v>2</v>
      </c>
      <c r="Z622">
        <v>2</v>
      </c>
      <c r="AA622">
        <v>9</v>
      </c>
      <c r="AB622" t="s">
        <v>2730</v>
      </c>
      <c r="AC622" t="s">
        <v>2730</v>
      </c>
      <c r="AD622" t="s">
        <v>2730</v>
      </c>
      <c r="AE622" t="s">
        <v>2730</v>
      </c>
      <c r="AF622" t="s">
        <v>2730</v>
      </c>
      <c r="AG622" t="s">
        <v>2730</v>
      </c>
      <c r="AH622" t="s">
        <v>2730</v>
      </c>
    </row>
    <row r="623" spans="1:34">
      <c r="A623" s="149" t="str">
        <f>HYPERLINK("http://www.ofsted.gov.uk/inspection-reports/find-inspection-report/provider/ELS/105269 ","Ofsted School Webpage")</f>
        <v>Ofsted School Webpage</v>
      </c>
      <c r="B623">
        <v>105269</v>
      </c>
      <c r="C623">
        <v>3506000</v>
      </c>
      <c r="D623" t="s">
        <v>1755</v>
      </c>
      <c r="E623" t="s">
        <v>37</v>
      </c>
      <c r="F623" t="s">
        <v>184</v>
      </c>
      <c r="G623" t="s">
        <v>184</v>
      </c>
      <c r="H623" t="s">
        <v>2729</v>
      </c>
      <c r="I623" t="s">
        <v>2730</v>
      </c>
      <c r="J623" t="s">
        <v>186</v>
      </c>
      <c r="K623" t="s">
        <v>205</v>
      </c>
      <c r="L623" t="s">
        <v>205</v>
      </c>
      <c r="M623" t="s">
        <v>1265</v>
      </c>
      <c r="N623" t="s">
        <v>1756</v>
      </c>
      <c r="O623">
        <v>10012840</v>
      </c>
      <c r="P623" s="120">
        <v>42808</v>
      </c>
      <c r="Q623" s="120">
        <v>42810</v>
      </c>
      <c r="R623" s="120">
        <v>42851</v>
      </c>
      <c r="S623" t="s">
        <v>196</v>
      </c>
      <c r="T623">
        <v>2</v>
      </c>
      <c r="U623" t="s">
        <v>128</v>
      </c>
      <c r="V623">
        <v>2</v>
      </c>
      <c r="W623">
        <v>2</v>
      </c>
      <c r="X623">
        <v>2</v>
      </c>
      <c r="Y623">
        <v>2</v>
      </c>
      <c r="Z623" t="s">
        <v>2730</v>
      </c>
      <c r="AA623">
        <v>2</v>
      </c>
      <c r="AB623" t="s">
        <v>2732</v>
      </c>
      <c r="AC623" t="s">
        <v>2730</v>
      </c>
      <c r="AD623" t="s">
        <v>2730</v>
      </c>
      <c r="AE623" t="s">
        <v>2730</v>
      </c>
      <c r="AF623" t="s">
        <v>2730</v>
      </c>
      <c r="AG623" t="s">
        <v>2730</v>
      </c>
      <c r="AH623" t="s">
        <v>2730</v>
      </c>
    </row>
    <row r="624" spans="1:34">
      <c r="A624" s="149" t="str">
        <f>HYPERLINK("http://www.ofsted.gov.uk/inspection-reports/find-inspection-report/provider/ELS/137583 ","Ofsted School Webpage")</f>
        <v>Ofsted School Webpage</v>
      </c>
      <c r="B624">
        <v>137583</v>
      </c>
      <c r="C624">
        <v>8016029</v>
      </c>
      <c r="D624" t="s">
        <v>1757</v>
      </c>
      <c r="E624" t="s">
        <v>37</v>
      </c>
      <c r="F624" t="s">
        <v>184</v>
      </c>
      <c r="G624" t="s">
        <v>184</v>
      </c>
      <c r="H624" t="s">
        <v>2729</v>
      </c>
      <c r="I624" t="s">
        <v>2730</v>
      </c>
      <c r="J624" t="s">
        <v>186</v>
      </c>
      <c r="K624" t="s">
        <v>225</v>
      </c>
      <c r="L624" t="s">
        <v>225</v>
      </c>
      <c r="M624" t="s">
        <v>361</v>
      </c>
      <c r="N624" t="s">
        <v>1758</v>
      </c>
      <c r="O624">
        <v>10006100</v>
      </c>
      <c r="P624" s="120">
        <v>42430</v>
      </c>
      <c r="Q624" s="120">
        <v>42432</v>
      </c>
      <c r="R624" s="120">
        <v>42478</v>
      </c>
      <c r="S624" t="s">
        <v>196</v>
      </c>
      <c r="T624">
        <v>3</v>
      </c>
      <c r="U624" t="s">
        <v>128</v>
      </c>
      <c r="V624">
        <v>3</v>
      </c>
      <c r="W624">
        <v>3</v>
      </c>
      <c r="X624">
        <v>3</v>
      </c>
      <c r="Y624">
        <v>3</v>
      </c>
      <c r="Z624" t="s">
        <v>2730</v>
      </c>
      <c r="AA624" t="s">
        <v>2730</v>
      </c>
      <c r="AB624" t="s">
        <v>2732</v>
      </c>
      <c r="AC624" t="s">
        <v>2730</v>
      </c>
      <c r="AD624" t="s">
        <v>2730</v>
      </c>
      <c r="AE624" s="120" t="s">
        <v>2730</v>
      </c>
      <c r="AF624" t="s">
        <v>2730</v>
      </c>
      <c r="AG624" s="120" t="s">
        <v>2730</v>
      </c>
      <c r="AH624" t="s">
        <v>2730</v>
      </c>
    </row>
    <row r="625" spans="1:34">
      <c r="A625" s="149" t="str">
        <f>HYPERLINK("http://www.ofsted.gov.uk/inspection-reports/find-inspection-report/provider/ELS/135699 ","Ofsted School Webpage")</f>
        <v>Ofsted School Webpage</v>
      </c>
      <c r="B625">
        <v>135699</v>
      </c>
      <c r="C625">
        <v>8216205</v>
      </c>
      <c r="D625" t="s">
        <v>2326</v>
      </c>
      <c r="E625" t="s">
        <v>37</v>
      </c>
      <c r="F625" t="s">
        <v>184</v>
      </c>
      <c r="G625" t="s">
        <v>212</v>
      </c>
      <c r="H625" t="s">
        <v>2729</v>
      </c>
      <c r="I625" t="s">
        <v>2730</v>
      </c>
      <c r="J625" t="s">
        <v>186</v>
      </c>
      <c r="K625" t="s">
        <v>220</v>
      </c>
      <c r="L625" t="s">
        <v>220</v>
      </c>
      <c r="M625" t="s">
        <v>221</v>
      </c>
      <c r="N625" t="s">
        <v>2327</v>
      </c>
      <c r="O625">
        <v>10020921</v>
      </c>
      <c r="P625" s="120">
        <v>42661</v>
      </c>
      <c r="Q625" s="120">
        <v>42663</v>
      </c>
      <c r="R625" s="120">
        <v>42709</v>
      </c>
      <c r="S625" t="s">
        <v>196</v>
      </c>
      <c r="T625">
        <v>4</v>
      </c>
      <c r="U625" t="s">
        <v>129</v>
      </c>
      <c r="V625">
        <v>4</v>
      </c>
      <c r="W625">
        <v>4</v>
      </c>
      <c r="X625">
        <v>4</v>
      </c>
      <c r="Y625">
        <v>4</v>
      </c>
      <c r="Z625">
        <v>4</v>
      </c>
      <c r="AA625">
        <v>0</v>
      </c>
      <c r="AB625" t="s">
        <v>2733</v>
      </c>
      <c r="AC625">
        <v>10034634</v>
      </c>
      <c r="AD625" t="s">
        <v>187</v>
      </c>
      <c r="AE625" s="120">
        <v>42907</v>
      </c>
      <c r="AF625" t="s">
        <v>2769</v>
      </c>
      <c r="AG625" s="120">
        <v>42930</v>
      </c>
      <c r="AH625" t="s">
        <v>217</v>
      </c>
    </row>
    <row r="626" spans="1:34">
      <c r="A626" s="149" t="str">
        <f>HYPERLINK("http://www.ofsted.gov.uk/inspection-reports/find-inspection-report/provider/ELS/137887 ","Ofsted School Webpage")</f>
        <v>Ofsted School Webpage</v>
      </c>
      <c r="B626">
        <v>137887</v>
      </c>
      <c r="C626">
        <v>3526006</v>
      </c>
      <c r="D626" t="s">
        <v>305</v>
      </c>
      <c r="E626" t="s">
        <v>37</v>
      </c>
      <c r="F626" t="s">
        <v>184</v>
      </c>
      <c r="G626" t="s">
        <v>184</v>
      </c>
      <c r="H626" t="s">
        <v>2729</v>
      </c>
      <c r="I626" t="s">
        <v>2730</v>
      </c>
      <c r="J626" t="s">
        <v>186</v>
      </c>
      <c r="K626" t="s">
        <v>205</v>
      </c>
      <c r="L626" t="s">
        <v>205</v>
      </c>
      <c r="M626" t="s">
        <v>306</v>
      </c>
      <c r="N626" t="s">
        <v>307</v>
      </c>
      <c r="O626">
        <v>10020720</v>
      </c>
      <c r="P626" s="120">
        <v>42661</v>
      </c>
      <c r="Q626" s="120">
        <v>42663</v>
      </c>
      <c r="R626" s="120">
        <v>42754</v>
      </c>
      <c r="S626" t="s">
        <v>196</v>
      </c>
      <c r="T626">
        <v>4</v>
      </c>
      <c r="U626" t="s">
        <v>129</v>
      </c>
      <c r="V626">
        <v>4</v>
      </c>
      <c r="W626">
        <v>4</v>
      </c>
      <c r="X626">
        <v>3</v>
      </c>
      <c r="Y626">
        <v>3</v>
      </c>
      <c r="Z626" t="s">
        <v>2730</v>
      </c>
      <c r="AA626" t="s">
        <v>2730</v>
      </c>
      <c r="AB626" t="s">
        <v>2733</v>
      </c>
      <c r="AC626">
        <v>10040204</v>
      </c>
      <c r="AD626" t="s">
        <v>187</v>
      </c>
      <c r="AE626" s="120">
        <v>43012</v>
      </c>
      <c r="AF626" t="s">
        <v>2771</v>
      </c>
      <c r="AG626" s="120">
        <v>43048</v>
      </c>
      <c r="AH626" t="s">
        <v>189</v>
      </c>
    </row>
    <row r="627" spans="1:34">
      <c r="A627" s="149" t="str">
        <f>HYPERLINK("http://www.ofsted.gov.uk/inspection-reports/find-inspection-report/provider/ELS/133533 ","Ofsted School Webpage")</f>
        <v>Ofsted School Webpage</v>
      </c>
      <c r="B627">
        <v>133533</v>
      </c>
      <c r="C627">
        <v>3026114</v>
      </c>
      <c r="D627" t="s">
        <v>387</v>
      </c>
      <c r="E627" t="s">
        <v>37</v>
      </c>
      <c r="F627" t="s">
        <v>184</v>
      </c>
      <c r="G627" t="s">
        <v>318</v>
      </c>
      <c r="H627" t="s">
        <v>2729</v>
      </c>
      <c r="I627" t="s">
        <v>2730</v>
      </c>
      <c r="J627" t="s">
        <v>186</v>
      </c>
      <c r="K627" t="s">
        <v>232</v>
      </c>
      <c r="L627" t="s">
        <v>232</v>
      </c>
      <c r="M627" t="s">
        <v>311</v>
      </c>
      <c r="N627" t="s">
        <v>388</v>
      </c>
      <c r="O627">
        <v>10038166</v>
      </c>
      <c r="P627" s="120">
        <v>43025</v>
      </c>
      <c r="Q627" s="120">
        <v>43027</v>
      </c>
      <c r="R627" s="120">
        <v>43066</v>
      </c>
      <c r="S627" t="s">
        <v>196</v>
      </c>
      <c r="T627">
        <v>2</v>
      </c>
      <c r="U627" t="s">
        <v>128</v>
      </c>
      <c r="V627">
        <v>2</v>
      </c>
      <c r="W627">
        <v>2</v>
      </c>
      <c r="X627">
        <v>2</v>
      </c>
      <c r="Y627">
        <v>2</v>
      </c>
      <c r="Z627">
        <v>3</v>
      </c>
      <c r="AA627" t="s">
        <v>2730</v>
      </c>
      <c r="AB627" t="s">
        <v>2732</v>
      </c>
      <c r="AC627" t="s">
        <v>2730</v>
      </c>
      <c r="AD627" t="s">
        <v>2730</v>
      </c>
      <c r="AE627" t="s">
        <v>2730</v>
      </c>
      <c r="AF627" t="s">
        <v>2730</v>
      </c>
      <c r="AG627" t="s">
        <v>2730</v>
      </c>
      <c r="AH627" t="s">
        <v>2730</v>
      </c>
    </row>
    <row r="628" spans="1:34">
      <c r="A628" s="149" t="str">
        <f>HYPERLINK("http://www.ofsted.gov.uk/inspection-reports/find-inspection-report/provider/ELS/136112 ","Ofsted School Webpage")</f>
        <v>Ofsted School Webpage</v>
      </c>
      <c r="B628">
        <v>136112</v>
      </c>
      <c r="C628">
        <v>8506075</v>
      </c>
      <c r="D628" t="s">
        <v>2536</v>
      </c>
      <c r="E628" t="s">
        <v>37</v>
      </c>
      <c r="F628" t="s">
        <v>184</v>
      </c>
      <c r="G628" t="s">
        <v>184</v>
      </c>
      <c r="H628" t="s">
        <v>2729</v>
      </c>
      <c r="I628" t="s">
        <v>2730</v>
      </c>
      <c r="J628" t="s">
        <v>186</v>
      </c>
      <c r="K628" t="s">
        <v>181</v>
      </c>
      <c r="L628" t="s">
        <v>181</v>
      </c>
      <c r="M628" t="s">
        <v>201</v>
      </c>
      <c r="N628" t="s">
        <v>2537</v>
      </c>
      <c r="O628" t="s">
        <v>2538</v>
      </c>
      <c r="P628" s="120">
        <v>41983</v>
      </c>
      <c r="Q628" s="120">
        <v>41985</v>
      </c>
      <c r="R628" s="120">
        <v>42030</v>
      </c>
      <c r="S628" t="s">
        <v>196</v>
      </c>
      <c r="T628">
        <v>3</v>
      </c>
      <c r="U628" t="s">
        <v>2730</v>
      </c>
      <c r="V628">
        <v>3</v>
      </c>
      <c r="W628" t="s">
        <v>2730</v>
      </c>
      <c r="X628">
        <v>2</v>
      </c>
      <c r="Y628">
        <v>2</v>
      </c>
      <c r="Z628">
        <v>3</v>
      </c>
      <c r="AA628">
        <v>9</v>
      </c>
      <c r="AB628" t="s">
        <v>2730</v>
      </c>
      <c r="AC628" t="s">
        <v>2730</v>
      </c>
      <c r="AD628" t="s">
        <v>2730</v>
      </c>
      <c r="AE628" t="s">
        <v>2730</v>
      </c>
      <c r="AF628" t="s">
        <v>2730</v>
      </c>
      <c r="AG628" t="s">
        <v>2730</v>
      </c>
      <c r="AH628" t="s">
        <v>2730</v>
      </c>
    </row>
    <row r="629" spans="1:34">
      <c r="A629" s="149" t="str">
        <f>HYPERLINK("http://www.ofsted.gov.uk/inspection-reports/find-inspection-report/provider/ELS/130274 ","Ofsted School Webpage")</f>
        <v>Ofsted School Webpage</v>
      </c>
      <c r="B629">
        <v>130274</v>
      </c>
      <c r="C629">
        <v>3836119</v>
      </c>
      <c r="D629" t="s">
        <v>2539</v>
      </c>
      <c r="E629" t="s">
        <v>37</v>
      </c>
      <c r="F629" t="s">
        <v>184</v>
      </c>
      <c r="G629" t="s">
        <v>223</v>
      </c>
      <c r="H629" t="s">
        <v>2729</v>
      </c>
      <c r="I629" t="s">
        <v>2730</v>
      </c>
      <c r="J629" t="s">
        <v>186</v>
      </c>
      <c r="K629" t="s">
        <v>245</v>
      </c>
      <c r="L629" t="s">
        <v>246</v>
      </c>
      <c r="M629" t="s">
        <v>714</v>
      </c>
      <c r="N629" t="s">
        <v>2540</v>
      </c>
      <c r="O629">
        <v>10025951</v>
      </c>
      <c r="P629" s="120">
        <v>42815</v>
      </c>
      <c r="Q629" s="120">
        <v>42817</v>
      </c>
      <c r="R629" s="120">
        <v>42864</v>
      </c>
      <c r="S629" t="s">
        <v>196</v>
      </c>
      <c r="T629">
        <v>4</v>
      </c>
      <c r="U629" t="s">
        <v>129</v>
      </c>
      <c r="V629">
        <v>4</v>
      </c>
      <c r="W629">
        <v>4</v>
      </c>
      <c r="X629">
        <v>3</v>
      </c>
      <c r="Y629">
        <v>3</v>
      </c>
      <c r="Z629" t="s">
        <v>2730</v>
      </c>
      <c r="AA629" t="s">
        <v>2730</v>
      </c>
      <c r="AB629" t="s">
        <v>2733</v>
      </c>
      <c r="AC629" t="s">
        <v>2730</v>
      </c>
      <c r="AD629" t="s">
        <v>2730</v>
      </c>
      <c r="AE629" t="s">
        <v>2730</v>
      </c>
      <c r="AF629" t="s">
        <v>2730</v>
      </c>
      <c r="AG629" t="s">
        <v>2730</v>
      </c>
      <c r="AH629" t="s">
        <v>2730</v>
      </c>
    </row>
    <row r="630" spans="1:34">
      <c r="A630" s="149" t="str">
        <f>HYPERLINK("http://www.ofsted.gov.uk/inspection-reports/find-inspection-report/provider/ELS/105997 ","Ofsted School Webpage")</f>
        <v>Ofsted School Webpage</v>
      </c>
      <c r="B630">
        <v>105997</v>
      </c>
      <c r="C630">
        <v>3516012</v>
      </c>
      <c r="D630" t="s">
        <v>2198</v>
      </c>
      <c r="E630" t="s">
        <v>37</v>
      </c>
      <c r="F630" t="s">
        <v>184</v>
      </c>
      <c r="G630" t="s">
        <v>184</v>
      </c>
      <c r="H630" t="s">
        <v>2729</v>
      </c>
      <c r="I630" t="s">
        <v>2730</v>
      </c>
      <c r="J630" t="s">
        <v>186</v>
      </c>
      <c r="K630" t="s">
        <v>205</v>
      </c>
      <c r="L630" t="s">
        <v>205</v>
      </c>
      <c r="M630" t="s">
        <v>453</v>
      </c>
      <c r="N630" t="s">
        <v>2199</v>
      </c>
      <c r="O630">
        <v>10026000</v>
      </c>
      <c r="P630" s="120">
        <v>42773</v>
      </c>
      <c r="Q630" s="120">
        <v>42775</v>
      </c>
      <c r="R630" s="120">
        <v>42857</v>
      </c>
      <c r="S630" t="s">
        <v>196</v>
      </c>
      <c r="T630">
        <v>4</v>
      </c>
      <c r="U630" t="s">
        <v>128</v>
      </c>
      <c r="V630">
        <v>4</v>
      </c>
      <c r="W630">
        <v>2</v>
      </c>
      <c r="X630">
        <v>3</v>
      </c>
      <c r="Y630">
        <v>3</v>
      </c>
      <c r="Z630">
        <v>3</v>
      </c>
      <c r="AA630" t="s">
        <v>2730</v>
      </c>
      <c r="AB630" t="s">
        <v>2733</v>
      </c>
      <c r="AC630">
        <v>10043701</v>
      </c>
      <c r="AD630" t="s">
        <v>187</v>
      </c>
      <c r="AE630" s="120">
        <v>43047</v>
      </c>
      <c r="AF630" t="s">
        <v>2771</v>
      </c>
      <c r="AG630" s="120">
        <v>43073</v>
      </c>
      <c r="AH630" t="s">
        <v>217</v>
      </c>
    </row>
    <row r="631" spans="1:34">
      <c r="A631" s="149" t="str">
        <f>HYPERLINK("http://www.ofsted.gov.uk/inspection-reports/find-inspection-report/provider/ELS/118225 ","Ofsted School Webpage")</f>
        <v>Ofsted School Webpage</v>
      </c>
      <c r="B631">
        <v>118225</v>
      </c>
      <c r="C631">
        <v>9216041</v>
      </c>
      <c r="D631" t="s">
        <v>2200</v>
      </c>
      <c r="E631" t="s">
        <v>37</v>
      </c>
      <c r="F631" t="s">
        <v>184</v>
      </c>
      <c r="G631" t="s">
        <v>212</v>
      </c>
      <c r="H631" t="s">
        <v>2729</v>
      </c>
      <c r="I631" t="s">
        <v>2730</v>
      </c>
      <c r="J631" t="s">
        <v>186</v>
      </c>
      <c r="K631" t="s">
        <v>181</v>
      </c>
      <c r="L631" t="s">
        <v>181</v>
      </c>
      <c r="M631" t="s">
        <v>2201</v>
      </c>
      <c r="N631" t="s">
        <v>2202</v>
      </c>
      <c r="O631" t="s">
        <v>2203</v>
      </c>
      <c r="P631" s="120">
        <v>41247</v>
      </c>
      <c r="Q631" s="120">
        <v>41248</v>
      </c>
      <c r="R631" s="120">
        <v>41264</v>
      </c>
      <c r="S631" t="s">
        <v>196</v>
      </c>
      <c r="T631">
        <v>2</v>
      </c>
      <c r="U631" t="s">
        <v>2730</v>
      </c>
      <c r="V631" t="s">
        <v>2730</v>
      </c>
      <c r="W631" t="s">
        <v>2730</v>
      </c>
      <c r="X631">
        <v>2</v>
      </c>
      <c r="Y631">
        <v>2</v>
      </c>
      <c r="Z631">
        <v>8</v>
      </c>
      <c r="AA631" t="s">
        <v>2730</v>
      </c>
      <c r="AB631" t="s">
        <v>2730</v>
      </c>
      <c r="AC631" t="s">
        <v>2730</v>
      </c>
      <c r="AD631" t="s">
        <v>2730</v>
      </c>
      <c r="AE631" t="s">
        <v>2730</v>
      </c>
      <c r="AF631" t="s">
        <v>2730</v>
      </c>
      <c r="AG631" t="s">
        <v>2730</v>
      </c>
      <c r="AH631" t="s">
        <v>2730</v>
      </c>
    </row>
    <row r="632" spans="1:34">
      <c r="A632" s="149" t="str">
        <f>HYPERLINK("http://www.ofsted.gov.uk/inspection-reports/find-inspection-report/provider/ELS/131031 ","Ofsted School Webpage")</f>
        <v>Ofsted School Webpage</v>
      </c>
      <c r="B632">
        <v>131031</v>
      </c>
      <c r="C632">
        <v>3166068</v>
      </c>
      <c r="D632" t="s">
        <v>2204</v>
      </c>
      <c r="E632" t="s">
        <v>37</v>
      </c>
      <c r="F632" t="s">
        <v>184</v>
      </c>
      <c r="G632" t="s">
        <v>212</v>
      </c>
      <c r="H632" t="s">
        <v>2729</v>
      </c>
      <c r="I632" t="s">
        <v>2730</v>
      </c>
      <c r="J632" t="s">
        <v>186</v>
      </c>
      <c r="K632" t="s">
        <v>232</v>
      </c>
      <c r="L632" t="s">
        <v>232</v>
      </c>
      <c r="M632" t="s">
        <v>505</v>
      </c>
      <c r="N632" t="s">
        <v>2205</v>
      </c>
      <c r="O632" t="s">
        <v>2206</v>
      </c>
      <c r="P632" s="120">
        <v>41310</v>
      </c>
      <c r="Q632" s="120">
        <v>41312</v>
      </c>
      <c r="R632" s="120">
        <v>41338</v>
      </c>
      <c r="S632" t="s">
        <v>196</v>
      </c>
      <c r="T632">
        <v>2</v>
      </c>
      <c r="U632" t="s">
        <v>2730</v>
      </c>
      <c r="V632">
        <v>2</v>
      </c>
      <c r="W632" t="s">
        <v>2730</v>
      </c>
      <c r="X632">
        <v>2</v>
      </c>
      <c r="Y632">
        <v>2</v>
      </c>
      <c r="Z632" t="s">
        <v>2730</v>
      </c>
      <c r="AA632" t="s">
        <v>2730</v>
      </c>
      <c r="AB632" t="s">
        <v>2730</v>
      </c>
      <c r="AC632" t="s">
        <v>2730</v>
      </c>
      <c r="AD632" t="s">
        <v>2730</v>
      </c>
      <c r="AE632" s="120" t="s">
        <v>2730</v>
      </c>
      <c r="AF632" t="s">
        <v>2730</v>
      </c>
      <c r="AG632" s="120" t="s">
        <v>2730</v>
      </c>
      <c r="AH632" t="s">
        <v>2730</v>
      </c>
    </row>
    <row r="633" spans="1:34">
      <c r="A633" s="149" t="str">
        <f>HYPERLINK("http://www.ofsted.gov.uk/inspection-reports/find-inspection-report/provider/ELS/139426 ","Ofsted School Webpage")</f>
        <v>Ofsted School Webpage</v>
      </c>
      <c r="B633">
        <v>139426</v>
      </c>
      <c r="C633">
        <v>8886058</v>
      </c>
      <c r="D633" t="s">
        <v>2207</v>
      </c>
      <c r="E633" t="s">
        <v>37</v>
      </c>
      <c r="F633" t="s">
        <v>184</v>
      </c>
      <c r="G633" t="s">
        <v>184</v>
      </c>
      <c r="H633" t="s">
        <v>2729</v>
      </c>
      <c r="I633" t="s">
        <v>2730</v>
      </c>
      <c r="J633" t="s">
        <v>186</v>
      </c>
      <c r="K633" t="s">
        <v>205</v>
      </c>
      <c r="L633" t="s">
        <v>205</v>
      </c>
      <c r="M633" t="s">
        <v>206</v>
      </c>
      <c r="N633" t="s">
        <v>2208</v>
      </c>
      <c r="O633">
        <v>10026018</v>
      </c>
      <c r="P633" s="120">
        <v>42759</v>
      </c>
      <c r="Q633" s="120">
        <v>42761</v>
      </c>
      <c r="R633" s="120">
        <v>42783</v>
      </c>
      <c r="S633" t="s">
        <v>196</v>
      </c>
      <c r="T633">
        <v>2</v>
      </c>
      <c r="U633" t="s">
        <v>128</v>
      </c>
      <c r="V633">
        <v>2</v>
      </c>
      <c r="W633">
        <v>2</v>
      </c>
      <c r="X633">
        <v>2</v>
      </c>
      <c r="Y633">
        <v>2</v>
      </c>
      <c r="Z633" t="s">
        <v>2730</v>
      </c>
      <c r="AA633" t="s">
        <v>2730</v>
      </c>
      <c r="AB633" t="s">
        <v>2732</v>
      </c>
      <c r="AC633" t="s">
        <v>2730</v>
      </c>
      <c r="AD633" t="s">
        <v>2730</v>
      </c>
      <c r="AE633" t="s">
        <v>2730</v>
      </c>
      <c r="AF633" t="s">
        <v>2730</v>
      </c>
      <c r="AG633" t="s">
        <v>2730</v>
      </c>
      <c r="AH633" t="s">
        <v>2730</v>
      </c>
    </row>
    <row r="634" spans="1:34">
      <c r="A634" s="149" t="str">
        <f>HYPERLINK("http://www.ofsted.gov.uk/inspection-reports/find-inspection-report/provider/ELS/135511 ","Ofsted School Webpage")</f>
        <v>Ofsted School Webpage</v>
      </c>
      <c r="B634">
        <v>135511</v>
      </c>
      <c r="C634">
        <v>8936107</v>
      </c>
      <c r="D634" t="s">
        <v>1303</v>
      </c>
      <c r="E634" t="s">
        <v>38</v>
      </c>
      <c r="F634" t="s">
        <v>184</v>
      </c>
      <c r="G634" t="s">
        <v>184</v>
      </c>
      <c r="H634" t="s">
        <v>2729</v>
      </c>
      <c r="I634" t="s">
        <v>2730</v>
      </c>
      <c r="J634" t="s">
        <v>186</v>
      </c>
      <c r="K634" t="s">
        <v>193</v>
      </c>
      <c r="L634" t="s">
        <v>193</v>
      </c>
      <c r="M634" t="s">
        <v>194</v>
      </c>
      <c r="N634" t="s">
        <v>1304</v>
      </c>
      <c r="O634">
        <v>10006045</v>
      </c>
      <c r="P634" s="120">
        <v>42486</v>
      </c>
      <c r="Q634" s="120">
        <v>42488</v>
      </c>
      <c r="R634" s="120">
        <v>42542</v>
      </c>
      <c r="S634" t="s">
        <v>196</v>
      </c>
      <c r="T634">
        <v>1</v>
      </c>
      <c r="U634" t="s">
        <v>128</v>
      </c>
      <c r="V634">
        <v>1</v>
      </c>
      <c r="W634">
        <v>1</v>
      </c>
      <c r="X634">
        <v>1</v>
      </c>
      <c r="Y634">
        <v>1</v>
      </c>
      <c r="Z634" t="s">
        <v>2730</v>
      </c>
      <c r="AA634">
        <v>0</v>
      </c>
      <c r="AB634" t="s">
        <v>2732</v>
      </c>
      <c r="AC634" t="s">
        <v>2730</v>
      </c>
      <c r="AD634" t="s">
        <v>2730</v>
      </c>
      <c r="AE634" t="s">
        <v>2730</v>
      </c>
      <c r="AF634" t="s">
        <v>2730</v>
      </c>
      <c r="AG634" t="s">
        <v>2730</v>
      </c>
      <c r="AH634" t="s">
        <v>2730</v>
      </c>
    </row>
    <row r="635" spans="1:34">
      <c r="A635" s="149" t="str">
        <f>HYPERLINK("http://www.ofsted.gov.uk/inspection-reports/find-inspection-report/provider/ELS/135468 ","Ofsted School Webpage")</f>
        <v>Ofsted School Webpage</v>
      </c>
      <c r="B635">
        <v>135468</v>
      </c>
      <c r="C635">
        <v>8656040</v>
      </c>
      <c r="D635" t="s">
        <v>1305</v>
      </c>
      <c r="E635" t="s">
        <v>38</v>
      </c>
      <c r="F635" t="s">
        <v>184</v>
      </c>
      <c r="G635" t="s">
        <v>184</v>
      </c>
      <c r="H635" t="s">
        <v>2729</v>
      </c>
      <c r="I635" t="s">
        <v>2730</v>
      </c>
      <c r="J635" t="s">
        <v>186</v>
      </c>
      <c r="K635" t="s">
        <v>225</v>
      </c>
      <c r="L635" t="s">
        <v>225</v>
      </c>
      <c r="M635" t="s">
        <v>226</v>
      </c>
      <c r="N635" t="s">
        <v>1306</v>
      </c>
      <c r="O635" t="s">
        <v>1307</v>
      </c>
      <c r="P635" s="120">
        <v>41982</v>
      </c>
      <c r="Q635" s="120">
        <v>41984</v>
      </c>
      <c r="R635" s="120">
        <v>42025</v>
      </c>
      <c r="S635" t="s">
        <v>196</v>
      </c>
      <c r="T635">
        <v>2</v>
      </c>
      <c r="U635" t="s">
        <v>2730</v>
      </c>
      <c r="V635">
        <v>2</v>
      </c>
      <c r="W635" t="s">
        <v>2730</v>
      </c>
      <c r="X635">
        <v>2</v>
      </c>
      <c r="Y635">
        <v>2</v>
      </c>
      <c r="Z635">
        <v>9</v>
      </c>
      <c r="AA635">
        <v>9</v>
      </c>
      <c r="AB635" t="s">
        <v>2730</v>
      </c>
      <c r="AC635" t="s">
        <v>2730</v>
      </c>
      <c r="AD635" t="s">
        <v>2730</v>
      </c>
      <c r="AE635" t="s">
        <v>2730</v>
      </c>
      <c r="AF635" t="s">
        <v>2730</v>
      </c>
      <c r="AG635" t="s">
        <v>2730</v>
      </c>
      <c r="AH635" t="s">
        <v>2730</v>
      </c>
    </row>
    <row r="636" spans="1:34">
      <c r="A636" s="149" t="str">
        <f>HYPERLINK("http://www.ofsted.gov.uk/inspection-reports/find-inspection-report/provider/ELS/116593 ","Ofsted School Webpage")</f>
        <v>Ofsted School Webpage</v>
      </c>
      <c r="B636">
        <v>116593</v>
      </c>
      <c r="C636">
        <v>8356033</v>
      </c>
      <c r="D636" t="s">
        <v>1308</v>
      </c>
      <c r="E636" t="s">
        <v>38</v>
      </c>
      <c r="F636" t="s">
        <v>184</v>
      </c>
      <c r="G636" t="s">
        <v>184</v>
      </c>
      <c r="H636" t="s">
        <v>2729</v>
      </c>
      <c r="I636" t="s">
        <v>2730</v>
      </c>
      <c r="J636" t="s">
        <v>186</v>
      </c>
      <c r="K636" t="s">
        <v>225</v>
      </c>
      <c r="L636" t="s">
        <v>225</v>
      </c>
      <c r="M636" t="s">
        <v>611</v>
      </c>
      <c r="N636" t="s">
        <v>1309</v>
      </c>
      <c r="O636">
        <v>10006038</v>
      </c>
      <c r="P636" s="120">
        <v>42703</v>
      </c>
      <c r="Q636" s="120">
        <v>42705</v>
      </c>
      <c r="R636" s="120">
        <v>42759</v>
      </c>
      <c r="S636" t="s">
        <v>196</v>
      </c>
      <c r="T636">
        <v>4</v>
      </c>
      <c r="U636" t="s">
        <v>129</v>
      </c>
      <c r="V636">
        <v>4</v>
      </c>
      <c r="W636">
        <v>4</v>
      </c>
      <c r="X636">
        <v>3</v>
      </c>
      <c r="Y636">
        <v>3</v>
      </c>
      <c r="Z636" t="s">
        <v>2730</v>
      </c>
      <c r="AA636">
        <v>4</v>
      </c>
      <c r="AB636" t="s">
        <v>2733</v>
      </c>
      <c r="AC636">
        <v>10034721</v>
      </c>
      <c r="AD636" t="s">
        <v>187</v>
      </c>
      <c r="AE636" s="120">
        <v>42929</v>
      </c>
      <c r="AF636" t="s">
        <v>2769</v>
      </c>
      <c r="AG636" s="120">
        <v>42958</v>
      </c>
      <c r="AH636" t="s">
        <v>189</v>
      </c>
    </row>
    <row r="637" spans="1:34">
      <c r="A637" s="149" t="str">
        <f>HYPERLINK("http://www.ofsted.gov.uk/inspection-reports/find-inspection-report/provider/ELS/135834 ","Ofsted School Webpage")</f>
        <v>Ofsted School Webpage</v>
      </c>
      <c r="B637">
        <v>135834</v>
      </c>
      <c r="C637">
        <v>8406010</v>
      </c>
      <c r="D637" t="s">
        <v>1124</v>
      </c>
      <c r="E637" t="s">
        <v>38</v>
      </c>
      <c r="F637" t="s">
        <v>184</v>
      </c>
      <c r="G637" t="s">
        <v>184</v>
      </c>
      <c r="H637" t="s">
        <v>2729</v>
      </c>
      <c r="I637" t="s">
        <v>2730</v>
      </c>
      <c r="J637" t="s">
        <v>186</v>
      </c>
      <c r="K637" t="s">
        <v>245</v>
      </c>
      <c r="L637" t="s">
        <v>277</v>
      </c>
      <c r="M637" t="s">
        <v>1125</v>
      </c>
      <c r="N637" t="s">
        <v>1126</v>
      </c>
      <c r="O637">
        <v>10020940</v>
      </c>
      <c r="P637" s="120">
        <v>42647</v>
      </c>
      <c r="Q637" s="120">
        <v>42649</v>
      </c>
      <c r="R637" s="120">
        <v>42705</v>
      </c>
      <c r="S637" t="s">
        <v>3119</v>
      </c>
      <c r="T637">
        <v>1</v>
      </c>
      <c r="U637" t="s">
        <v>128</v>
      </c>
      <c r="V637">
        <v>1</v>
      </c>
      <c r="W637">
        <v>1</v>
      </c>
      <c r="X637">
        <v>1</v>
      </c>
      <c r="Y637">
        <v>1</v>
      </c>
      <c r="Z637" t="s">
        <v>2730</v>
      </c>
      <c r="AA637" t="s">
        <v>2730</v>
      </c>
      <c r="AB637" t="s">
        <v>2732</v>
      </c>
      <c r="AC637" t="s">
        <v>2730</v>
      </c>
      <c r="AD637" t="s">
        <v>2730</v>
      </c>
      <c r="AE637" t="s">
        <v>2730</v>
      </c>
      <c r="AF637" t="s">
        <v>2730</v>
      </c>
      <c r="AG637" t="s">
        <v>2730</v>
      </c>
      <c r="AH637" t="s">
        <v>2730</v>
      </c>
    </row>
    <row r="638" spans="1:34">
      <c r="A638" s="149" t="str">
        <f>HYPERLINK("http://www.ofsted.gov.uk/inspection-reports/find-inspection-report/provider/ELS/108877 ","Ofsted School Webpage")</f>
        <v>Ofsted School Webpage</v>
      </c>
      <c r="B638">
        <v>108877</v>
      </c>
      <c r="C638">
        <v>3946015</v>
      </c>
      <c r="D638" t="s">
        <v>1310</v>
      </c>
      <c r="E638" t="s">
        <v>38</v>
      </c>
      <c r="F638" t="s">
        <v>184</v>
      </c>
      <c r="G638" t="s">
        <v>184</v>
      </c>
      <c r="H638" t="s">
        <v>2729</v>
      </c>
      <c r="I638" t="s">
        <v>2730</v>
      </c>
      <c r="J638" t="s">
        <v>186</v>
      </c>
      <c r="K638" t="s">
        <v>245</v>
      </c>
      <c r="L638" t="s">
        <v>277</v>
      </c>
      <c r="M638" t="s">
        <v>1311</v>
      </c>
      <c r="N638" t="s">
        <v>1312</v>
      </c>
      <c r="O638">
        <v>10008894</v>
      </c>
      <c r="P638" s="120">
        <v>42346</v>
      </c>
      <c r="Q638" s="120">
        <v>42348</v>
      </c>
      <c r="R638" s="120">
        <v>42390</v>
      </c>
      <c r="S638" t="s">
        <v>196</v>
      </c>
      <c r="T638">
        <v>2</v>
      </c>
      <c r="U638" t="s">
        <v>128</v>
      </c>
      <c r="V638">
        <v>2</v>
      </c>
      <c r="W638">
        <v>2</v>
      </c>
      <c r="X638">
        <v>2</v>
      </c>
      <c r="Y638">
        <v>2</v>
      </c>
      <c r="Z638">
        <v>2</v>
      </c>
      <c r="AA638">
        <v>2</v>
      </c>
      <c r="AB638" t="s">
        <v>2732</v>
      </c>
      <c r="AC638" t="s">
        <v>2730</v>
      </c>
      <c r="AD638" t="s">
        <v>2730</v>
      </c>
      <c r="AE638" s="120" t="s">
        <v>2730</v>
      </c>
      <c r="AF638" t="s">
        <v>2730</v>
      </c>
      <c r="AG638" s="120" t="s">
        <v>2730</v>
      </c>
      <c r="AH638" t="s">
        <v>2730</v>
      </c>
    </row>
    <row r="639" spans="1:34">
      <c r="A639" s="149" t="str">
        <f>HYPERLINK("http://www.ofsted.gov.uk/inspection-reports/find-inspection-report/provider/ELS/129252 ","Ofsted School Webpage")</f>
        <v>Ofsted School Webpage</v>
      </c>
      <c r="B639">
        <v>129252</v>
      </c>
      <c r="C639">
        <v>9086095</v>
      </c>
      <c r="D639" t="s">
        <v>3076</v>
      </c>
      <c r="E639" t="s">
        <v>38</v>
      </c>
      <c r="F639" t="s">
        <v>184</v>
      </c>
      <c r="G639" t="s">
        <v>184</v>
      </c>
      <c r="H639" t="s">
        <v>2729</v>
      </c>
      <c r="I639" t="s">
        <v>2730</v>
      </c>
      <c r="J639" t="s">
        <v>186</v>
      </c>
      <c r="K639" t="s">
        <v>225</v>
      </c>
      <c r="L639" t="s">
        <v>225</v>
      </c>
      <c r="M639" t="s">
        <v>1048</v>
      </c>
      <c r="N639" t="s">
        <v>1313</v>
      </c>
      <c r="O639">
        <v>10012928</v>
      </c>
      <c r="P639" s="120">
        <v>42787</v>
      </c>
      <c r="Q639" s="120">
        <v>42789</v>
      </c>
      <c r="R639" s="120">
        <v>42822</v>
      </c>
      <c r="S639" t="s">
        <v>196</v>
      </c>
      <c r="T639">
        <v>2</v>
      </c>
      <c r="U639" t="s">
        <v>128</v>
      </c>
      <c r="V639">
        <v>2</v>
      </c>
      <c r="W639">
        <v>1</v>
      </c>
      <c r="X639">
        <v>2</v>
      </c>
      <c r="Y639">
        <v>2</v>
      </c>
      <c r="Z639" t="s">
        <v>2730</v>
      </c>
      <c r="AA639">
        <v>2</v>
      </c>
      <c r="AB639" t="s">
        <v>2732</v>
      </c>
      <c r="AC639" t="s">
        <v>2730</v>
      </c>
      <c r="AD639" t="s">
        <v>2730</v>
      </c>
      <c r="AE639" t="s">
        <v>2730</v>
      </c>
      <c r="AF639" t="s">
        <v>2730</v>
      </c>
      <c r="AG639" t="s">
        <v>2730</v>
      </c>
      <c r="AH639" t="s">
        <v>2730</v>
      </c>
    </row>
    <row r="640" spans="1:34">
      <c r="A640" s="149" t="str">
        <f>HYPERLINK("http://www.ofsted.gov.uk/inspection-reports/find-inspection-report/provider/ELS/136228 ","Ofsted School Webpage")</f>
        <v>Ofsted School Webpage</v>
      </c>
      <c r="B640">
        <v>136228</v>
      </c>
      <c r="C640">
        <v>3056081</v>
      </c>
      <c r="D640" t="s">
        <v>1314</v>
      </c>
      <c r="E640" t="s">
        <v>38</v>
      </c>
      <c r="F640" t="s">
        <v>184</v>
      </c>
      <c r="G640" t="s">
        <v>184</v>
      </c>
      <c r="H640" t="s">
        <v>2729</v>
      </c>
      <c r="I640" t="s">
        <v>2730</v>
      </c>
      <c r="J640" t="s">
        <v>186</v>
      </c>
      <c r="K640" t="s">
        <v>232</v>
      </c>
      <c r="L640" t="s">
        <v>232</v>
      </c>
      <c r="M640" t="s">
        <v>587</v>
      </c>
      <c r="N640" t="s">
        <v>1315</v>
      </c>
      <c r="O640" t="s">
        <v>1316</v>
      </c>
      <c r="P640" s="120">
        <v>41933</v>
      </c>
      <c r="Q640" s="120">
        <v>41934</v>
      </c>
      <c r="R640" s="120">
        <v>42039</v>
      </c>
      <c r="S640" t="s">
        <v>196</v>
      </c>
      <c r="T640">
        <v>2</v>
      </c>
      <c r="U640" t="s">
        <v>2730</v>
      </c>
      <c r="V640">
        <v>2</v>
      </c>
      <c r="W640" t="s">
        <v>2730</v>
      </c>
      <c r="X640">
        <v>2</v>
      </c>
      <c r="Y640">
        <v>2</v>
      </c>
      <c r="Z640">
        <v>9</v>
      </c>
      <c r="AA640">
        <v>9</v>
      </c>
      <c r="AB640" t="s">
        <v>2730</v>
      </c>
      <c r="AC640" t="s">
        <v>2730</v>
      </c>
      <c r="AD640" t="s">
        <v>2730</v>
      </c>
      <c r="AE640" t="s">
        <v>2730</v>
      </c>
      <c r="AF640" t="s">
        <v>2730</v>
      </c>
      <c r="AG640" t="s">
        <v>2730</v>
      </c>
      <c r="AH640" t="s">
        <v>2730</v>
      </c>
    </row>
    <row r="641" spans="1:34">
      <c r="A641" s="149" t="str">
        <f>HYPERLINK("http://www.ofsted.gov.uk/inspection-reports/find-inspection-report/provider/ELS/141603 ","Ofsted School Webpage")</f>
        <v>Ofsted School Webpage</v>
      </c>
      <c r="B641">
        <v>141603</v>
      </c>
      <c r="C641">
        <v>3806011</v>
      </c>
      <c r="D641" t="s">
        <v>1317</v>
      </c>
      <c r="E641" t="s">
        <v>38</v>
      </c>
      <c r="F641" t="s">
        <v>184</v>
      </c>
      <c r="G641" t="s">
        <v>184</v>
      </c>
      <c r="H641" t="s">
        <v>2729</v>
      </c>
      <c r="I641" t="s">
        <v>2730</v>
      </c>
      <c r="J641" t="s">
        <v>186</v>
      </c>
      <c r="K641" t="s">
        <v>245</v>
      </c>
      <c r="L641" t="s">
        <v>246</v>
      </c>
      <c r="M641" t="s">
        <v>339</v>
      </c>
      <c r="N641" t="s">
        <v>1318</v>
      </c>
      <c r="O641">
        <v>10006310</v>
      </c>
      <c r="P641" s="120">
        <v>42549</v>
      </c>
      <c r="Q641" s="120">
        <v>42551</v>
      </c>
      <c r="R641" s="120">
        <v>42625</v>
      </c>
      <c r="S641" t="s">
        <v>249</v>
      </c>
      <c r="T641">
        <v>3</v>
      </c>
      <c r="U641" t="s">
        <v>128</v>
      </c>
      <c r="V641">
        <v>3</v>
      </c>
      <c r="W641">
        <v>2</v>
      </c>
      <c r="X641">
        <v>2</v>
      </c>
      <c r="Y641">
        <v>3</v>
      </c>
      <c r="Z641" t="s">
        <v>2730</v>
      </c>
      <c r="AA641" t="s">
        <v>2730</v>
      </c>
      <c r="AB641" t="s">
        <v>2733</v>
      </c>
      <c r="AC641" t="s">
        <v>2730</v>
      </c>
      <c r="AD641" t="s">
        <v>2730</v>
      </c>
      <c r="AE641" t="s">
        <v>2730</v>
      </c>
      <c r="AF641" t="s">
        <v>2730</v>
      </c>
      <c r="AG641" t="s">
        <v>2730</v>
      </c>
      <c r="AH641" t="s">
        <v>2730</v>
      </c>
    </row>
    <row r="642" spans="1:34">
      <c r="A642" s="149" t="str">
        <f>HYPERLINK("http://www.ofsted.gov.uk/inspection-reports/find-inspection-report/provider/ELS/136092 ","Ofsted School Webpage")</f>
        <v>Ofsted School Webpage</v>
      </c>
      <c r="B642">
        <v>136092</v>
      </c>
      <c r="C642">
        <v>2036040</v>
      </c>
      <c r="D642" t="s">
        <v>481</v>
      </c>
      <c r="E642" t="s">
        <v>38</v>
      </c>
      <c r="F642" t="s">
        <v>184</v>
      </c>
      <c r="G642" t="s">
        <v>184</v>
      </c>
      <c r="H642" t="s">
        <v>2729</v>
      </c>
      <c r="I642" t="s">
        <v>2730</v>
      </c>
      <c r="J642" t="s">
        <v>186</v>
      </c>
      <c r="K642" t="s">
        <v>232</v>
      </c>
      <c r="L642" t="s">
        <v>232</v>
      </c>
      <c r="M642" t="s">
        <v>482</v>
      </c>
      <c r="N642" t="s">
        <v>483</v>
      </c>
      <c r="O642">
        <v>10035808</v>
      </c>
      <c r="P642" s="120">
        <v>43025</v>
      </c>
      <c r="Q642" s="120">
        <v>43027</v>
      </c>
      <c r="R642" s="120">
        <v>43063</v>
      </c>
      <c r="S642" t="s">
        <v>196</v>
      </c>
      <c r="T642">
        <v>2</v>
      </c>
      <c r="U642" t="s">
        <v>128</v>
      </c>
      <c r="V642">
        <v>2</v>
      </c>
      <c r="W642">
        <v>2</v>
      </c>
      <c r="X642">
        <v>2</v>
      </c>
      <c r="Y642">
        <v>2</v>
      </c>
      <c r="Z642" t="s">
        <v>2730</v>
      </c>
      <c r="AA642" t="s">
        <v>2730</v>
      </c>
      <c r="AB642" t="s">
        <v>2732</v>
      </c>
      <c r="AC642" t="s">
        <v>2730</v>
      </c>
      <c r="AD642" t="s">
        <v>2730</v>
      </c>
      <c r="AE642" t="s">
        <v>2730</v>
      </c>
      <c r="AF642" t="s">
        <v>2730</v>
      </c>
      <c r="AG642" t="s">
        <v>2730</v>
      </c>
      <c r="AH642" t="s">
        <v>2730</v>
      </c>
    </row>
    <row r="643" spans="1:34">
      <c r="A643" s="149" t="str">
        <f>HYPERLINK("http://www.ofsted.gov.uk/inspection-reports/find-inspection-report/provider/ELS/115425 ","Ofsted School Webpage")</f>
        <v>Ofsted School Webpage</v>
      </c>
      <c r="B643">
        <v>115425</v>
      </c>
      <c r="C643">
        <v>8816031</v>
      </c>
      <c r="D643" t="s">
        <v>1918</v>
      </c>
      <c r="E643" t="s">
        <v>38</v>
      </c>
      <c r="F643" t="s">
        <v>184</v>
      </c>
      <c r="G643" t="s">
        <v>184</v>
      </c>
      <c r="H643" t="s">
        <v>2729</v>
      </c>
      <c r="I643" t="s">
        <v>2730</v>
      </c>
      <c r="J643" t="s">
        <v>186</v>
      </c>
      <c r="K643" t="s">
        <v>220</v>
      </c>
      <c r="L643" t="s">
        <v>220</v>
      </c>
      <c r="M643" t="s">
        <v>323</v>
      </c>
      <c r="N643" t="s">
        <v>1919</v>
      </c>
      <c r="O643">
        <v>10006009</v>
      </c>
      <c r="P643" s="120">
        <v>42543</v>
      </c>
      <c r="Q643" s="120">
        <v>42545</v>
      </c>
      <c r="R643" s="120">
        <v>42570</v>
      </c>
      <c r="S643" t="s">
        <v>196</v>
      </c>
      <c r="T643">
        <v>2</v>
      </c>
      <c r="U643" t="s">
        <v>128</v>
      </c>
      <c r="V643">
        <v>2</v>
      </c>
      <c r="W643">
        <v>2</v>
      </c>
      <c r="X643">
        <v>2</v>
      </c>
      <c r="Y643">
        <v>2</v>
      </c>
      <c r="Z643" t="s">
        <v>2730</v>
      </c>
      <c r="AA643" t="s">
        <v>2730</v>
      </c>
      <c r="AB643" t="s">
        <v>2732</v>
      </c>
      <c r="AC643" t="s">
        <v>2730</v>
      </c>
      <c r="AD643" t="s">
        <v>2730</v>
      </c>
      <c r="AE643" t="s">
        <v>2730</v>
      </c>
      <c r="AF643" t="s">
        <v>2730</v>
      </c>
      <c r="AG643" t="s">
        <v>2730</v>
      </c>
      <c r="AH643" t="s">
        <v>2730</v>
      </c>
    </row>
    <row r="644" spans="1:34">
      <c r="A644" s="149" t="str">
        <f>HYPERLINK("http://www.ofsted.gov.uk/inspection-reports/find-inspection-report/provider/ELS/140486 ","Ofsted School Webpage")</f>
        <v>Ofsted School Webpage</v>
      </c>
      <c r="B644">
        <v>140486</v>
      </c>
      <c r="C644">
        <v>3516003</v>
      </c>
      <c r="D644" t="s">
        <v>1920</v>
      </c>
      <c r="E644" t="s">
        <v>38</v>
      </c>
      <c r="F644" t="s">
        <v>184</v>
      </c>
      <c r="G644" t="s">
        <v>184</v>
      </c>
      <c r="H644" t="s">
        <v>2729</v>
      </c>
      <c r="I644" t="s">
        <v>2730</v>
      </c>
      <c r="J644" t="s">
        <v>186</v>
      </c>
      <c r="K644" t="s">
        <v>205</v>
      </c>
      <c r="L644" t="s">
        <v>205</v>
      </c>
      <c r="M644" t="s">
        <v>453</v>
      </c>
      <c r="N644" t="s">
        <v>1921</v>
      </c>
      <c r="O644">
        <v>10038936</v>
      </c>
      <c r="P644" s="120">
        <v>43053</v>
      </c>
      <c r="Q644" s="120">
        <v>43055</v>
      </c>
      <c r="R644" s="120">
        <v>43077</v>
      </c>
      <c r="S644" t="s">
        <v>196</v>
      </c>
      <c r="T644">
        <v>2</v>
      </c>
      <c r="U644" t="s">
        <v>128</v>
      </c>
      <c r="V644">
        <v>2</v>
      </c>
      <c r="W644">
        <v>2</v>
      </c>
      <c r="X644">
        <v>2</v>
      </c>
      <c r="Y644">
        <v>2</v>
      </c>
      <c r="Z644" t="s">
        <v>2730</v>
      </c>
      <c r="AA644" t="s">
        <v>2730</v>
      </c>
      <c r="AB644" t="s">
        <v>2732</v>
      </c>
      <c r="AC644" t="s">
        <v>2730</v>
      </c>
      <c r="AD644" t="s">
        <v>2730</v>
      </c>
      <c r="AE644" t="s">
        <v>2730</v>
      </c>
      <c r="AF644" t="s">
        <v>2730</v>
      </c>
      <c r="AG644" t="s">
        <v>2730</v>
      </c>
      <c r="AH644" t="s">
        <v>2730</v>
      </c>
    </row>
    <row r="645" spans="1:34">
      <c r="A645" s="149" t="str">
        <f>HYPERLINK("http://www.ofsted.gov.uk/inspection-reports/find-inspection-report/provider/ELS/139734 ","Ofsted School Webpage")</f>
        <v>Ofsted School Webpage</v>
      </c>
      <c r="B645">
        <v>139734</v>
      </c>
      <c r="C645">
        <v>8556032</v>
      </c>
      <c r="D645" t="s">
        <v>379</v>
      </c>
      <c r="E645" t="s">
        <v>38</v>
      </c>
      <c r="F645" t="s">
        <v>184</v>
      </c>
      <c r="G645" t="s">
        <v>184</v>
      </c>
      <c r="H645" t="s">
        <v>2729</v>
      </c>
      <c r="I645" t="s">
        <v>2730</v>
      </c>
      <c r="J645" t="s">
        <v>186</v>
      </c>
      <c r="K645" t="s">
        <v>214</v>
      </c>
      <c r="L645" t="s">
        <v>214</v>
      </c>
      <c r="M645" t="s">
        <v>281</v>
      </c>
      <c r="N645" t="s">
        <v>380</v>
      </c>
      <c r="O645">
        <v>10026054</v>
      </c>
      <c r="P645" s="120">
        <v>42990</v>
      </c>
      <c r="Q645" s="120">
        <v>42992</v>
      </c>
      <c r="R645" s="120">
        <v>43026</v>
      </c>
      <c r="S645" t="s">
        <v>196</v>
      </c>
      <c r="T645">
        <v>1</v>
      </c>
      <c r="U645" t="s">
        <v>128</v>
      </c>
      <c r="V645">
        <v>1</v>
      </c>
      <c r="W645">
        <v>1</v>
      </c>
      <c r="X645">
        <v>1</v>
      </c>
      <c r="Y645">
        <v>1</v>
      </c>
      <c r="Z645" t="s">
        <v>2730</v>
      </c>
      <c r="AA645" t="s">
        <v>2730</v>
      </c>
      <c r="AB645" t="s">
        <v>2732</v>
      </c>
      <c r="AC645" t="s">
        <v>2730</v>
      </c>
      <c r="AD645" t="s">
        <v>2730</v>
      </c>
      <c r="AE645" s="120" t="s">
        <v>2730</v>
      </c>
      <c r="AF645" t="s">
        <v>2730</v>
      </c>
      <c r="AG645" s="120" t="s">
        <v>2730</v>
      </c>
      <c r="AH645" t="s">
        <v>2730</v>
      </c>
    </row>
    <row r="646" spans="1:34">
      <c r="A646" s="149" t="str">
        <f>HYPERLINK("http://www.ofsted.gov.uk/inspection-reports/find-inspection-report/provider/ELS/135390 ","Ofsted School Webpage")</f>
        <v>Ofsted School Webpage</v>
      </c>
      <c r="B646">
        <v>135390</v>
      </c>
      <c r="C646">
        <v>8566020</v>
      </c>
      <c r="D646" t="s">
        <v>1640</v>
      </c>
      <c r="E646" t="s">
        <v>37</v>
      </c>
      <c r="F646" t="s">
        <v>184</v>
      </c>
      <c r="G646" t="s">
        <v>223</v>
      </c>
      <c r="H646" t="s">
        <v>2729</v>
      </c>
      <c r="I646" t="s">
        <v>2730</v>
      </c>
      <c r="J646" t="s">
        <v>186</v>
      </c>
      <c r="K646" t="s">
        <v>214</v>
      </c>
      <c r="L646" t="s">
        <v>214</v>
      </c>
      <c r="M646" t="s">
        <v>330</v>
      </c>
      <c r="N646" t="s">
        <v>1641</v>
      </c>
      <c r="O646">
        <v>10007686</v>
      </c>
      <c r="P646" s="120">
        <v>42402</v>
      </c>
      <c r="Q646" s="120">
        <v>42404</v>
      </c>
      <c r="R646" s="120">
        <v>42431</v>
      </c>
      <c r="S646" t="s">
        <v>196</v>
      </c>
      <c r="T646">
        <v>2</v>
      </c>
      <c r="U646" t="s">
        <v>128</v>
      </c>
      <c r="V646">
        <v>2</v>
      </c>
      <c r="W646">
        <v>1</v>
      </c>
      <c r="X646">
        <v>2</v>
      </c>
      <c r="Y646">
        <v>2</v>
      </c>
      <c r="Z646" t="s">
        <v>2730</v>
      </c>
      <c r="AA646" t="s">
        <v>2730</v>
      </c>
      <c r="AB646" t="s">
        <v>2732</v>
      </c>
      <c r="AC646" t="s">
        <v>2730</v>
      </c>
      <c r="AD646" t="s">
        <v>2730</v>
      </c>
      <c r="AE646" t="s">
        <v>2730</v>
      </c>
      <c r="AF646" t="s">
        <v>2730</v>
      </c>
      <c r="AG646" t="s">
        <v>2730</v>
      </c>
      <c r="AH646" t="s">
        <v>2730</v>
      </c>
    </row>
    <row r="647" spans="1:34">
      <c r="A647" s="149" t="str">
        <f>HYPERLINK("http://www.ofsted.gov.uk/inspection-reports/find-inspection-report/provider/ELS/134585 ","Ofsted School Webpage")</f>
        <v>Ofsted School Webpage</v>
      </c>
      <c r="B647">
        <v>134585</v>
      </c>
      <c r="C647">
        <v>3066096</v>
      </c>
      <c r="D647" t="s">
        <v>1642</v>
      </c>
      <c r="E647" t="s">
        <v>37</v>
      </c>
      <c r="F647" t="s">
        <v>184</v>
      </c>
      <c r="G647" t="s">
        <v>223</v>
      </c>
      <c r="H647" t="s">
        <v>2729</v>
      </c>
      <c r="I647" t="s">
        <v>2730</v>
      </c>
      <c r="J647" t="s">
        <v>186</v>
      </c>
      <c r="K647" t="s">
        <v>232</v>
      </c>
      <c r="L647" t="s">
        <v>232</v>
      </c>
      <c r="M647" t="s">
        <v>723</v>
      </c>
      <c r="N647" t="s">
        <v>1643</v>
      </c>
      <c r="O647">
        <v>10007698</v>
      </c>
      <c r="P647" s="120">
        <v>42277</v>
      </c>
      <c r="Q647" s="120">
        <v>42278</v>
      </c>
      <c r="R647" s="120">
        <v>42331</v>
      </c>
      <c r="S647" t="s">
        <v>196</v>
      </c>
      <c r="T647">
        <v>2</v>
      </c>
      <c r="U647" t="s">
        <v>128</v>
      </c>
      <c r="V647">
        <v>2</v>
      </c>
      <c r="W647">
        <v>1</v>
      </c>
      <c r="X647">
        <v>2</v>
      </c>
      <c r="Y647">
        <v>2</v>
      </c>
      <c r="Z647">
        <v>2</v>
      </c>
      <c r="AA647" t="s">
        <v>2730</v>
      </c>
      <c r="AB647" t="s">
        <v>2732</v>
      </c>
      <c r="AC647" t="s">
        <v>2730</v>
      </c>
      <c r="AD647" t="s">
        <v>2730</v>
      </c>
      <c r="AE647" s="120" t="s">
        <v>2730</v>
      </c>
      <c r="AF647" t="s">
        <v>2730</v>
      </c>
      <c r="AG647" s="120" t="s">
        <v>2730</v>
      </c>
      <c r="AH647" t="s">
        <v>2730</v>
      </c>
    </row>
    <row r="648" spans="1:34">
      <c r="A648" s="149" t="str">
        <f>HYPERLINK("http://www.ofsted.gov.uk/inspection-reports/find-inspection-report/provider/ELS/131122 ","Ofsted School Webpage")</f>
        <v>Ofsted School Webpage</v>
      </c>
      <c r="B648">
        <v>131122</v>
      </c>
      <c r="C648">
        <v>3736028</v>
      </c>
      <c r="D648" t="s">
        <v>1874</v>
      </c>
      <c r="E648" t="s">
        <v>37</v>
      </c>
      <c r="F648" t="s">
        <v>223</v>
      </c>
      <c r="G648" t="s">
        <v>304</v>
      </c>
      <c r="H648" t="s">
        <v>2729</v>
      </c>
      <c r="I648" t="s">
        <v>2730</v>
      </c>
      <c r="J648" t="s">
        <v>186</v>
      </c>
      <c r="K648" t="s">
        <v>245</v>
      </c>
      <c r="L648" t="s">
        <v>246</v>
      </c>
      <c r="M648" t="s">
        <v>664</v>
      </c>
      <c r="N648" t="s">
        <v>1875</v>
      </c>
      <c r="O648">
        <v>10033916</v>
      </c>
      <c r="P648" s="120">
        <v>42913</v>
      </c>
      <c r="Q648" s="120">
        <v>42915</v>
      </c>
      <c r="R648" s="120">
        <v>42940</v>
      </c>
      <c r="S648" t="s">
        <v>196</v>
      </c>
      <c r="T648">
        <v>3</v>
      </c>
      <c r="U648" t="s">
        <v>128</v>
      </c>
      <c r="V648">
        <v>3</v>
      </c>
      <c r="W648">
        <v>3</v>
      </c>
      <c r="X648">
        <v>3</v>
      </c>
      <c r="Y648">
        <v>3</v>
      </c>
      <c r="Z648" t="s">
        <v>2730</v>
      </c>
      <c r="AA648" t="s">
        <v>2730</v>
      </c>
      <c r="AB648" t="s">
        <v>2733</v>
      </c>
      <c r="AC648" t="s">
        <v>2730</v>
      </c>
      <c r="AD648" t="s">
        <v>2730</v>
      </c>
      <c r="AE648" t="s">
        <v>2730</v>
      </c>
      <c r="AF648" t="s">
        <v>2730</v>
      </c>
      <c r="AG648" t="s">
        <v>2730</v>
      </c>
      <c r="AH648" t="s">
        <v>2730</v>
      </c>
    </row>
    <row r="649" spans="1:34">
      <c r="A649" s="149" t="str">
        <f>HYPERLINK("http://www.ofsted.gov.uk/inspection-reports/find-inspection-report/provider/ELS/141316 ","Ofsted School Webpage")</f>
        <v>Ofsted School Webpage</v>
      </c>
      <c r="B649">
        <v>141316</v>
      </c>
      <c r="C649">
        <v>3806010</v>
      </c>
      <c r="D649" t="s">
        <v>338</v>
      </c>
      <c r="E649" t="s">
        <v>37</v>
      </c>
      <c r="F649" t="s">
        <v>184</v>
      </c>
      <c r="G649" t="s">
        <v>223</v>
      </c>
      <c r="H649" t="s">
        <v>2729</v>
      </c>
      <c r="I649" t="s">
        <v>2730</v>
      </c>
      <c r="J649" t="s">
        <v>186</v>
      </c>
      <c r="K649" t="s">
        <v>245</v>
      </c>
      <c r="L649" t="s">
        <v>246</v>
      </c>
      <c r="M649" t="s">
        <v>339</v>
      </c>
      <c r="N649" t="s">
        <v>340</v>
      </c>
      <c r="O649">
        <v>10040147</v>
      </c>
      <c r="P649" s="120">
        <v>42997</v>
      </c>
      <c r="Q649" s="120">
        <v>42999</v>
      </c>
      <c r="R649" s="120">
        <v>43024</v>
      </c>
      <c r="S649" t="s">
        <v>196</v>
      </c>
      <c r="T649">
        <v>3</v>
      </c>
      <c r="U649" t="s">
        <v>128</v>
      </c>
      <c r="V649">
        <v>3</v>
      </c>
      <c r="W649">
        <v>2</v>
      </c>
      <c r="X649">
        <v>3</v>
      </c>
      <c r="Y649">
        <v>3</v>
      </c>
      <c r="Z649" t="s">
        <v>2730</v>
      </c>
      <c r="AA649" t="s">
        <v>2730</v>
      </c>
      <c r="AB649" t="s">
        <v>2733</v>
      </c>
      <c r="AC649" t="s">
        <v>2730</v>
      </c>
      <c r="AD649" t="s">
        <v>2730</v>
      </c>
      <c r="AE649" s="120" t="s">
        <v>2730</v>
      </c>
      <c r="AF649" t="s">
        <v>2730</v>
      </c>
      <c r="AG649" s="120" t="s">
        <v>2730</v>
      </c>
      <c r="AH649" t="s">
        <v>2730</v>
      </c>
    </row>
    <row r="650" spans="1:34">
      <c r="A650" s="149" t="str">
        <f>HYPERLINK("http://www.ofsted.gov.uk/inspection-reports/find-inspection-report/provider/ELS/131026 ","Ofsted School Webpage")</f>
        <v>Ofsted School Webpage</v>
      </c>
      <c r="B650">
        <v>131026</v>
      </c>
      <c r="C650">
        <v>3026104</v>
      </c>
      <c r="D650" t="s">
        <v>397</v>
      </c>
      <c r="E650" t="s">
        <v>37</v>
      </c>
      <c r="F650" t="s">
        <v>184</v>
      </c>
      <c r="G650" t="s">
        <v>318</v>
      </c>
      <c r="H650" t="s">
        <v>2729</v>
      </c>
      <c r="I650" t="s">
        <v>2730</v>
      </c>
      <c r="J650" t="s">
        <v>186</v>
      </c>
      <c r="K650" t="s">
        <v>232</v>
      </c>
      <c r="L650" t="s">
        <v>232</v>
      </c>
      <c r="M650" t="s">
        <v>311</v>
      </c>
      <c r="N650" t="s">
        <v>398</v>
      </c>
      <c r="O650">
        <v>10008541</v>
      </c>
      <c r="P650" s="120">
        <v>43004</v>
      </c>
      <c r="Q650" s="120">
        <v>43006</v>
      </c>
      <c r="R650" s="120">
        <v>43046</v>
      </c>
      <c r="S650" t="s">
        <v>196</v>
      </c>
      <c r="T650">
        <v>3</v>
      </c>
      <c r="U650" t="s">
        <v>128</v>
      </c>
      <c r="V650">
        <v>3</v>
      </c>
      <c r="W650">
        <v>2</v>
      </c>
      <c r="X650">
        <v>3</v>
      </c>
      <c r="Y650">
        <v>3</v>
      </c>
      <c r="Z650">
        <v>2</v>
      </c>
      <c r="AA650" t="s">
        <v>2730</v>
      </c>
      <c r="AB650" t="s">
        <v>2733</v>
      </c>
      <c r="AC650" t="s">
        <v>2730</v>
      </c>
      <c r="AD650" t="s">
        <v>2730</v>
      </c>
      <c r="AE650" s="120" t="s">
        <v>2730</v>
      </c>
      <c r="AF650" t="s">
        <v>2730</v>
      </c>
      <c r="AG650" s="120" t="s">
        <v>2730</v>
      </c>
      <c r="AH650" t="s">
        <v>2730</v>
      </c>
    </row>
    <row r="651" spans="1:34">
      <c r="A651" s="149" t="str">
        <f>HYPERLINK("http://www.ofsted.gov.uk/inspection-reports/find-inspection-report/provider/ELS/131342 ","Ofsted School Webpage")</f>
        <v>Ofsted School Webpage</v>
      </c>
      <c r="B651">
        <v>131342</v>
      </c>
      <c r="C651">
        <v>2046400</v>
      </c>
      <c r="D651" t="s">
        <v>1280</v>
      </c>
      <c r="E651" t="s">
        <v>37</v>
      </c>
      <c r="F651" t="s">
        <v>184</v>
      </c>
      <c r="G651" t="s">
        <v>318</v>
      </c>
      <c r="H651" t="s">
        <v>2729</v>
      </c>
      <c r="I651" t="s">
        <v>2730</v>
      </c>
      <c r="J651" t="s">
        <v>186</v>
      </c>
      <c r="K651" t="s">
        <v>232</v>
      </c>
      <c r="L651" t="s">
        <v>232</v>
      </c>
      <c r="M651" t="s">
        <v>479</v>
      </c>
      <c r="N651" t="s">
        <v>1281</v>
      </c>
      <c r="O651" t="s">
        <v>1282</v>
      </c>
      <c r="P651" s="120">
        <v>41815</v>
      </c>
      <c r="Q651" s="120">
        <v>41817</v>
      </c>
      <c r="R651" s="120">
        <v>41937</v>
      </c>
      <c r="S651" t="s">
        <v>196</v>
      </c>
      <c r="T651">
        <v>4</v>
      </c>
      <c r="U651" t="s">
        <v>2730</v>
      </c>
      <c r="V651">
        <v>4</v>
      </c>
      <c r="W651" t="s">
        <v>2730</v>
      </c>
      <c r="X651">
        <v>3</v>
      </c>
      <c r="Y651">
        <v>4</v>
      </c>
      <c r="Z651" t="s">
        <v>2730</v>
      </c>
      <c r="AA651" t="s">
        <v>2730</v>
      </c>
      <c r="AB651" t="s">
        <v>2730</v>
      </c>
      <c r="AC651" t="s">
        <v>3013</v>
      </c>
      <c r="AD651" t="s">
        <v>187</v>
      </c>
      <c r="AE651" s="120">
        <v>42080</v>
      </c>
      <c r="AF651" t="s">
        <v>3010</v>
      </c>
      <c r="AG651" s="120">
        <v>42116</v>
      </c>
      <c r="AH651" t="s">
        <v>2773</v>
      </c>
    </row>
    <row r="652" spans="1:34">
      <c r="A652" s="149" t="str">
        <f>HYPERLINK("http://www.ofsted.gov.uk/inspection-reports/find-inspection-report/provider/ELS/136817 ","Ofsted School Webpage")</f>
        <v>Ofsted School Webpage</v>
      </c>
      <c r="B652">
        <v>136817</v>
      </c>
      <c r="C652">
        <v>2046000</v>
      </c>
      <c r="D652" t="s">
        <v>1696</v>
      </c>
      <c r="E652" t="s">
        <v>37</v>
      </c>
      <c r="F652" t="s">
        <v>1697</v>
      </c>
      <c r="G652" t="s">
        <v>318</v>
      </c>
      <c r="H652" t="s">
        <v>2729</v>
      </c>
      <c r="I652" t="s">
        <v>2730</v>
      </c>
      <c r="J652" t="s">
        <v>186</v>
      </c>
      <c r="K652" t="s">
        <v>232</v>
      </c>
      <c r="L652" t="s">
        <v>232</v>
      </c>
      <c r="M652" t="s">
        <v>479</v>
      </c>
      <c r="N652" t="s">
        <v>1698</v>
      </c>
      <c r="O652">
        <v>10012790</v>
      </c>
      <c r="P652" s="120">
        <v>42850</v>
      </c>
      <c r="Q652" s="120">
        <v>42852</v>
      </c>
      <c r="R652" s="120">
        <v>42878</v>
      </c>
      <c r="S652" t="s">
        <v>196</v>
      </c>
      <c r="T652">
        <v>2</v>
      </c>
      <c r="U652" t="s">
        <v>128</v>
      </c>
      <c r="V652">
        <v>2</v>
      </c>
      <c r="W652">
        <v>2</v>
      </c>
      <c r="X652">
        <v>2</v>
      </c>
      <c r="Y652">
        <v>2</v>
      </c>
      <c r="Z652">
        <v>2</v>
      </c>
      <c r="AA652" t="s">
        <v>2730</v>
      </c>
      <c r="AB652" t="s">
        <v>2732</v>
      </c>
      <c r="AC652" t="s">
        <v>2730</v>
      </c>
      <c r="AD652" t="s">
        <v>2730</v>
      </c>
      <c r="AE652" t="s">
        <v>2730</v>
      </c>
      <c r="AF652" t="s">
        <v>2730</v>
      </c>
      <c r="AG652" t="s">
        <v>2730</v>
      </c>
      <c r="AH652" t="s">
        <v>2730</v>
      </c>
    </row>
    <row r="653" spans="1:34">
      <c r="A653" s="149" t="str">
        <f>HYPERLINK("http://www.ofsted.gov.uk/inspection-reports/find-inspection-report/provider/ELS/101484 ","Ofsted School Webpage")</f>
        <v>Ofsted School Webpage</v>
      </c>
      <c r="B653">
        <v>101484</v>
      </c>
      <c r="C653">
        <v>3036060</v>
      </c>
      <c r="D653" t="s">
        <v>1699</v>
      </c>
      <c r="E653" t="s">
        <v>37</v>
      </c>
      <c r="F653" t="s">
        <v>184</v>
      </c>
      <c r="G653" t="s">
        <v>184</v>
      </c>
      <c r="H653" t="s">
        <v>2729</v>
      </c>
      <c r="I653" t="s">
        <v>2730</v>
      </c>
      <c r="J653" t="s">
        <v>186</v>
      </c>
      <c r="K653" t="s">
        <v>232</v>
      </c>
      <c r="L653" t="s">
        <v>232</v>
      </c>
      <c r="M653" t="s">
        <v>1055</v>
      </c>
      <c r="N653" t="s">
        <v>1700</v>
      </c>
      <c r="O653">
        <v>10008542</v>
      </c>
      <c r="P653" s="120">
        <v>43046</v>
      </c>
      <c r="Q653" s="120">
        <v>43048</v>
      </c>
      <c r="R653" s="120">
        <v>43087</v>
      </c>
      <c r="S653" t="s">
        <v>196</v>
      </c>
      <c r="T653">
        <v>2</v>
      </c>
      <c r="U653" t="s">
        <v>128</v>
      </c>
      <c r="V653">
        <v>2</v>
      </c>
      <c r="W653">
        <v>2</v>
      </c>
      <c r="X653">
        <v>2</v>
      </c>
      <c r="Y653">
        <v>2</v>
      </c>
      <c r="Z653">
        <v>2</v>
      </c>
      <c r="AA653" t="s">
        <v>2730</v>
      </c>
      <c r="AB653" t="s">
        <v>2732</v>
      </c>
      <c r="AC653" t="s">
        <v>2730</v>
      </c>
      <c r="AD653" t="s">
        <v>2730</v>
      </c>
      <c r="AE653" t="s">
        <v>2730</v>
      </c>
      <c r="AF653" t="s">
        <v>2730</v>
      </c>
      <c r="AG653" t="s">
        <v>2730</v>
      </c>
      <c r="AH653" t="s">
        <v>2730</v>
      </c>
    </row>
    <row r="654" spans="1:34">
      <c r="A654" s="149" t="str">
        <f>HYPERLINK("http://www.ofsted.gov.uk/inspection-reports/find-inspection-report/provider/ELS/114640 ","Ofsted School Webpage")</f>
        <v>Ofsted School Webpage</v>
      </c>
      <c r="B654">
        <v>114640</v>
      </c>
      <c r="C654">
        <v>8456010</v>
      </c>
      <c r="D654" t="s">
        <v>437</v>
      </c>
      <c r="E654" t="s">
        <v>37</v>
      </c>
      <c r="F654" t="s">
        <v>184</v>
      </c>
      <c r="G654" t="s">
        <v>184</v>
      </c>
      <c r="H654" t="s">
        <v>2729</v>
      </c>
      <c r="I654" t="s">
        <v>2730</v>
      </c>
      <c r="J654" t="s">
        <v>186</v>
      </c>
      <c r="K654" t="s">
        <v>181</v>
      </c>
      <c r="L654" t="s">
        <v>181</v>
      </c>
      <c r="M654" t="s">
        <v>438</v>
      </c>
      <c r="N654" t="s">
        <v>439</v>
      </c>
      <c r="O654">
        <v>10017315</v>
      </c>
      <c r="P654" s="120">
        <v>42486</v>
      </c>
      <c r="Q654" s="120">
        <v>42488</v>
      </c>
      <c r="R654" s="120">
        <v>42517</v>
      </c>
      <c r="S654" t="s">
        <v>196</v>
      </c>
      <c r="T654">
        <v>1</v>
      </c>
      <c r="U654" t="s">
        <v>128</v>
      </c>
      <c r="V654">
        <v>1</v>
      </c>
      <c r="W654">
        <v>1</v>
      </c>
      <c r="X654">
        <v>1</v>
      </c>
      <c r="Y654">
        <v>1</v>
      </c>
      <c r="Z654">
        <v>1</v>
      </c>
      <c r="AA654">
        <v>1</v>
      </c>
      <c r="AB654" t="s">
        <v>2732</v>
      </c>
      <c r="AC654" t="s">
        <v>2730</v>
      </c>
      <c r="AD654" t="s">
        <v>2730</v>
      </c>
      <c r="AE654" t="s">
        <v>2730</v>
      </c>
      <c r="AF654" t="s">
        <v>2730</v>
      </c>
      <c r="AG654" t="s">
        <v>2730</v>
      </c>
      <c r="AH654" t="s">
        <v>2730</v>
      </c>
    </row>
    <row r="655" spans="1:34">
      <c r="A655" s="149" t="str">
        <f>HYPERLINK("http://www.ofsted.gov.uk/inspection-reports/find-inspection-report/provider/ELS/100082 ","Ofsted School Webpage")</f>
        <v>Ofsted School Webpage</v>
      </c>
      <c r="B655">
        <v>100082</v>
      </c>
      <c r="C655">
        <v>2026385</v>
      </c>
      <c r="D655" t="s">
        <v>675</v>
      </c>
      <c r="E655" t="s">
        <v>37</v>
      </c>
      <c r="F655" t="s">
        <v>184</v>
      </c>
      <c r="G655" t="s">
        <v>184</v>
      </c>
      <c r="H655" t="s">
        <v>2729</v>
      </c>
      <c r="I655" t="s">
        <v>2730</v>
      </c>
      <c r="J655" t="s">
        <v>186</v>
      </c>
      <c r="K655" t="s">
        <v>232</v>
      </c>
      <c r="L655" t="s">
        <v>232</v>
      </c>
      <c r="M655" t="s">
        <v>536</v>
      </c>
      <c r="N655" t="s">
        <v>676</v>
      </c>
      <c r="O655" t="s">
        <v>677</v>
      </c>
      <c r="P655" s="120">
        <v>42073</v>
      </c>
      <c r="Q655" s="120">
        <v>42075</v>
      </c>
      <c r="R655" s="120">
        <v>42125</v>
      </c>
      <c r="S655" t="s">
        <v>196</v>
      </c>
      <c r="T655">
        <v>2</v>
      </c>
      <c r="U655" t="s">
        <v>2730</v>
      </c>
      <c r="V655">
        <v>2</v>
      </c>
      <c r="W655" t="s">
        <v>2730</v>
      </c>
      <c r="X655">
        <v>2</v>
      </c>
      <c r="Y655">
        <v>1</v>
      </c>
      <c r="Z655">
        <v>9</v>
      </c>
      <c r="AA655">
        <v>9</v>
      </c>
      <c r="AB655" t="s">
        <v>2730</v>
      </c>
      <c r="AC655" t="s">
        <v>2730</v>
      </c>
      <c r="AD655" t="s">
        <v>2730</v>
      </c>
      <c r="AE655" t="s">
        <v>2730</v>
      </c>
      <c r="AF655" t="s">
        <v>2730</v>
      </c>
      <c r="AG655" t="s">
        <v>2730</v>
      </c>
      <c r="AH655" t="s">
        <v>2730</v>
      </c>
    </row>
    <row r="656" spans="1:34">
      <c r="A656" s="149" t="str">
        <f>HYPERLINK("http://www.ofsted.gov.uk/inspection-reports/find-inspection-report/provider/ELS/135366 ","Ofsted School Webpage")</f>
        <v>Ofsted School Webpage</v>
      </c>
      <c r="B656">
        <v>135366</v>
      </c>
      <c r="C656">
        <v>8916031</v>
      </c>
      <c r="D656" t="s">
        <v>1942</v>
      </c>
      <c r="E656" t="s">
        <v>37</v>
      </c>
      <c r="F656" t="s">
        <v>184</v>
      </c>
      <c r="G656" t="s">
        <v>184</v>
      </c>
      <c r="H656" t="s">
        <v>2729</v>
      </c>
      <c r="I656" t="s">
        <v>2730</v>
      </c>
      <c r="J656" t="s">
        <v>186</v>
      </c>
      <c r="K656" t="s">
        <v>214</v>
      </c>
      <c r="L656" t="s">
        <v>214</v>
      </c>
      <c r="M656" t="s">
        <v>320</v>
      </c>
      <c r="N656" t="s">
        <v>3014</v>
      </c>
      <c r="O656">
        <v>10020945</v>
      </c>
      <c r="P656" s="120">
        <v>42808</v>
      </c>
      <c r="Q656" s="120">
        <v>42810</v>
      </c>
      <c r="R656" s="120">
        <v>42852</v>
      </c>
      <c r="S656" t="s">
        <v>196</v>
      </c>
      <c r="T656">
        <v>2</v>
      </c>
      <c r="U656" t="s">
        <v>128</v>
      </c>
      <c r="V656">
        <v>2</v>
      </c>
      <c r="W656">
        <v>1</v>
      </c>
      <c r="X656">
        <v>2</v>
      </c>
      <c r="Y656">
        <v>2</v>
      </c>
      <c r="Z656">
        <v>2</v>
      </c>
      <c r="AA656" t="s">
        <v>2730</v>
      </c>
      <c r="AB656" t="s">
        <v>2732</v>
      </c>
      <c r="AC656" t="s">
        <v>2730</v>
      </c>
      <c r="AD656" t="s">
        <v>2730</v>
      </c>
      <c r="AE656" t="s">
        <v>2730</v>
      </c>
      <c r="AF656" t="s">
        <v>2730</v>
      </c>
      <c r="AG656" t="s">
        <v>2730</v>
      </c>
      <c r="AH656" t="s">
        <v>2730</v>
      </c>
    </row>
    <row r="657" spans="1:34">
      <c r="A657" s="149" t="str">
        <f>HYPERLINK("http://www.ofsted.gov.uk/inspection-reports/find-inspection-report/provider/ELS/126118 ","Ofsted School Webpage")</f>
        <v>Ofsted School Webpage</v>
      </c>
      <c r="B657">
        <v>126118</v>
      </c>
      <c r="C657">
        <v>9386072</v>
      </c>
      <c r="D657" t="s">
        <v>1943</v>
      </c>
      <c r="E657" t="s">
        <v>37</v>
      </c>
      <c r="F657" t="s">
        <v>184</v>
      </c>
      <c r="G657" t="s">
        <v>292</v>
      </c>
      <c r="H657" t="s">
        <v>2729</v>
      </c>
      <c r="I657" t="s">
        <v>2730</v>
      </c>
      <c r="J657" t="s">
        <v>186</v>
      </c>
      <c r="K657" t="s">
        <v>181</v>
      </c>
      <c r="L657" t="s">
        <v>181</v>
      </c>
      <c r="M657" t="s">
        <v>395</v>
      </c>
      <c r="N657" t="s">
        <v>1944</v>
      </c>
      <c r="O657" t="s">
        <v>3077</v>
      </c>
      <c r="P657" s="120">
        <v>41450</v>
      </c>
      <c r="Q657" s="120">
        <v>41452</v>
      </c>
      <c r="R657" s="120">
        <v>41526</v>
      </c>
      <c r="S657" t="s">
        <v>196</v>
      </c>
      <c r="T657">
        <v>2</v>
      </c>
      <c r="U657" t="s">
        <v>2730</v>
      </c>
      <c r="V657">
        <v>2</v>
      </c>
      <c r="W657" t="s">
        <v>2730</v>
      </c>
      <c r="X657">
        <v>2</v>
      </c>
      <c r="Y657">
        <v>2</v>
      </c>
      <c r="Z657" t="s">
        <v>2730</v>
      </c>
      <c r="AA657" t="s">
        <v>2730</v>
      </c>
      <c r="AB657" t="s">
        <v>2730</v>
      </c>
      <c r="AC657" t="s">
        <v>2730</v>
      </c>
      <c r="AD657" t="s">
        <v>2730</v>
      </c>
      <c r="AE657" t="s">
        <v>2730</v>
      </c>
      <c r="AF657" t="s">
        <v>2730</v>
      </c>
      <c r="AG657" t="s">
        <v>2730</v>
      </c>
      <c r="AH657" t="s">
        <v>2730</v>
      </c>
    </row>
    <row r="658" spans="1:34">
      <c r="A658" s="149" t="str">
        <f>HYPERLINK("http://www.ofsted.gov.uk/inspection-reports/find-inspection-report/provider/ELS/123317 ","Ofsted School Webpage")</f>
        <v>Ofsted School Webpage</v>
      </c>
      <c r="B658">
        <v>123317</v>
      </c>
      <c r="C658">
        <v>9316102</v>
      </c>
      <c r="D658" t="s">
        <v>1527</v>
      </c>
      <c r="E658" t="s">
        <v>37</v>
      </c>
      <c r="F658" t="s">
        <v>1528</v>
      </c>
      <c r="G658" t="s">
        <v>212</v>
      </c>
      <c r="H658" t="s">
        <v>2729</v>
      </c>
      <c r="I658" t="s">
        <v>2730</v>
      </c>
      <c r="J658" t="s">
        <v>186</v>
      </c>
      <c r="K658" t="s">
        <v>181</v>
      </c>
      <c r="L658" t="s">
        <v>181</v>
      </c>
      <c r="M658" t="s">
        <v>242</v>
      </c>
      <c r="N658" t="s">
        <v>3078</v>
      </c>
      <c r="O658" t="s">
        <v>3079</v>
      </c>
      <c r="P658" s="120">
        <v>41344</v>
      </c>
      <c r="Q658" s="120">
        <v>41346</v>
      </c>
      <c r="R658" s="120">
        <v>41366</v>
      </c>
      <c r="S658" t="s">
        <v>196</v>
      </c>
      <c r="T658">
        <v>2</v>
      </c>
      <c r="U658" t="s">
        <v>2730</v>
      </c>
      <c r="V658">
        <v>2</v>
      </c>
      <c r="W658" t="s">
        <v>2730</v>
      </c>
      <c r="X658">
        <v>2</v>
      </c>
      <c r="Y658">
        <v>2</v>
      </c>
      <c r="Z658" t="s">
        <v>2730</v>
      </c>
      <c r="AA658" t="s">
        <v>2730</v>
      </c>
      <c r="AB658" t="s">
        <v>2730</v>
      </c>
      <c r="AC658" t="s">
        <v>2730</v>
      </c>
      <c r="AD658" t="s">
        <v>2730</v>
      </c>
      <c r="AE658" t="s">
        <v>2730</v>
      </c>
      <c r="AF658" t="s">
        <v>2730</v>
      </c>
      <c r="AG658" t="s">
        <v>2730</v>
      </c>
      <c r="AH658" t="s">
        <v>2730</v>
      </c>
    </row>
    <row r="659" spans="1:34">
      <c r="A659" s="149" t="str">
        <f>HYPERLINK("http://www.ofsted.gov.uk/inspection-reports/find-inspection-report/provider/ELS/134595 ","Ofsted School Webpage")</f>
        <v>Ofsted School Webpage</v>
      </c>
      <c r="B659">
        <v>134595</v>
      </c>
      <c r="C659">
        <v>8566018</v>
      </c>
      <c r="D659" t="s">
        <v>1527</v>
      </c>
      <c r="E659" t="s">
        <v>37</v>
      </c>
      <c r="F659" t="s">
        <v>184</v>
      </c>
      <c r="G659" t="s">
        <v>212</v>
      </c>
      <c r="H659" t="s">
        <v>2729</v>
      </c>
      <c r="I659" t="s">
        <v>2730</v>
      </c>
      <c r="J659" t="s">
        <v>186</v>
      </c>
      <c r="K659" t="s">
        <v>214</v>
      </c>
      <c r="L659" t="s">
        <v>214</v>
      </c>
      <c r="M659" t="s">
        <v>330</v>
      </c>
      <c r="N659" t="s">
        <v>1529</v>
      </c>
      <c r="O659">
        <v>10007859</v>
      </c>
      <c r="P659" s="120">
        <v>42277</v>
      </c>
      <c r="Q659" s="120">
        <v>42279</v>
      </c>
      <c r="R659" s="120">
        <v>42327</v>
      </c>
      <c r="S659" t="s">
        <v>196</v>
      </c>
      <c r="T659">
        <v>3</v>
      </c>
      <c r="U659" t="s">
        <v>128</v>
      </c>
      <c r="V659">
        <v>3</v>
      </c>
      <c r="W659">
        <v>3</v>
      </c>
      <c r="X659">
        <v>3</v>
      </c>
      <c r="Y659">
        <v>3</v>
      </c>
      <c r="Z659">
        <v>2</v>
      </c>
      <c r="AA659" t="s">
        <v>2730</v>
      </c>
      <c r="AB659" t="s">
        <v>2732</v>
      </c>
      <c r="AC659" t="s">
        <v>2730</v>
      </c>
      <c r="AD659" t="s">
        <v>2730</v>
      </c>
      <c r="AE659" t="s">
        <v>2730</v>
      </c>
      <c r="AF659" t="s">
        <v>2730</v>
      </c>
      <c r="AG659" t="s">
        <v>2730</v>
      </c>
      <c r="AH659" t="s">
        <v>2730</v>
      </c>
    </row>
    <row r="660" spans="1:34">
      <c r="A660" s="149" t="str">
        <f>HYPERLINK("http://www.ofsted.gov.uk/inspection-reports/find-inspection-report/provider/ELS/130323 ","Ofsted School Webpage")</f>
        <v>Ofsted School Webpage</v>
      </c>
      <c r="B660">
        <v>130323</v>
      </c>
      <c r="C660">
        <v>3356009</v>
      </c>
      <c r="D660" t="s">
        <v>1530</v>
      </c>
      <c r="E660" t="s">
        <v>37</v>
      </c>
      <c r="F660" t="s">
        <v>1528</v>
      </c>
      <c r="G660" t="s">
        <v>212</v>
      </c>
      <c r="H660" t="s">
        <v>2729</v>
      </c>
      <c r="I660" t="s">
        <v>2730</v>
      </c>
      <c r="J660" t="s">
        <v>186</v>
      </c>
      <c r="K660" t="s">
        <v>193</v>
      </c>
      <c r="L660" t="s">
        <v>193</v>
      </c>
      <c r="M660" t="s">
        <v>1531</v>
      </c>
      <c r="N660" t="s">
        <v>1532</v>
      </c>
      <c r="O660">
        <v>10012980</v>
      </c>
      <c r="P660" s="120">
        <v>42562</v>
      </c>
      <c r="Q660" s="120">
        <v>42564</v>
      </c>
      <c r="R660" s="120">
        <v>42629</v>
      </c>
      <c r="S660" t="s">
        <v>196</v>
      </c>
      <c r="T660">
        <v>3</v>
      </c>
      <c r="U660" t="s">
        <v>128</v>
      </c>
      <c r="V660">
        <v>3</v>
      </c>
      <c r="W660">
        <v>3</v>
      </c>
      <c r="X660">
        <v>3</v>
      </c>
      <c r="Y660">
        <v>3</v>
      </c>
      <c r="Z660">
        <v>3</v>
      </c>
      <c r="AA660" t="s">
        <v>2730</v>
      </c>
      <c r="AB660" t="s">
        <v>2732</v>
      </c>
      <c r="AC660" t="s">
        <v>2730</v>
      </c>
      <c r="AD660" t="s">
        <v>2730</v>
      </c>
      <c r="AE660" t="s">
        <v>2730</v>
      </c>
      <c r="AF660" t="s">
        <v>2730</v>
      </c>
      <c r="AG660" t="s">
        <v>2730</v>
      </c>
      <c r="AH660" t="s">
        <v>2730</v>
      </c>
    </row>
    <row r="661" spans="1:34">
      <c r="A661" s="149" t="str">
        <f>HYPERLINK("http://www.ofsted.gov.uk/inspection-reports/find-inspection-report/provider/ELS/140225 ","Ofsted School Webpage")</f>
        <v>Ofsted School Webpage</v>
      </c>
      <c r="B661">
        <v>140225</v>
      </c>
      <c r="C661">
        <v>2076007</v>
      </c>
      <c r="D661" t="s">
        <v>2285</v>
      </c>
      <c r="E661" t="s">
        <v>37</v>
      </c>
      <c r="F661" t="s">
        <v>184</v>
      </c>
      <c r="G661" t="s">
        <v>184</v>
      </c>
      <c r="H661" t="s">
        <v>2729</v>
      </c>
      <c r="I661" t="s">
        <v>2730</v>
      </c>
      <c r="J661" t="s">
        <v>186</v>
      </c>
      <c r="K661" t="s">
        <v>232</v>
      </c>
      <c r="L661" t="s">
        <v>232</v>
      </c>
      <c r="M661" t="s">
        <v>294</v>
      </c>
      <c r="N661" t="s">
        <v>1630</v>
      </c>
      <c r="O661" t="s">
        <v>2286</v>
      </c>
      <c r="P661" s="120">
        <v>41794</v>
      </c>
      <c r="Q661" s="120">
        <v>41796</v>
      </c>
      <c r="R661" s="120">
        <v>41815</v>
      </c>
      <c r="S661" t="s">
        <v>249</v>
      </c>
      <c r="T661">
        <v>3</v>
      </c>
      <c r="U661" t="s">
        <v>2730</v>
      </c>
      <c r="V661">
        <v>3</v>
      </c>
      <c r="W661" t="s">
        <v>2730</v>
      </c>
      <c r="X661">
        <v>2</v>
      </c>
      <c r="Y661">
        <v>2</v>
      </c>
      <c r="Z661" t="s">
        <v>2730</v>
      </c>
      <c r="AA661" t="s">
        <v>2730</v>
      </c>
      <c r="AB661" t="s">
        <v>2730</v>
      </c>
      <c r="AC661" t="s">
        <v>2730</v>
      </c>
      <c r="AD661" t="s">
        <v>2730</v>
      </c>
      <c r="AE661" t="s">
        <v>2730</v>
      </c>
      <c r="AF661" t="s">
        <v>2730</v>
      </c>
      <c r="AG661" t="s">
        <v>2730</v>
      </c>
      <c r="AH661" t="s">
        <v>2730</v>
      </c>
    </row>
    <row r="662" spans="1:34">
      <c r="A662" s="149" t="str">
        <f>HYPERLINK("http://www.ofsted.gov.uk/inspection-reports/find-inspection-report/provider/ELS/118962 ","Ofsted School Webpage")</f>
        <v>Ofsted School Webpage</v>
      </c>
      <c r="B662">
        <v>118962</v>
      </c>
      <c r="C662">
        <v>8866022</v>
      </c>
      <c r="D662" t="s">
        <v>2343</v>
      </c>
      <c r="E662" t="s">
        <v>37</v>
      </c>
      <c r="F662" t="s">
        <v>184</v>
      </c>
      <c r="G662" t="s">
        <v>184</v>
      </c>
      <c r="H662" t="s">
        <v>2729</v>
      </c>
      <c r="I662" t="s">
        <v>2730</v>
      </c>
      <c r="J662" t="s">
        <v>186</v>
      </c>
      <c r="K662" t="s">
        <v>181</v>
      </c>
      <c r="L662" t="s">
        <v>181</v>
      </c>
      <c r="M662" t="s">
        <v>182</v>
      </c>
      <c r="N662" t="s">
        <v>2344</v>
      </c>
      <c r="O662">
        <v>10041265</v>
      </c>
      <c r="P662" s="120">
        <v>43060</v>
      </c>
      <c r="Q662" s="120">
        <v>43062</v>
      </c>
      <c r="R662" s="120">
        <v>43081</v>
      </c>
      <c r="S662" t="s">
        <v>196</v>
      </c>
      <c r="T662">
        <v>2</v>
      </c>
      <c r="U662" t="s">
        <v>128</v>
      </c>
      <c r="V662">
        <v>2</v>
      </c>
      <c r="W662">
        <v>2</v>
      </c>
      <c r="X662">
        <v>2</v>
      </c>
      <c r="Y662">
        <v>2</v>
      </c>
      <c r="Z662">
        <v>2</v>
      </c>
      <c r="AA662" t="s">
        <v>2730</v>
      </c>
      <c r="AB662" t="s">
        <v>2732</v>
      </c>
      <c r="AC662" t="s">
        <v>2730</v>
      </c>
      <c r="AD662" t="s">
        <v>2730</v>
      </c>
      <c r="AE662" t="s">
        <v>2730</v>
      </c>
      <c r="AF662" t="s">
        <v>2730</v>
      </c>
      <c r="AG662" t="s">
        <v>2730</v>
      </c>
      <c r="AH662" t="s">
        <v>2730</v>
      </c>
    </row>
    <row r="663" spans="1:34">
      <c r="A663" s="149" t="str">
        <f>HYPERLINK("http://www.ofsted.gov.uk/inspection-reports/find-inspection-report/provider/ELS/138801 ","Ofsted School Webpage")</f>
        <v>Ofsted School Webpage</v>
      </c>
      <c r="B663">
        <v>138801</v>
      </c>
      <c r="C663">
        <v>3166002</v>
      </c>
      <c r="D663" t="s">
        <v>518</v>
      </c>
      <c r="E663" t="s">
        <v>37</v>
      </c>
      <c r="F663" t="s">
        <v>184</v>
      </c>
      <c r="G663" t="s">
        <v>223</v>
      </c>
      <c r="H663" t="s">
        <v>2729</v>
      </c>
      <c r="I663" t="s">
        <v>2730</v>
      </c>
      <c r="J663" t="s">
        <v>186</v>
      </c>
      <c r="K663" t="s">
        <v>232</v>
      </c>
      <c r="L663" t="s">
        <v>232</v>
      </c>
      <c r="M663" t="s">
        <v>505</v>
      </c>
      <c r="N663" t="s">
        <v>519</v>
      </c>
      <c r="O663">
        <v>10012828</v>
      </c>
      <c r="P663" s="120">
        <v>42703</v>
      </c>
      <c r="Q663" s="120">
        <v>42705</v>
      </c>
      <c r="R663" s="120">
        <v>42851</v>
      </c>
      <c r="S663" t="s">
        <v>196</v>
      </c>
      <c r="T663">
        <v>4</v>
      </c>
      <c r="U663" t="s">
        <v>129</v>
      </c>
      <c r="V663">
        <v>4</v>
      </c>
      <c r="W663">
        <v>4</v>
      </c>
      <c r="X663">
        <v>3</v>
      </c>
      <c r="Y663">
        <v>3</v>
      </c>
      <c r="Z663" t="s">
        <v>2730</v>
      </c>
      <c r="AA663" t="s">
        <v>2730</v>
      </c>
      <c r="AB663" t="s">
        <v>2733</v>
      </c>
      <c r="AC663">
        <v>10037571</v>
      </c>
      <c r="AD663" t="s">
        <v>187</v>
      </c>
      <c r="AE663" s="120">
        <v>43010</v>
      </c>
      <c r="AF663" t="s">
        <v>2771</v>
      </c>
      <c r="AG663" s="120">
        <v>43047</v>
      </c>
      <c r="AH663" t="s">
        <v>189</v>
      </c>
    </row>
    <row r="664" spans="1:34">
      <c r="A664" s="149" t="str">
        <f>HYPERLINK("http://www.ofsted.gov.uk/inspection-reports/find-inspection-report/provider/ELS/139415 ","Ofsted School Webpage")</f>
        <v>Ofsted School Webpage</v>
      </c>
      <c r="B664">
        <v>139415</v>
      </c>
      <c r="C664">
        <v>2136001</v>
      </c>
      <c r="D664" t="s">
        <v>2345</v>
      </c>
      <c r="E664" t="s">
        <v>37</v>
      </c>
      <c r="F664" t="s">
        <v>184</v>
      </c>
      <c r="G664" t="s">
        <v>184</v>
      </c>
      <c r="H664" t="s">
        <v>2729</v>
      </c>
      <c r="I664" t="s">
        <v>2730</v>
      </c>
      <c r="J664" t="s">
        <v>186</v>
      </c>
      <c r="K664" t="s">
        <v>232</v>
      </c>
      <c r="L664" t="s">
        <v>232</v>
      </c>
      <c r="M664" t="s">
        <v>679</v>
      </c>
      <c r="N664" t="s">
        <v>2346</v>
      </c>
      <c r="O664">
        <v>10026298</v>
      </c>
      <c r="P664" s="120">
        <v>42829</v>
      </c>
      <c r="Q664" s="120">
        <v>42831</v>
      </c>
      <c r="R664" s="120">
        <v>42865</v>
      </c>
      <c r="S664" t="s">
        <v>196</v>
      </c>
      <c r="T664">
        <v>1</v>
      </c>
      <c r="U664" t="s">
        <v>128</v>
      </c>
      <c r="V664">
        <v>1</v>
      </c>
      <c r="W664">
        <v>1</v>
      </c>
      <c r="X664">
        <v>1</v>
      </c>
      <c r="Y664">
        <v>1</v>
      </c>
      <c r="Z664" t="s">
        <v>2730</v>
      </c>
      <c r="AA664">
        <v>1</v>
      </c>
      <c r="AB664" t="s">
        <v>2732</v>
      </c>
      <c r="AC664" t="s">
        <v>2730</v>
      </c>
      <c r="AD664" t="s">
        <v>2730</v>
      </c>
      <c r="AE664" t="s">
        <v>2730</v>
      </c>
      <c r="AF664" t="s">
        <v>2730</v>
      </c>
      <c r="AG664" t="s">
        <v>2730</v>
      </c>
      <c r="AH664" t="s">
        <v>2730</v>
      </c>
    </row>
    <row r="665" spans="1:34">
      <c r="A665" s="149" t="str">
        <f>HYPERLINK("http://www.ofsted.gov.uk/inspection-reports/find-inspection-report/provider/ELS/141860 ","Ofsted School Webpage")</f>
        <v>Ofsted School Webpage</v>
      </c>
      <c r="B665">
        <v>141860</v>
      </c>
      <c r="C665">
        <v>3846003</v>
      </c>
      <c r="D665" t="s">
        <v>2347</v>
      </c>
      <c r="E665" t="s">
        <v>37</v>
      </c>
      <c r="F665" t="s">
        <v>184</v>
      </c>
      <c r="G665" t="s">
        <v>184</v>
      </c>
      <c r="H665" t="s">
        <v>2729</v>
      </c>
      <c r="I665" t="s">
        <v>2730</v>
      </c>
      <c r="J665" t="s">
        <v>186</v>
      </c>
      <c r="K665" t="s">
        <v>245</v>
      </c>
      <c r="L665" t="s">
        <v>246</v>
      </c>
      <c r="M665" t="s">
        <v>563</v>
      </c>
      <c r="N665" t="s">
        <v>2348</v>
      </c>
      <c r="O665">
        <v>10008622</v>
      </c>
      <c r="P665" s="120">
        <v>42409</v>
      </c>
      <c r="Q665" s="120">
        <v>42411</v>
      </c>
      <c r="R665" s="120">
        <v>42453</v>
      </c>
      <c r="S665" t="s">
        <v>249</v>
      </c>
      <c r="T665">
        <v>2</v>
      </c>
      <c r="U665" t="s">
        <v>128</v>
      </c>
      <c r="V665">
        <v>2</v>
      </c>
      <c r="W665">
        <v>2</v>
      </c>
      <c r="X665">
        <v>2</v>
      </c>
      <c r="Y665">
        <v>2</v>
      </c>
      <c r="Z665" t="s">
        <v>2730</v>
      </c>
      <c r="AA665" t="s">
        <v>2730</v>
      </c>
      <c r="AB665" t="s">
        <v>2732</v>
      </c>
      <c r="AC665" t="s">
        <v>2730</v>
      </c>
      <c r="AD665" t="s">
        <v>2730</v>
      </c>
      <c r="AE665" s="120" t="s">
        <v>2730</v>
      </c>
      <c r="AF665" t="s">
        <v>2730</v>
      </c>
      <c r="AG665" s="120" t="s">
        <v>2730</v>
      </c>
      <c r="AH665" t="s">
        <v>2730</v>
      </c>
    </row>
    <row r="666" spans="1:34">
      <c r="A666" s="149" t="str">
        <f>HYPERLINK("http://www.ofsted.gov.uk/inspection-reports/find-inspection-report/provider/ELS/117660 ","Ofsted School Webpage")</f>
        <v>Ofsted School Webpage</v>
      </c>
      <c r="B666">
        <v>117660</v>
      </c>
      <c r="C666">
        <v>9196234</v>
      </c>
      <c r="D666" t="s">
        <v>2296</v>
      </c>
      <c r="E666" t="s">
        <v>37</v>
      </c>
      <c r="F666" t="s">
        <v>184</v>
      </c>
      <c r="G666" t="s">
        <v>184</v>
      </c>
      <c r="H666" t="s">
        <v>2729</v>
      </c>
      <c r="I666" t="s">
        <v>2730</v>
      </c>
      <c r="J666" t="s">
        <v>186</v>
      </c>
      <c r="K666" t="s">
        <v>220</v>
      </c>
      <c r="L666" t="s">
        <v>220</v>
      </c>
      <c r="M666" t="s">
        <v>822</v>
      </c>
      <c r="N666" t="s">
        <v>2297</v>
      </c>
      <c r="O666">
        <v>10012937</v>
      </c>
      <c r="P666" s="120">
        <v>42710</v>
      </c>
      <c r="Q666" s="120">
        <v>42712</v>
      </c>
      <c r="R666" s="120">
        <v>42760</v>
      </c>
      <c r="S666" t="s">
        <v>196</v>
      </c>
      <c r="T666">
        <v>2</v>
      </c>
      <c r="U666" t="s">
        <v>128</v>
      </c>
      <c r="V666">
        <v>2</v>
      </c>
      <c r="W666">
        <v>2</v>
      </c>
      <c r="X666">
        <v>2</v>
      </c>
      <c r="Y666">
        <v>2</v>
      </c>
      <c r="Z666">
        <v>2</v>
      </c>
      <c r="AA666" t="s">
        <v>2730</v>
      </c>
      <c r="AB666" t="s">
        <v>2732</v>
      </c>
      <c r="AC666" t="s">
        <v>2730</v>
      </c>
      <c r="AD666" t="s">
        <v>2730</v>
      </c>
      <c r="AE666" t="s">
        <v>2730</v>
      </c>
      <c r="AF666" t="s">
        <v>2730</v>
      </c>
      <c r="AG666" t="s">
        <v>2730</v>
      </c>
      <c r="AH666" t="s">
        <v>2730</v>
      </c>
    </row>
    <row r="667" spans="1:34">
      <c r="A667" s="149" t="str">
        <f>HYPERLINK("http://www.ofsted.gov.uk/inspection-reports/find-inspection-report/provider/ELS/100518 ","Ofsted School Webpage")</f>
        <v>Ofsted School Webpage</v>
      </c>
      <c r="B667">
        <v>100518</v>
      </c>
      <c r="C667">
        <v>2076188</v>
      </c>
      <c r="D667" t="s">
        <v>2298</v>
      </c>
      <c r="E667" t="s">
        <v>37</v>
      </c>
      <c r="F667" t="s">
        <v>184</v>
      </c>
      <c r="G667" t="s">
        <v>184</v>
      </c>
      <c r="H667" t="s">
        <v>2729</v>
      </c>
      <c r="I667" t="s">
        <v>2730</v>
      </c>
      <c r="J667" t="s">
        <v>186</v>
      </c>
      <c r="K667" t="s">
        <v>232</v>
      </c>
      <c r="L667" t="s">
        <v>232</v>
      </c>
      <c r="M667" t="s">
        <v>294</v>
      </c>
      <c r="N667" t="s">
        <v>2299</v>
      </c>
      <c r="O667" t="s">
        <v>2300</v>
      </c>
      <c r="P667" s="120">
        <v>41975</v>
      </c>
      <c r="Q667" s="120">
        <v>41977</v>
      </c>
      <c r="R667" s="120">
        <v>42168</v>
      </c>
      <c r="S667" t="s">
        <v>196</v>
      </c>
      <c r="T667">
        <v>4</v>
      </c>
      <c r="U667" t="s">
        <v>2730</v>
      </c>
      <c r="V667">
        <v>4</v>
      </c>
      <c r="W667" t="s">
        <v>2730</v>
      </c>
      <c r="X667">
        <v>4</v>
      </c>
      <c r="Y667">
        <v>4</v>
      </c>
      <c r="Z667">
        <v>4</v>
      </c>
      <c r="AA667">
        <v>9</v>
      </c>
      <c r="AB667" t="s">
        <v>2730</v>
      </c>
      <c r="AC667">
        <v>10017551</v>
      </c>
      <c r="AD667" t="s">
        <v>187</v>
      </c>
      <c r="AE667" s="120">
        <v>42529</v>
      </c>
      <c r="AF667" t="s">
        <v>2772</v>
      </c>
      <c r="AG667" s="120">
        <v>42566</v>
      </c>
      <c r="AH667" t="s">
        <v>2773</v>
      </c>
    </row>
    <row r="668" spans="1:34">
      <c r="A668" s="149" t="str">
        <f>HYPERLINK("http://www.ofsted.gov.uk/inspection-reports/find-inspection-report/provider/ELS/141501 ","Ofsted School Webpage")</f>
        <v>Ofsted School Webpage</v>
      </c>
      <c r="B668">
        <v>141501</v>
      </c>
      <c r="C668">
        <v>3336007</v>
      </c>
      <c r="D668" t="s">
        <v>2301</v>
      </c>
      <c r="E668" t="s">
        <v>38</v>
      </c>
      <c r="F668" t="s">
        <v>691</v>
      </c>
      <c r="G668" t="s">
        <v>212</v>
      </c>
      <c r="H668" t="s">
        <v>2729</v>
      </c>
      <c r="I668" t="s">
        <v>2730</v>
      </c>
      <c r="J668" t="s">
        <v>186</v>
      </c>
      <c r="K668" t="s">
        <v>193</v>
      </c>
      <c r="L668" t="s">
        <v>193</v>
      </c>
      <c r="M668" t="s">
        <v>354</v>
      </c>
      <c r="N668" t="s">
        <v>2302</v>
      </c>
      <c r="O668">
        <v>10006307</v>
      </c>
      <c r="P668" s="120">
        <v>42480</v>
      </c>
      <c r="Q668" s="120">
        <v>42481</v>
      </c>
      <c r="R668" s="120">
        <v>42551</v>
      </c>
      <c r="S668" t="s">
        <v>249</v>
      </c>
      <c r="T668">
        <v>4</v>
      </c>
      <c r="U668" t="s">
        <v>129</v>
      </c>
      <c r="V668">
        <v>4</v>
      </c>
      <c r="W668">
        <v>4</v>
      </c>
      <c r="X668">
        <v>2</v>
      </c>
      <c r="Y668">
        <v>2</v>
      </c>
      <c r="Z668" t="s">
        <v>2730</v>
      </c>
      <c r="AA668" t="s">
        <v>2730</v>
      </c>
      <c r="AB668" t="s">
        <v>2733</v>
      </c>
      <c r="AC668">
        <v>10033635</v>
      </c>
      <c r="AD668" t="s">
        <v>187</v>
      </c>
      <c r="AE668" s="120">
        <v>42802</v>
      </c>
      <c r="AF668" t="s">
        <v>2769</v>
      </c>
      <c r="AG668" s="120">
        <v>42828</v>
      </c>
      <c r="AH668" t="s">
        <v>189</v>
      </c>
    </row>
    <row r="669" spans="1:34">
      <c r="A669" s="149" t="str">
        <f>HYPERLINK("http://www.ofsted.gov.uk/inspection-reports/find-inspection-report/provider/ELS/136043 ","Ofsted School Webpage")</f>
        <v>Ofsted School Webpage</v>
      </c>
      <c r="B669">
        <v>136043</v>
      </c>
      <c r="C669">
        <v>9376107</v>
      </c>
      <c r="D669" t="s">
        <v>2303</v>
      </c>
      <c r="E669" t="s">
        <v>37</v>
      </c>
      <c r="F669" t="s">
        <v>304</v>
      </c>
      <c r="G669" t="s">
        <v>223</v>
      </c>
      <c r="H669" t="s">
        <v>2729</v>
      </c>
      <c r="I669" t="s">
        <v>2730</v>
      </c>
      <c r="J669" t="s">
        <v>186</v>
      </c>
      <c r="K669" t="s">
        <v>193</v>
      </c>
      <c r="L669" t="s">
        <v>193</v>
      </c>
      <c r="M669" t="s">
        <v>377</v>
      </c>
      <c r="N669" t="s">
        <v>2304</v>
      </c>
      <c r="O669" t="s">
        <v>2305</v>
      </c>
      <c r="P669" s="120">
        <v>41716</v>
      </c>
      <c r="Q669" s="120">
        <v>41718</v>
      </c>
      <c r="R669" s="120">
        <v>41738</v>
      </c>
      <c r="S669" t="s">
        <v>196</v>
      </c>
      <c r="T669">
        <v>2</v>
      </c>
      <c r="U669" t="s">
        <v>2730</v>
      </c>
      <c r="V669">
        <v>2</v>
      </c>
      <c r="W669" t="s">
        <v>2730</v>
      </c>
      <c r="X669">
        <v>2</v>
      </c>
      <c r="Y669">
        <v>2</v>
      </c>
      <c r="Z669" t="s">
        <v>2730</v>
      </c>
      <c r="AA669" t="s">
        <v>2730</v>
      </c>
      <c r="AB669" t="s">
        <v>2730</v>
      </c>
      <c r="AC669" t="s">
        <v>2730</v>
      </c>
      <c r="AD669" t="s">
        <v>2730</v>
      </c>
      <c r="AE669" t="s">
        <v>2730</v>
      </c>
      <c r="AF669" t="s">
        <v>2730</v>
      </c>
      <c r="AG669" t="s">
        <v>2730</v>
      </c>
      <c r="AH669" t="s">
        <v>2730</v>
      </c>
    </row>
    <row r="670" spans="1:34">
      <c r="A670" s="149" t="str">
        <f>HYPERLINK("http://www.ofsted.gov.uk/inspection-reports/find-inspection-report/provider/ELS/133447 ","Ofsted School Webpage")</f>
        <v>Ofsted School Webpage</v>
      </c>
      <c r="B670">
        <v>133447</v>
      </c>
      <c r="C670">
        <v>2096361</v>
      </c>
      <c r="D670" t="s">
        <v>1678</v>
      </c>
      <c r="E670" t="s">
        <v>37</v>
      </c>
      <c r="F670" t="s">
        <v>184</v>
      </c>
      <c r="G670" t="s">
        <v>212</v>
      </c>
      <c r="H670" t="s">
        <v>2729</v>
      </c>
      <c r="I670" t="s">
        <v>2730</v>
      </c>
      <c r="J670" t="s">
        <v>186</v>
      </c>
      <c r="K670" t="s">
        <v>232</v>
      </c>
      <c r="L670" t="s">
        <v>232</v>
      </c>
      <c r="M670" t="s">
        <v>529</v>
      </c>
      <c r="N670" t="s">
        <v>1679</v>
      </c>
      <c r="O670" t="s">
        <v>3080</v>
      </c>
      <c r="P670" s="120">
        <v>41695</v>
      </c>
      <c r="Q670" s="120">
        <v>41697</v>
      </c>
      <c r="R670" s="120">
        <v>41717</v>
      </c>
      <c r="S670" t="s">
        <v>196</v>
      </c>
      <c r="T670">
        <v>2</v>
      </c>
      <c r="U670" t="s">
        <v>2730</v>
      </c>
      <c r="V670">
        <v>2</v>
      </c>
      <c r="W670" t="s">
        <v>2730</v>
      </c>
      <c r="X670">
        <v>2</v>
      </c>
      <c r="Y670">
        <v>2</v>
      </c>
      <c r="Z670" t="s">
        <v>2730</v>
      </c>
      <c r="AA670" t="s">
        <v>2730</v>
      </c>
      <c r="AB670" t="s">
        <v>2730</v>
      </c>
      <c r="AC670" t="s">
        <v>2730</v>
      </c>
      <c r="AD670" t="s">
        <v>2730</v>
      </c>
      <c r="AE670" t="s">
        <v>2730</v>
      </c>
      <c r="AF670" t="s">
        <v>2730</v>
      </c>
      <c r="AG670" t="s">
        <v>2730</v>
      </c>
      <c r="AH670" t="s">
        <v>2730</v>
      </c>
    </row>
    <row r="671" spans="1:34">
      <c r="A671" s="149" t="str">
        <f>HYPERLINK("http://www.ofsted.gov.uk/inspection-reports/find-inspection-report/provider/ELS/138384 ","Ofsted School Webpage")</f>
        <v>Ofsted School Webpage</v>
      </c>
      <c r="B671">
        <v>138384</v>
      </c>
      <c r="C671">
        <v>3056009</v>
      </c>
      <c r="D671" t="s">
        <v>1680</v>
      </c>
      <c r="E671" t="s">
        <v>37</v>
      </c>
      <c r="F671" t="s">
        <v>184</v>
      </c>
      <c r="G671" t="s">
        <v>184</v>
      </c>
      <c r="H671" t="s">
        <v>2729</v>
      </c>
      <c r="I671" t="s">
        <v>2730</v>
      </c>
      <c r="J671" t="s">
        <v>186</v>
      </c>
      <c r="K671" t="s">
        <v>232</v>
      </c>
      <c r="L671" t="s">
        <v>232</v>
      </c>
      <c r="M671" t="s">
        <v>587</v>
      </c>
      <c r="N671" t="s">
        <v>1681</v>
      </c>
      <c r="O671" t="s">
        <v>1682</v>
      </c>
      <c r="P671" s="120">
        <v>41583</v>
      </c>
      <c r="Q671" s="120">
        <v>41585</v>
      </c>
      <c r="R671" s="120">
        <v>41605</v>
      </c>
      <c r="S671" t="s">
        <v>249</v>
      </c>
      <c r="T671">
        <v>2</v>
      </c>
      <c r="U671" t="s">
        <v>2730</v>
      </c>
      <c r="V671">
        <v>2</v>
      </c>
      <c r="W671" t="s">
        <v>2730</v>
      </c>
      <c r="X671">
        <v>2</v>
      </c>
      <c r="Y671">
        <v>2</v>
      </c>
      <c r="Z671" t="s">
        <v>2730</v>
      </c>
      <c r="AA671" t="s">
        <v>2730</v>
      </c>
      <c r="AB671" t="s">
        <v>2730</v>
      </c>
      <c r="AC671" t="s">
        <v>2730</v>
      </c>
      <c r="AD671" t="s">
        <v>2730</v>
      </c>
      <c r="AE671" t="s">
        <v>2730</v>
      </c>
      <c r="AF671" t="s">
        <v>2730</v>
      </c>
      <c r="AG671" t="s">
        <v>2730</v>
      </c>
      <c r="AH671" t="s">
        <v>2730</v>
      </c>
    </row>
    <row r="672" spans="1:34">
      <c r="A672" s="149" t="str">
        <f>HYPERLINK("http://www.ofsted.gov.uk/inspection-reports/find-inspection-report/provider/ELS/138602 ","Ofsted School Webpage")</f>
        <v>Ofsted School Webpage</v>
      </c>
      <c r="B672">
        <v>138602</v>
      </c>
      <c r="C672">
        <v>9316010</v>
      </c>
      <c r="D672" t="s">
        <v>1683</v>
      </c>
      <c r="E672" t="s">
        <v>37</v>
      </c>
      <c r="F672" t="s">
        <v>184</v>
      </c>
      <c r="G672" t="s">
        <v>184</v>
      </c>
      <c r="H672" t="s">
        <v>2729</v>
      </c>
      <c r="I672" t="s">
        <v>2730</v>
      </c>
      <c r="J672" t="s">
        <v>186</v>
      </c>
      <c r="K672" t="s">
        <v>181</v>
      </c>
      <c r="L672" t="s">
        <v>181</v>
      </c>
      <c r="M672" t="s">
        <v>242</v>
      </c>
      <c r="N672" t="s">
        <v>1684</v>
      </c>
      <c r="O672">
        <v>10012969</v>
      </c>
      <c r="P672" s="120">
        <v>42500</v>
      </c>
      <c r="Q672" s="120">
        <v>42502</v>
      </c>
      <c r="R672" s="120">
        <v>42534</v>
      </c>
      <c r="S672" t="s">
        <v>196</v>
      </c>
      <c r="T672">
        <v>2</v>
      </c>
      <c r="U672" t="s">
        <v>128</v>
      </c>
      <c r="V672">
        <v>2</v>
      </c>
      <c r="W672">
        <v>2</v>
      </c>
      <c r="X672">
        <v>2</v>
      </c>
      <c r="Y672">
        <v>2</v>
      </c>
      <c r="Z672" t="s">
        <v>2730</v>
      </c>
      <c r="AA672">
        <v>2</v>
      </c>
      <c r="AB672" t="s">
        <v>2732</v>
      </c>
      <c r="AC672" t="s">
        <v>2730</v>
      </c>
      <c r="AD672" t="s">
        <v>2730</v>
      </c>
      <c r="AE672" t="s">
        <v>2730</v>
      </c>
      <c r="AF672" t="s">
        <v>2730</v>
      </c>
      <c r="AG672" t="s">
        <v>2730</v>
      </c>
      <c r="AH672" t="s">
        <v>2730</v>
      </c>
    </row>
    <row r="673" spans="1:34">
      <c r="A673" s="149" t="str">
        <f>HYPERLINK("http://www.ofsted.gov.uk/inspection-reports/find-inspection-report/provider/ELS/104128 ","Ofsted School Webpage")</f>
        <v>Ofsted School Webpage</v>
      </c>
      <c r="B673">
        <v>104128</v>
      </c>
      <c r="C673">
        <v>3346009</v>
      </c>
      <c r="D673" t="s">
        <v>1739</v>
      </c>
      <c r="E673" t="s">
        <v>37</v>
      </c>
      <c r="F673" t="s">
        <v>184</v>
      </c>
      <c r="G673" t="s">
        <v>184</v>
      </c>
      <c r="H673" t="s">
        <v>2729</v>
      </c>
      <c r="I673" t="s">
        <v>2730</v>
      </c>
      <c r="J673" t="s">
        <v>186</v>
      </c>
      <c r="K673" t="s">
        <v>193</v>
      </c>
      <c r="L673" t="s">
        <v>193</v>
      </c>
      <c r="M673" t="s">
        <v>1740</v>
      </c>
      <c r="N673" t="s">
        <v>1741</v>
      </c>
      <c r="O673" t="s">
        <v>1742</v>
      </c>
      <c r="P673" s="120">
        <v>41822</v>
      </c>
      <c r="Q673" s="120">
        <v>41824</v>
      </c>
      <c r="R673" s="120">
        <v>41897</v>
      </c>
      <c r="S673" t="s">
        <v>196</v>
      </c>
      <c r="T673">
        <v>1</v>
      </c>
      <c r="U673" t="s">
        <v>2730</v>
      </c>
      <c r="V673">
        <v>1</v>
      </c>
      <c r="W673" t="s">
        <v>2730</v>
      </c>
      <c r="X673">
        <v>1</v>
      </c>
      <c r="Y673">
        <v>1</v>
      </c>
      <c r="Z673" t="s">
        <v>2730</v>
      </c>
      <c r="AA673" t="s">
        <v>2730</v>
      </c>
      <c r="AB673" t="s">
        <v>2730</v>
      </c>
      <c r="AC673" t="s">
        <v>2730</v>
      </c>
      <c r="AD673" t="s">
        <v>2730</v>
      </c>
      <c r="AE673" t="s">
        <v>2730</v>
      </c>
      <c r="AF673" t="s">
        <v>2730</v>
      </c>
      <c r="AG673" t="s">
        <v>2730</v>
      </c>
      <c r="AH673" t="s">
        <v>2730</v>
      </c>
    </row>
    <row r="674" spans="1:34">
      <c r="A674" s="149" t="str">
        <f>HYPERLINK("http://www.ofsted.gov.uk/inspection-reports/find-inspection-report/provider/ELS/136122 ","Ofsted School Webpage")</f>
        <v>Ofsted School Webpage</v>
      </c>
      <c r="B674">
        <v>136122</v>
      </c>
      <c r="C674">
        <v>8226015</v>
      </c>
      <c r="D674" t="s">
        <v>332</v>
      </c>
      <c r="E674" t="s">
        <v>37</v>
      </c>
      <c r="F674" t="s">
        <v>184</v>
      </c>
      <c r="G674" t="s">
        <v>184</v>
      </c>
      <c r="H674" t="s">
        <v>2729</v>
      </c>
      <c r="I674" t="s">
        <v>2730</v>
      </c>
      <c r="J674" t="s">
        <v>186</v>
      </c>
      <c r="K674" t="s">
        <v>220</v>
      </c>
      <c r="L674" t="s">
        <v>220</v>
      </c>
      <c r="M674" t="s">
        <v>333</v>
      </c>
      <c r="N674" t="s">
        <v>334</v>
      </c>
      <c r="O674">
        <v>10038907</v>
      </c>
      <c r="P674" s="120">
        <v>43004</v>
      </c>
      <c r="Q674" s="120">
        <v>43006</v>
      </c>
      <c r="R674" s="120">
        <v>43046</v>
      </c>
      <c r="S674" t="s">
        <v>196</v>
      </c>
      <c r="T674">
        <v>3</v>
      </c>
      <c r="U674" t="s">
        <v>128</v>
      </c>
      <c r="V674">
        <v>3</v>
      </c>
      <c r="W674">
        <v>2</v>
      </c>
      <c r="X674">
        <v>3</v>
      </c>
      <c r="Y674">
        <v>3</v>
      </c>
      <c r="Z674" t="s">
        <v>2730</v>
      </c>
      <c r="AA674" t="s">
        <v>2730</v>
      </c>
      <c r="AB674" t="s">
        <v>2732</v>
      </c>
      <c r="AC674" t="s">
        <v>2730</v>
      </c>
      <c r="AD674" t="s">
        <v>2730</v>
      </c>
      <c r="AE674" t="s">
        <v>2730</v>
      </c>
      <c r="AF674" t="s">
        <v>2730</v>
      </c>
      <c r="AG674" t="s">
        <v>2730</v>
      </c>
      <c r="AH674" t="s">
        <v>2730</v>
      </c>
    </row>
    <row r="675" spans="1:34">
      <c r="A675" s="149" t="str">
        <f>HYPERLINK("http://www.ofsted.gov.uk/inspection-reports/find-inspection-report/provider/ELS/113623 ","Ofsted School Webpage")</f>
        <v>Ofsted School Webpage</v>
      </c>
      <c r="B675">
        <v>113623</v>
      </c>
      <c r="C675">
        <v>8786045</v>
      </c>
      <c r="D675" t="s">
        <v>1553</v>
      </c>
      <c r="E675" t="s">
        <v>37</v>
      </c>
      <c r="F675" t="s">
        <v>184</v>
      </c>
      <c r="G675" t="s">
        <v>184</v>
      </c>
      <c r="H675" t="s">
        <v>2729</v>
      </c>
      <c r="I675" t="s">
        <v>2730</v>
      </c>
      <c r="J675" t="s">
        <v>186</v>
      </c>
      <c r="K675" t="s">
        <v>225</v>
      </c>
      <c r="L675" t="s">
        <v>225</v>
      </c>
      <c r="M675" t="s">
        <v>367</v>
      </c>
      <c r="N675" t="s">
        <v>1554</v>
      </c>
      <c r="O675" t="s">
        <v>3081</v>
      </c>
      <c r="P675" s="120">
        <v>40583</v>
      </c>
      <c r="Q675" s="120">
        <v>40584</v>
      </c>
      <c r="R675" s="120">
        <v>40635</v>
      </c>
      <c r="S675" t="s">
        <v>196</v>
      </c>
      <c r="T675">
        <v>3</v>
      </c>
      <c r="U675" t="s">
        <v>2730</v>
      </c>
      <c r="V675" t="s">
        <v>2730</v>
      </c>
      <c r="W675" t="s">
        <v>2730</v>
      </c>
      <c r="X675">
        <v>3</v>
      </c>
      <c r="Y675">
        <v>3</v>
      </c>
      <c r="Z675">
        <v>3</v>
      </c>
      <c r="AA675" t="s">
        <v>2730</v>
      </c>
      <c r="AB675" t="s">
        <v>2730</v>
      </c>
      <c r="AC675">
        <v>10022102</v>
      </c>
      <c r="AD675" t="s">
        <v>187</v>
      </c>
      <c r="AE675" s="120">
        <v>42681</v>
      </c>
      <c r="AF675" t="s">
        <v>2769</v>
      </c>
      <c r="AG675" s="120">
        <v>42720</v>
      </c>
      <c r="AH675" t="s">
        <v>189</v>
      </c>
    </row>
    <row r="676" spans="1:34">
      <c r="A676" s="149" t="str">
        <f>HYPERLINK("http://www.ofsted.gov.uk/inspection-reports/find-inspection-report/provider/ELS/136264 ","Ofsted School Webpage")</f>
        <v>Ofsted School Webpage</v>
      </c>
      <c r="B676">
        <v>136264</v>
      </c>
      <c r="C676">
        <v>3526071</v>
      </c>
      <c r="D676" t="s">
        <v>1555</v>
      </c>
      <c r="E676" t="s">
        <v>37</v>
      </c>
      <c r="F676" t="s">
        <v>184</v>
      </c>
      <c r="G676" t="s">
        <v>184</v>
      </c>
      <c r="H676" t="s">
        <v>2729</v>
      </c>
      <c r="I676" t="s">
        <v>2730</v>
      </c>
      <c r="J676" t="s">
        <v>186</v>
      </c>
      <c r="K676" t="s">
        <v>205</v>
      </c>
      <c r="L676" t="s">
        <v>205</v>
      </c>
      <c r="M676" t="s">
        <v>306</v>
      </c>
      <c r="N676" t="s">
        <v>1556</v>
      </c>
      <c r="O676" t="s">
        <v>1557</v>
      </c>
      <c r="P676" s="120">
        <v>42080</v>
      </c>
      <c r="Q676" s="120">
        <v>42082</v>
      </c>
      <c r="R676" s="120">
        <v>42116</v>
      </c>
      <c r="S676" t="s">
        <v>196</v>
      </c>
      <c r="T676">
        <v>2</v>
      </c>
      <c r="U676" t="s">
        <v>2730</v>
      </c>
      <c r="V676">
        <v>2</v>
      </c>
      <c r="W676" t="s">
        <v>2730</v>
      </c>
      <c r="X676">
        <v>2</v>
      </c>
      <c r="Y676">
        <v>2</v>
      </c>
      <c r="Z676">
        <v>9</v>
      </c>
      <c r="AA676">
        <v>9</v>
      </c>
      <c r="AB676" t="s">
        <v>2730</v>
      </c>
      <c r="AC676" t="s">
        <v>2730</v>
      </c>
      <c r="AD676" t="s">
        <v>2730</v>
      </c>
      <c r="AE676" t="s">
        <v>2730</v>
      </c>
      <c r="AF676" t="s">
        <v>2730</v>
      </c>
      <c r="AG676" t="s">
        <v>2730</v>
      </c>
      <c r="AH676" t="s">
        <v>2730</v>
      </c>
    </row>
    <row r="677" spans="1:34">
      <c r="A677" s="149" t="str">
        <f>HYPERLINK("http://www.ofsted.gov.uk/inspection-reports/find-inspection-report/provider/ELS/130318 ","Ofsted School Webpage")</f>
        <v>Ofsted School Webpage</v>
      </c>
      <c r="B677">
        <v>130318</v>
      </c>
      <c r="C677">
        <v>3526040</v>
      </c>
      <c r="D677" t="s">
        <v>1558</v>
      </c>
      <c r="E677" t="s">
        <v>37</v>
      </c>
      <c r="F677" t="s">
        <v>304</v>
      </c>
      <c r="G677" t="s">
        <v>223</v>
      </c>
      <c r="H677" t="s">
        <v>2729</v>
      </c>
      <c r="I677" t="s">
        <v>2730</v>
      </c>
      <c r="J677" t="s">
        <v>186</v>
      </c>
      <c r="K677" t="s">
        <v>205</v>
      </c>
      <c r="L677" t="s">
        <v>205</v>
      </c>
      <c r="M677" t="s">
        <v>306</v>
      </c>
      <c r="N677" t="s">
        <v>1559</v>
      </c>
      <c r="O677">
        <v>10007534</v>
      </c>
      <c r="P677" s="120">
        <v>42276</v>
      </c>
      <c r="Q677" s="120">
        <v>42278</v>
      </c>
      <c r="R677" s="120">
        <v>42318</v>
      </c>
      <c r="S677" t="s">
        <v>196</v>
      </c>
      <c r="T677">
        <v>1</v>
      </c>
      <c r="U677" t="s">
        <v>128</v>
      </c>
      <c r="V677">
        <v>1</v>
      </c>
      <c r="W677">
        <v>1</v>
      </c>
      <c r="X677">
        <v>1</v>
      </c>
      <c r="Y677">
        <v>1</v>
      </c>
      <c r="Z677" t="s">
        <v>2730</v>
      </c>
      <c r="AA677" t="s">
        <v>2730</v>
      </c>
      <c r="AB677" t="s">
        <v>2732</v>
      </c>
      <c r="AC677" t="s">
        <v>2730</v>
      </c>
      <c r="AD677" t="s">
        <v>2730</v>
      </c>
      <c r="AE677" t="s">
        <v>2730</v>
      </c>
      <c r="AF677" t="s">
        <v>2730</v>
      </c>
      <c r="AG677" t="s">
        <v>2730</v>
      </c>
      <c r="AH677" t="s">
        <v>2730</v>
      </c>
    </row>
    <row r="678" spans="1:34">
      <c r="A678" s="149" t="str">
        <f>HYPERLINK("http://www.ofsted.gov.uk/inspection-reports/find-inspection-report/provider/ELS/106003 ","Ofsted School Webpage")</f>
        <v>Ofsted School Webpage</v>
      </c>
      <c r="B678">
        <v>106003</v>
      </c>
      <c r="C678">
        <v>3556027</v>
      </c>
      <c r="D678" t="s">
        <v>2378</v>
      </c>
      <c r="E678" t="s">
        <v>37</v>
      </c>
      <c r="F678" t="s">
        <v>825</v>
      </c>
      <c r="G678" t="s">
        <v>318</v>
      </c>
      <c r="H678" t="s">
        <v>2729</v>
      </c>
      <c r="I678" t="s">
        <v>2730</v>
      </c>
      <c r="J678" t="s">
        <v>186</v>
      </c>
      <c r="K678" t="s">
        <v>205</v>
      </c>
      <c r="L678" t="s">
        <v>205</v>
      </c>
      <c r="M678" t="s">
        <v>853</v>
      </c>
      <c r="N678" t="s">
        <v>2379</v>
      </c>
      <c r="O678">
        <v>10026002</v>
      </c>
      <c r="P678" s="120">
        <v>42773</v>
      </c>
      <c r="Q678" s="120">
        <v>42775</v>
      </c>
      <c r="R678" s="120">
        <v>42930</v>
      </c>
      <c r="S678" t="s">
        <v>196</v>
      </c>
      <c r="T678">
        <v>3</v>
      </c>
      <c r="U678" t="s">
        <v>128</v>
      </c>
      <c r="V678">
        <v>3</v>
      </c>
      <c r="W678">
        <v>3</v>
      </c>
      <c r="X678">
        <v>2</v>
      </c>
      <c r="Y678">
        <v>2</v>
      </c>
      <c r="Z678">
        <v>2</v>
      </c>
      <c r="AA678" t="s">
        <v>2730</v>
      </c>
      <c r="AB678" t="s">
        <v>2733</v>
      </c>
      <c r="AC678" t="s">
        <v>2730</v>
      </c>
      <c r="AD678" t="s">
        <v>2730</v>
      </c>
      <c r="AE678" t="s">
        <v>2730</v>
      </c>
      <c r="AF678" t="s">
        <v>2730</v>
      </c>
      <c r="AG678" t="s">
        <v>2730</v>
      </c>
      <c r="AH678" t="s">
        <v>2730</v>
      </c>
    </row>
    <row r="679" spans="1:34">
      <c r="A679" s="149" t="str">
        <f>HYPERLINK("http://www.ofsted.gov.uk/inspection-reports/find-inspection-report/provider/ELS/136510 ","Ofsted School Webpage")</f>
        <v>Ofsted School Webpage</v>
      </c>
      <c r="B679">
        <v>136510</v>
      </c>
      <c r="C679">
        <v>9376108</v>
      </c>
      <c r="D679" t="s">
        <v>729</v>
      </c>
      <c r="E679" t="s">
        <v>37</v>
      </c>
      <c r="F679" t="s">
        <v>184</v>
      </c>
      <c r="G679" t="s">
        <v>184</v>
      </c>
      <c r="H679" t="s">
        <v>2729</v>
      </c>
      <c r="I679" t="s">
        <v>2730</v>
      </c>
      <c r="J679" t="s">
        <v>186</v>
      </c>
      <c r="K679" t="s">
        <v>193</v>
      </c>
      <c r="L679" t="s">
        <v>193</v>
      </c>
      <c r="M679" t="s">
        <v>377</v>
      </c>
      <c r="N679" t="s">
        <v>730</v>
      </c>
      <c r="O679">
        <v>10006024</v>
      </c>
      <c r="P679" s="120">
        <v>42381</v>
      </c>
      <c r="Q679" s="120">
        <v>42383</v>
      </c>
      <c r="R679" s="120">
        <v>42425</v>
      </c>
      <c r="S679" t="s">
        <v>196</v>
      </c>
      <c r="T679">
        <v>2</v>
      </c>
      <c r="U679" t="s">
        <v>128</v>
      </c>
      <c r="V679">
        <v>2</v>
      </c>
      <c r="W679">
        <v>2</v>
      </c>
      <c r="X679">
        <v>2</v>
      </c>
      <c r="Y679">
        <v>2</v>
      </c>
      <c r="Z679" t="s">
        <v>2730</v>
      </c>
      <c r="AA679">
        <v>2</v>
      </c>
      <c r="AB679" t="s">
        <v>2732</v>
      </c>
      <c r="AC679" t="s">
        <v>2730</v>
      </c>
      <c r="AD679" t="s">
        <v>2730</v>
      </c>
      <c r="AE679" t="s">
        <v>2730</v>
      </c>
      <c r="AF679" t="s">
        <v>2730</v>
      </c>
      <c r="AG679" t="s">
        <v>2730</v>
      </c>
      <c r="AH679" t="s">
        <v>2730</v>
      </c>
    </row>
    <row r="680" spans="1:34">
      <c r="A680" s="149" t="str">
        <f>HYPERLINK("http://www.ofsted.gov.uk/inspection-reports/find-inspection-report/provider/ELS/135090 ","Ofsted School Webpage")</f>
        <v>Ofsted School Webpage</v>
      </c>
      <c r="B680">
        <v>135090</v>
      </c>
      <c r="C680">
        <v>3136081</v>
      </c>
      <c r="D680" t="s">
        <v>731</v>
      </c>
      <c r="E680" t="s">
        <v>37</v>
      </c>
      <c r="F680" t="s">
        <v>184</v>
      </c>
      <c r="G680" t="s">
        <v>184</v>
      </c>
      <c r="H680" t="s">
        <v>2729</v>
      </c>
      <c r="I680" t="s">
        <v>2730</v>
      </c>
      <c r="J680" t="s">
        <v>186</v>
      </c>
      <c r="K680" t="s">
        <v>232</v>
      </c>
      <c r="L680" t="s">
        <v>232</v>
      </c>
      <c r="M680" t="s">
        <v>269</v>
      </c>
      <c r="N680" t="s">
        <v>732</v>
      </c>
      <c r="O680">
        <v>10012837</v>
      </c>
      <c r="P680" s="120">
        <v>42507</v>
      </c>
      <c r="Q680" s="120">
        <v>42509</v>
      </c>
      <c r="R680" s="120">
        <v>42544</v>
      </c>
      <c r="S680" t="s">
        <v>196</v>
      </c>
      <c r="T680">
        <v>2</v>
      </c>
      <c r="U680" t="s">
        <v>128</v>
      </c>
      <c r="V680">
        <v>2</v>
      </c>
      <c r="W680">
        <v>2</v>
      </c>
      <c r="X680">
        <v>2</v>
      </c>
      <c r="Y680">
        <v>2</v>
      </c>
      <c r="Z680" t="s">
        <v>2730</v>
      </c>
      <c r="AA680" t="s">
        <v>2730</v>
      </c>
      <c r="AB680" t="s">
        <v>2732</v>
      </c>
      <c r="AC680" t="s">
        <v>2730</v>
      </c>
      <c r="AD680" t="s">
        <v>2730</v>
      </c>
      <c r="AE680" t="s">
        <v>2730</v>
      </c>
      <c r="AF680" t="s">
        <v>2730</v>
      </c>
      <c r="AG680" t="s">
        <v>2730</v>
      </c>
      <c r="AH680" t="s">
        <v>2730</v>
      </c>
    </row>
    <row r="681" spans="1:34">
      <c r="A681" s="149" t="str">
        <f>HYPERLINK("http://www.ofsted.gov.uk/inspection-reports/find-inspection-report/provider/ELS/137568 ","Ofsted School Webpage")</f>
        <v>Ofsted School Webpage</v>
      </c>
      <c r="B681">
        <v>137568</v>
      </c>
      <c r="C681">
        <v>3736003</v>
      </c>
      <c r="D681" t="s">
        <v>733</v>
      </c>
      <c r="E681" t="s">
        <v>37</v>
      </c>
      <c r="F681" t="s">
        <v>184</v>
      </c>
      <c r="G681" t="s">
        <v>223</v>
      </c>
      <c r="H681" t="s">
        <v>2729</v>
      </c>
      <c r="I681" t="s">
        <v>2730</v>
      </c>
      <c r="J681" t="s">
        <v>186</v>
      </c>
      <c r="K681" t="s">
        <v>245</v>
      </c>
      <c r="L681" t="s">
        <v>246</v>
      </c>
      <c r="M681" t="s">
        <v>664</v>
      </c>
      <c r="N681" t="s">
        <v>734</v>
      </c>
      <c r="O681">
        <v>10012834</v>
      </c>
      <c r="P681" s="120">
        <v>42689</v>
      </c>
      <c r="Q681" s="120">
        <v>42691</v>
      </c>
      <c r="R681" s="120">
        <v>42754</v>
      </c>
      <c r="S681" t="s">
        <v>196</v>
      </c>
      <c r="T681">
        <v>4</v>
      </c>
      <c r="U681" t="s">
        <v>129</v>
      </c>
      <c r="V681">
        <v>4</v>
      </c>
      <c r="W681">
        <v>3</v>
      </c>
      <c r="X681">
        <v>2</v>
      </c>
      <c r="Y681">
        <v>2</v>
      </c>
      <c r="Z681" t="s">
        <v>2730</v>
      </c>
      <c r="AA681" t="s">
        <v>2730</v>
      </c>
      <c r="AB681" t="s">
        <v>2733</v>
      </c>
      <c r="AC681" t="s">
        <v>2730</v>
      </c>
      <c r="AD681" t="s">
        <v>2730</v>
      </c>
      <c r="AE681" t="s">
        <v>2730</v>
      </c>
      <c r="AF681" t="s">
        <v>2730</v>
      </c>
      <c r="AG681" t="s">
        <v>2730</v>
      </c>
      <c r="AH681" t="s">
        <v>2730</v>
      </c>
    </row>
    <row r="682" spans="1:34">
      <c r="A682" s="149" t="str">
        <f>HYPERLINK("http://www.ofsted.gov.uk/inspection-reports/find-inspection-report/provider/ELS/135539 ","Ofsted School Webpage")</f>
        <v>Ofsted School Webpage</v>
      </c>
      <c r="B682">
        <v>135539</v>
      </c>
      <c r="C682">
        <v>8216011</v>
      </c>
      <c r="D682" t="s">
        <v>735</v>
      </c>
      <c r="E682" t="s">
        <v>37</v>
      </c>
      <c r="F682" t="s">
        <v>304</v>
      </c>
      <c r="G682" t="s">
        <v>223</v>
      </c>
      <c r="H682" t="s">
        <v>2729</v>
      </c>
      <c r="I682" t="s">
        <v>2730</v>
      </c>
      <c r="J682" t="s">
        <v>186</v>
      </c>
      <c r="K682" t="s">
        <v>220</v>
      </c>
      <c r="L682" t="s">
        <v>220</v>
      </c>
      <c r="M682" t="s">
        <v>221</v>
      </c>
      <c r="N682" t="s">
        <v>736</v>
      </c>
      <c r="O682">
        <v>10006065</v>
      </c>
      <c r="P682" s="120">
        <v>42486</v>
      </c>
      <c r="Q682" s="120">
        <v>42488</v>
      </c>
      <c r="R682" s="120">
        <v>42510</v>
      </c>
      <c r="S682" t="s">
        <v>196</v>
      </c>
      <c r="T682">
        <v>2</v>
      </c>
      <c r="U682" t="s">
        <v>128</v>
      </c>
      <c r="V682">
        <v>2</v>
      </c>
      <c r="W682">
        <v>1</v>
      </c>
      <c r="X682">
        <v>2</v>
      </c>
      <c r="Y682">
        <v>2</v>
      </c>
      <c r="Z682">
        <v>2</v>
      </c>
      <c r="AA682" t="s">
        <v>2730</v>
      </c>
      <c r="AB682" t="s">
        <v>2732</v>
      </c>
      <c r="AC682" t="s">
        <v>2730</v>
      </c>
      <c r="AD682" t="s">
        <v>2730</v>
      </c>
      <c r="AE682" t="s">
        <v>2730</v>
      </c>
      <c r="AF682" t="s">
        <v>2730</v>
      </c>
      <c r="AG682" t="s">
        <v>2730</v>
      </c>
      <c r="AH682" t="s">
        <v>2730</v>
      </c>
    </row>
    <row r="683" spans="1:34">
      <c r="A683" s="149" t="str">
        <f>HYPERLINK("http://www.ofsted.gov.uk/inspection-reports/find-inspection-report/provider/ELS/103573 ","Ofsted School Webpage")</f>
        <v>Ofsted School Webpage</v>
      </c>
      <c r="B683">
        <v>103573</v>
      </c>
      <c r="C683">
        <v>3306048</v>
      </c>
      <c r="D683" t="s">
        <v>2420</v>
      </c>
      <c r="E683" t="s">
        <v>37</v>
      </c>
      <c r="F683" t="s">
        <v>184</v>
      </c>
      <c r="G683" t="s">
        <v>184</v>
      </c>
      <c r="H683" t="s">
        <v>2729</v>
      </c>
      <c r="I683" t="s">
        <v>2730</v>
      </c>
      <c r="J683" t="s">
        <v>186</v>
      </c>
      <c r="K683" t="s">
        <v>193</v>
      </c>
      <c r="L683" t="s">
        <v>193</v>
      </c>
      <c r="M683" t="s">
        <v>210</v>
      </c>
      <c r="N683" t="s">
        <v>2421</v>
      </c>
      <c r="O683">
        <v>10020734</v>
      </c>
      <c r="P683" s="120">
        <v>43046</v>
      </c>
      <c r="Q683" s="120">
        <v>43048</v>
      </c>
      <c r="R683" s="120">
        <v>43073</v>
      </c>
      <c r="S683" t="s">
        <v>196</v>
      </c>
      <c r="T683">
        <v>2</v>
      </c>
      <c r="U683" t="s">
        <v>128</v>
      </c>
      <c r="V683">
        <v>2</v>
      </c>
      <c r="W683">
        <v>1</v>
      </c>
      <c r="X683">
        <v>2</v>
      </c>
      <c r="Y683">
        <v>2</v>
      </c>
      <c r="Z683">
        <v>2</v>
      </c>
      <c r="AA683" t="s">
        <v>2730</v>
      </c>
      <c r="AB683" t="s">
        <v>2732</v>
      </c>
      <c r="AC683" t="s">
        <v>2730</v>
      </c>
      <c r="AD683" t="s">
        <v>2730</v>
      </c>
      <c r="AE683" t="s">
        <v>2730</v>
      </c>
      <c r="AF683" t="s">
        <v>2730</v>
      </c>
      <c r="AG683" t="s">
        <v>2730</v>
      </c>
      <c r="AH683" t="s">
        <v>2730</v>
      </c>
    </row>
    <row r="684" spans="1:34">
      <c r="A684" s="149" t="str">
        <f>HYPERLINK("http://www.ofsted.gov.uk/inspection-reports/find-inspection-report/provider/ELS/137950 ","Ofsted School Webpage")</f>
        <v>Ofsted School Webpage</v>
      </c>
      <c r="B684">
        <v>137950</v>
      </c>
      <c r="C684">
        <v>8036008</v>
      </c>
      <c r="D684" t="s">
        <v>743</v>
      </c>
      <c r="E684" t="s">
        <v>37</v>
      </c>
      <c r="F684" t="s">
        <v>184</v>
      </c>
      <c r="G684" t="s">
        <v>184</v>
      </c>
      <c r="H684" t="s">
        <v>2729</v>
      </c>
      <c r="I684" t="s">
        <v>2730</v>
      </c>
      <c r="J684" t="s">
        <v>186</v>
      </c>
      <c r="K684" t="s">
        <v>225</v>
      </c>
      <c r="L684" t="s">
        <v>225</v>
      </c>
      <c r="M684" t="s">
        <v>614</v>
      </c>
      <c r="N684" t="s">
        <v>744</v>
      </c>
      <c r="O684">
        <v>10026042</v>
      </c>
      <c r="P684" s="120">
        <v>42858</v>
      </c>
      <c r="Q684" s="120">
        <v>42860</v>
      </c>
      <c r="R684" s="120">
        <v>42908</v>
      </c>
      <c r="S684" t="s">
        <v>267</v>
      </c>
      <c r="T684">
        <v>4</v>
      </c>
      <c r="U684" t="s">
        <v>129</v>
      </c>
      <c r="V684">
        <v>4</v>
      </c>
      <c r="W684">
        <v>3</v>
      </c>
      <c r="X684">
        <v>3</v>
      </c>
      <c r="Y684">
        <v>3</v>
      </c>
      <c r="Z684" t="s">
        <v>2730</v>
      </c>
      <c r="AA684" t="s">
        <v>2730</v>
      </c>
      <c r="AB684" t="s">
        <v>2733</v>
      </c>
      <c r="AC684" t="s">
        <v>2730</v>
      </c>
      <c r="AD684" t="s">
        <v>2730</v>
      </c>
      <c r="AE684" s="120" t="s">
        <v>2730</v>
      </c>
      <c r="AF684" t="s">
        <v>2730</v>
      </c>
      <c r="AG684" s="120" t="s">
        <v>2730</v>
      </c>
      <c r="AH684" t="s">
        <v>2730</v>
      </c>
    </row>
    <row r="685" spans="1:34">
      <c r="A685" s="149" t="str">
        <f>HYPERLINK("http://www.ofsted.gov.uk/inspection-reports/find-inspection-report/provider/ELS/115408 ","Ofsted School Webpage")</f>
        <v>Ofsted School Webpage</v>
      </c>
      <c r="B685">
        <v>115408</v>
      </c>
      <c r="C685">
        <v>8826007</v>
      </c>
      <c r="D685" t="s">
        <v>745</v>
      </c>
      <c r="E685" t="s">
        <v>37</v>
      </c>
      <c r="F685" t="s">
        <v>184</v>
      </c>
      <c r="G685" t="s">
        <v>184</v>
      </c>
      <c r="H685" t="s">
        <v>2729</v>
      </c>
      <c r="I685" t="s">
        <v>2730</v>
      </c>
      <c r="J685" t="s">
        <v>186</v>
      </c>
      <c r="K685" t="s">
        <v>220</v>
      </c>
      <c r="L685" t="s">
        <v>220</v>
      </c>
      <c r="M685" t="s">
        <v>746</v>
      </c>
      <c r="N685" t="s">
        <v>747</v>
      </c>
      <c r="O685">
        <v>10033600</v>
      </c>
      <c r="P685" s="120">
        <v>42928</v>
      </c>
      <c r="Q685" s="120">
        <v>42930</v>
      </c>
      <c r="R685" s="120">
        <v>42996</v>
      </c>
      <c r="S685" t="s">
        <v>196</v>
      </c>
      <c r="T685">
        <v>3</v>
      </c>
      <c r="U685" t="s">
        <v>128</v>
      </c>
      <c r="V685">
        <v>3</v>
      </c>
      <c r="W685">
        <v>1</v>
      </c>
      <c r="X685">
        <v>2</v>
      </c>
      <c r="Y685">
        <v>2</v>
      </c>
      <c r="Z685">
        <v>2</v>
      </c>
      <c r="AA685" t="s">
        <v>2730</v>
      </c>
      <c r="AB685" t="s">
        <v>2733</v>
      </c>
      <c r="AC685" t="s">
        <v>2730</v>
      </c>
      <c r="AD685" t="s">
        <v>2730</v>
      </c>
      <c r="AE685" t="s">
        <v>2730</v>
      </c>
      <c r="AF685" t="s">
        <v>2730</v>
      </c>
      <c r="AG685" t="s">
        <v>2730</v>
      </c>
      <c r="AH685" t="s">
        <v>2730</v>
      </c>
    </row>
    <row r="686" spans="1:34">
      <c r="A686" s="149" t="str">
        <f>HYPERLINK("http://www.ofsted.gov.uk/inspection-reports/find-inspection-report/provider/ELS/132068 ","Ofsted School Webpage")</f>
        <v>Ofsted School Webpage</v>
      </c>
      <c r="B686">
        <v>132068</v>
      </c>
      <c r="C686">
        <v>3046078</v>
      </c>
      <c r="D686" t="s">
        <v>748</v>
      </c>
      <c r="E686" t="s">
        <v>37</v>
      </c>
      <c r="F686" t="s">
        <v>184</v>
      </c>
      <c r="G686" t="s">
        <v>184</v>
      </c>
      <c r="H686" t="s">
        <v>2729</v>
      </c>
      <c r="I686" t="s">
        <v>2730</v>
      </c>
      <c r="J686" t="s">
        <v>186</v>
      </c>
      <c r="K686" t="s">
        <v>232</v>
      </c>
      <c r="L686" t="s">
        <v>232</v>
      </c>
      <c r="M686" t="s">
        <v>749</v>
      </c>
      <c r="N686" t="s">
        <v>750</v>
      </c>
      <c r="O686">
        <v>10020770</v>
      </c>
      <c r="P686" s="120">
        <v>42906</v>
      </c>
      <c r="Q686" s="120">
        <v>42907</v>
      </c>
      <c r="R686" s="120">
        <v>42930</v>
      </c>
      <c r="S686" t="s">
        <v>196</v>
      </c>
      <c r="T686">
        <v>3</v>
      </c>
      <c r="U686" t="s">
        <v>128</v>
      </c>
      <c r="V686">
        <v>3</v>
      </c>
      <c r="W686">
        <v>2</v>
      </c>
      <c r="X686">
        <v>3</v>
      </c>
      <c r="Y686">
        <v>3</v>
      </c>
      <c r="Z686" t="s">
        <v>2730</v>
      </c>
      <c r="AA686" t="s">
        <v>2730</v>
      </c>
      <c r="AB686" t="s">
        <v>2732</v>
      </c>
      <c r="AC686" t="s">
        <v>2730</v>
      </c>
      <c r="AD686" t="s">
        <v>2730</v>
      </c>
      <c r="AE686" t="s">
        <v>2730</v>
      </c>
      <c r="AF686" t="s">
        <v>2730</v>
      </c>
      <c r="AG686" t="s">
        <v>2730</v>
      </c>
      <c r="AH686" t="s">
        <v>2730</v>
      </c>
    </row>
    <row r="687" spans="1:34">
      <c r="A687" s="149" t="str">
        <f>HYPERLINK("http://www.ofsted.gov.uk/inspection-reports/find-inspection-report/provider/ELS/131778 ","Ofsted School Webpage")</f>
        <v>Ofsted School Webpage</v>
      </c>
      <c r="B687">
        <v>131778</v>
      </c>
      <c r="C687">
        <v>2076396</v>
      </c>
      <c r="D687" t="s">
        <v>426</v>
      </c>
      <c r="E687" t="s">
        <v>37</v>
      </c>
      <c r="F687" t="s">
        <v>212</v>
      </c>
      <c r="G687" t="s">
        <v>212</v>
      </c>
      <c r="H687" t="s">
        <v>2729</v>
      </c>
      <c r="I687" t="s">
        <v>2730</v>
      </c>
      <c r="J687" t="s">
        <v>186</v>
      </c>
      <c r="K687" t="s">
        <v>232</v>
      </c>
      <c r="L687" t="s">
        <v>232</v>
      </c>
      <c r="M687" t="s">
        <v>294</v>
      </c>
      <c r="N687" t="s">
        <v>427</v>
      </c>
      <c r="O687">
        <v>10020864</v>
      </c>
      <c r="P687" s="120">
        <v>43025</v>
      </c>
      <c r="Q687" s="120">
        <v>43027</v>
      </c>
      <c r="R687" s="120">
        <v>43067</v>
      </c>
      <c r="S687" t="s">
        <v>196</v>
      </c>
      <c r="T687">
        <v>3</v>
      </c>
      <c r="U687" t="s">
        <v>128</v>
      </c>
      <c r="V687">
        <v>3</v>
      </c>
      <c r="W687">
        <v>2</v>
      </c>
      <c r="X687">
        <v>2</v>
      </c>
      <c r="Y687">
        <v>2</v>
      </c>
      <c r="Z687">
        <v>2</v>
      </c>
      <c r="AA687" t="s">
        <v>2730</v>
      </c>
      <c r="AB687" t="s">
        <v>2733</v>
      </c>
      <c r="AC687" t="s">
        <v>2730</v>
      </c>
      <c r="AD687" t="s">
        <v>2730</v>
      </c>
      <c r="AE687" t="s">
        <v>2730</v>
      </c>
      <c r="AF687" t="s">
        <v>2730</v>
      </c>
      <c r="AG687" t="s">
        <v>2730</v>
      </c>
      <c r="AH687" t="s">
        <v>2730</v>
      </c>
    </row>
    <row r="688" spans="1:34">
      <c r="A688" s="149" t="str">
        <f>HYPERLINK("http://www.ofsted.gov.uk/inspection-reports/find-inspection-report/provider/ELS/100298 ","Ofsted School Webpage")</f>
        <v>Ofsted School Webpage</v>
      </c>
      <c r="B688">
        <v>100298</v>
      </c>
      <c r="C688">
        <v>2046385</v>
      </c>
      <c r="D688" t="s">
        <v>2611</v>
      </c>
      <c r="E688" t="s">
        <v>37</v>
      </c>
      <c r="F688" t="s">
        <v>184</v>
      </c>
      <c r="G688" t="s">
        <v>318</v>
      </c>
      <c r="H688" t="s">
        <v>2729</v>
      </c>
      <c r="I688" t="s">
        <v>2730</v>
      </c>
      <c r="J688" t="s">
        <v>186</v>
      </c>
      <c r="K688" t="s">
        <v>232</v>
      </c>
      <c r="L688" t="s">
        <v>232</v>
      </c>
      <c r="M688" t="s">
        <v>479</v>
      </c>
      <c r="N688" t="s">
        <v>2612</v>
      </c>
      <c r="O688" t="s">
        <v>2613</v>
      </c>
      <c r="P688" s="120">
        <v>42178</v>
      </c>
      <c r="Q688" s="120">
        <v>42180</v>
      </c>
      <c r="R688" s="120">
        <v>42340</v>
      </c>
      <c r="S688" t="s">
        <v>196</v>
      </c>
      <c r="T688">
        <v>4</v>
      </c>
      <c r="U688" t="s">
        <v>2730</v>
      </c>
      <c r="V688">
        <v>4</v>
      </c>
      <c r="W688" t="s">
        <v>2730</v>
      </c>
      <c r="X688">
        <v>4</v>
      </c>
      <c r="Y688">
        <v>4</v>
      </c>
      <c r="Z688">
        <v>4</v>
      </c>
      <c r="AA688">
        <v>9</v>
      </c>
      <c r="AB688" t="s">
        <v>2730</v>
      </c>
      <c r="AC688">
        <v>10021710</v>
      </c>
      <c r="AD688" t="s">
        <v>187</v>
      </c>
      <c r="AE688" s="120">
        <v>42648</v>
      </c>
      <c r="AF688" t="s">
        <v>2769</v>
      </c>
      <c r="AG688" s="120">
        <v>42821</v>
      </c>
      <c r="AH688" t="s">
        <v>217</v>
      </c>
    </row>
    <row r="689" spans="1:34">
      <c r="A689" s="149" t="str">
        <f>HYPERLINK("http://www.ofsted.gov.uk/inspection-reports/find-inspection-report/provider/ELS/100296 ","Ofsted School Webpage")</f>
        <v>Ofsted School Webpage</v>
      </c>
      <c r="B689">
        <v>100296</v>
      </c>
      <c r="C689">
        <v>2046377</v>
      </c>
      <c r="D689" t="s">
        <v>2614</v>
      </c>
      <c r="E689" t="s">
        <v>37</v>
      </c>
      <c r="F689" t="s">
        <v>184</v>
      </c>
      <c r="G689" t="s">
        <v>318</v>
      </c>
      <c r="H689" t="s">
        <v>2729</v>
      </c>
      <c r="I689" t="s">
        <v>2730</v>
      </c>
      <c r="J689" t="s">
        <v>186</v>
      </c>
      <c r="K689" t="s">
        <v>232</v>
      </c>
      <c r="L689" t="s">
        <v>232</v>
      </c>
      <c r="M689" t="s">
        <v>479</v>
      </c>
      <c r="N689" t="s">
        <v>2615</v>
      </c>
      <c r="O689" t="s">
        <v>2616</v>
      </c>
      <c r="P689" s="120">
        <v>41800</v>
      </c>
      <c r="Q689" s="120">
        <v>41802</v>
      </c>
      <c r="R689" s="120">
        <v>41881</v>
      </c>
      <c r="S689" t="s">
        <v>196</v>
      </c>
      <c r="T689">
        <v>4</v>
      </c>
      <c r="U689" t="s">
        <v>2730</v>
      </c>
      <c r="V689">
        <v>4</v>
      </c>
      <c r="W689" t="s">
        <v>2730</v>
      </c>
      <c r="X689">
        <v>4</v>
      </c>
      <c r="Y689">
        <v>4</v>
      </c>
      <c r="Z689" t="s">
        <v>2730</v>
      </c>
      <c r="AA689" t="s">
        <v>2730</v>
      </c>
      <c r="AB689" t="s">
        <v>2730</v>
      </c>
      <c r="AC689">
        <v>10026555</v>
      </c>
      <c r="AD689" t="s">
        <v>187</v>
      </c>
      <c r="AE689" s="120">
        <v>42845</v>
      </c>
      <c r="AF689" t="s">
        <v>2769</v>
      </c>
      <c r="AG689" s="120">
        <v>42898</v>
      </c>
      <c r="AH689" t="s">
        <v>217</v>
      </c>
    </row>
    <row r="690" spans="1:34">
      <c r="A690" s="149" t="str">
        <f>HYPERLINK("http://www.ofsted.gov.uk/inspection-reports/find-inspection-report/provider/ELS/105993 ","Ofsted School Webpage")</f>
        <v>Ofsted School Webpage</v>
      </c>
      <c r="B690">
        <v>105993</v>
      </c>
      <c r="C690">
        <v>3556007</v>
      </c>
      <c r="D690" t="s">
        <v>3082</v>
      </c>
      <c r="E690" t="s">
        <v>37</v>
      </c>
      <c r="F690" t="s">
        <v>184</v>
      </c>
      <c r="G690" t="s">
        <v>318</v>
      </c>
      <c r="H690" t="s">
        <v>2729</v>
      </c>
      <c r="I690" t="s">
        <v>2730</v>
      </c>
      <c r="J690" t="s">
        <v>186</v>
      </c>
      <c r="K690" t="s">
        <v>205</v>
      </c>
      <c r="L690" t="s">
        <v>205</v>
      </c>
      <c r="M690" t="s">
        <v>853</v>
      </c>
      <c r="N690" t="s">
        <v>2155</v>
      </c>
      <c r="O690">
        <v>10020752</v>
      </c>
      <c r="P690" s="120">
        <v>42556</v>
      </c>
      <c r="Q690" s="120">
        <v>42558</v>
      </c>
      <c r="R690" s="120">
        <v>42627</v>
      </c>
      <c r="S690" t="s">
        <v>196</v>
      </c>
      <c r="T690">
        <v>4</v>
      </c>
      <c r="U690" t="s">
        <v>129</v>
      </c>
      <c r="V690">
        <v>4</v>
      </c>
      <c r="W690">
        <v>4</v>
      </c>
      <c r="X690">
        <v>3</v>
      </c>
      <c r="Y690">
        <v>3</v>
      </c>
      <c r="Z690">
        <v>3</v>
      </c>
      <c r="AA690" t="s">
        <v>2730</v>
      </c>
      <c r="AB690" t="s">
        <v>2733</v>
      </c>
      <c r="AC690">
        <v>10033604</v>
      </c>
      <c r="AD690" t="s">
        <v>187</v>
      </c>
      <c r="AE690" s="120">
        <v>42914</v>
      </c>
      <c r="AF690" t="s">
        <v>2769</v>
      </c>
      <c r="AG690" s="120">
        <v>42941</v>
      </c>
      <c r="AH690" t="s">
        <v>217</v>
      </c>
    </row>
    <row r="691" spans="1:34">
      <c r="A691" s="149" t="str">
        <f>HYPERLINK("http://www.ofsted.gov.uk/inspection-reports/find-inspection-report/provider/ELS/100077 ","Ofsted School Webpage")</f>
        <v>Ofsted School Webpage</v>
      </c>
      <c r="B691">
        <v>100077</v>
      </c>
      <c r="C691">
        <v>2026353</v>
      </c>
      <c r="D691" t="s">
        <v>2628</v>
      </c>
      <c r="E691" t="s">
        <v>37</v>
      </c>
      <c r="F691" t="s">
        <v>184</v>
      </c>
      <c r="G691" t="s">
        <v>441</v>
      </c>
      <c r="H691" t="s">
        <v>2729</v>
      </c>
      <c r="I691" t="s">
        <v>2730</v>
      </c>
      <c r="J691" t="s">
        <v>186</v>
      </c>
      <c r="K691" t="s">
        <v>232</v>
      </c>
      <c r="L691" t="s">
        <v>232</v>
      </c>
      <c r="M691" t="s">
        <v>536</v>
      </c>
      <c r="N691" t="s">
        <v>2629</v>
      </c>
      <c r="O691">
        <v>10006054</v>
      </c>
      <c r="P691" s="120">
        <v>42773</v>
      </c>
      <c r="Q691" s="120">
        <v>42775</v>
      </c>
      <c r="R691" s="120">
        <v>42815</v>
      </c>
      <c r="S691" t="s">
        <v>196</v>
      </c>
      <c r="T691">
        <v>1</v>
      </c>
      <c r="U691" t="s">
        <v>128</v>
      </c>
      <c r="V691">
        <v>1</v>
      </c>
      <c r="W691">
        <v>1</v>
      </c>
      <c r="X691">
        <v>1</v>
      </c>
      <c r="Y691">
        <v>1</v>
      </c>
      <c r="Z691">
        <v>1</v>
      </c>
      <c r="AA691" t="s">
        <v>2730</v>
      </c>
      <c r="AB691" t="s">
        <v>2732</v>
      </c>
      <c r="AC691" t="s">
        <v>2730</v>
      </c>
      <c r="AD691" t="s">
        <v>2730</v>
      </c>
      <c r="AE691" s="120" t="s">
        <v>2730</v>
      </c>
      <c r="AF691" t="s">
        <v>2730</v>
      </c>
      <c r="AG691" s="120" t="s">
        <v>2730</v>
      </c>
      <c r="AH691" t="s">
        <v>2730</v>
      </c>
    </row>
    <row r="692" spans="1:34">
      <c r="A692" s="149" t="str">
        <f>HYPERLINK("http://www.ofsted.gov.uk/inspection-reports/find-inspection-report/provider/ELS/134424 ","Ofsted School Webpage")</f>
        <v>Ofsted School Webpage</v>
      </c>
      <c r="B692">
        <v>134424</v>
      </c>
      <c r="C692">
        <v>8726013</v>
      </c>
      <c r="D692" t="s">
        <v>335</v>
      </c>
      <c r="E692" t="s">
        <v>37</v>
      </c>
      <c r="F692" t="s">
        <v>212</v>
      </c>
      <c r="G692" t="s">
        <v>212</v>
      </c>
      <c r="H692" t="s">
        <v>2729</v>
      </c>
      <c r="I692" t="s">
        <v>2730</v>
      </c>
      <c r="J692" t="s">
        <v>186</v>
      </c>
      <c r="K692" t="s">
        <v>181</v>
      </c>
      <c r="L692" t="s">
        <v>181</v>
      </c>
      <c r="M692" t="s">
        <v>336</v>
      </c>
      <c r="N692" t="s">
        <v>337</v>
      </c>
      <c r="O692">
        <v>10033951</v>
      </c>
      <c r="P692" s="120">
        <v>43025</v>
      </c>
      <c r="Q692" s="120">
        <v>43027</v>
      </c>
      <c r="R692" s="120">
        <v>43053</v>
      </c>
      <c r="S692" t="s">
        <v>196</v>
      </c>
      <c r="T692">
        <v>3</v>
      </c>
      <c r="U692" t="s">
        <v>128</v>
      </c>
      <c r="V692">
        <v>3</v>
      </c>
      <c r="W692">
        <v>2</v>
      </c>
      <c r="X692">
        <v>3</v>
      </c>
      <c r="Y692">
        <v>3</v>
      </c>
      <c r="Z692">
        <v>2</v>
      </c>
      <c r="AA692" t="s">
        <v>2730</v>
      </c>
      <c r="AB692" t="s">
        <v>2732</v>
      </c>
      <c r="AC692" t="s">
        <v>2730</v>
      </c>
      <c r="AD692" t="s">
        <v>2730</v>
      </c>
      <c r="AE692" t="s">
        <v>2730</v>
      </c>
      <c r="AF692" t="s">
        <v>2730</v>
      </c>
      <c r="AG692" t="s">
        <v>2730</v>
      </c>
      <c r="AH692" t="s">
        <v>2730</v>
      </c>
    </row>
    <row r="693" spans="1:34">
      <c r="A693" s="149" t="str">
        <f>HYPERLINK("http://www.ofsted.gov.uk/inspection-reports/find-inspection-report/provider/ELS/123615 ","Ofsted School Webpage")</f>
        <v>Ofsted School Webpage</v>
      </c>
      <c r="B693">
        <v>123615</v>
      </c>
      <c r="C693">
        <v>8936013</v>
      </c>
      <c r="D693" t="s">
        <v>2630</v>
      </c>
      <c r="E693" t="s">
        <v>37</v>
      </c>
      <c r="F693" t="s">
        <v>184</v>
      </c>
      <c r="G693" t="s">
        <v>184</v>
      </c>
      <c r="H693" t="s">
        <v>2729</v>
      </c>
      <c r="I693" t="s">
        <v>2730</v>
      </c>
      <c r="J693" t="s">
        <v>186</v>
      </c>
      <c r="K693" t="s">
        <v>193</v>
      </c>
      <c r="L693" t="s">
        <v>193</v>
      </c>
      <c r="M693" t="s">
        <v>194</v>
      </c>
      <c r="N693" t="s">
        <v>2631</v>
      </c>
      <c r="O693">
        <v>10033562</v>
      </c>
      <c r="P693" s="120">
        <v>42871</v>
      </c>
      <c r="Q693" s="120">
        <v>42873</v>
      </c>
      <c r="R693" s="120">
        <v>42906</v>
      </c>
      <c r="S693" t="s">
        <v>196</v>
      </c>
      <c r="T693">
        <v>2</v>
      </c>
      <c r="U693" t="s">
        <v>128</v>
      </c>
      <c r="V693">
        <v>2</v>
      </c>
      <c r="W693">
        <v>1</v>
      </c>
      <c r="X693">
        <v>2</v>
      </c>
      <c r="Y693">
        <v>2</v>
      </c>
      <c r="Z693">
        <v>2</v>
      </c>
      <c r="AA693" t="s">
        <v>2730</v>
      </c>
      <c r="AB693" t="s">
        <v>2732</v>
      </c>
      <c r="AC693" t="s">
        <v>2730</v>
      </c>
      <c r="AD693" t="s">
        <v>2730</v>
      </c>
      <c r="AE693" t="s">
        <v>2730</v>
      </c>
      <c r="AF693" t="s">
        <v>2730</v>
      </c>
      <c r="AG693" t="s">
        <v>2730</v>
      </c>
      <c r="AH693" t="s">
        <v>2730</v>
      </c>
    </row>
    <row r="694" spans="1:34">
      <c r="A694" s="149" t="str">
        <f>HYPERLINK("http://www.ofsted.gov.uk/inspection-reports/find-inspection-report/provider/ELS/135882 ","Ofsted School Webpage")</f>
        <v>Ofsted School Webpage</v>
      </c>
      <c r="B694">
        <v>135882</v>
      </c>
      <c r="C694">
        <v>3306206</v>
      </c>
      <c r="D694" t="s">
        <v>2580</v>
      </c>
      <c r="E694" t="s">
        <v>37</v>
      </c>
      <c r="F694" t="s">
        <v>184</v>
      </c>
      <c r="G694" t="s">
        <v>223</v>
      </c>
      <c r="H694" t="s">
        <v>2729</v>
      </c>
      <c r="I694" t="s">
        <v>2730</v>
      </c>
      <c r="J694" t="s">
        <v>186</v>
      </c>
      <c r="K694" t="s">
        <v>193</v>
      </c>
      <c r="L694" t="s">
        <v>193</v>
      </c>
      <c r="M694" t="s">
        <v>210</v>
      </c>
      <c r="N694" t="s">
        <v>2581</v>
      </c>
      <c r="O694">
        <v>10020835</v>
      </c>
      <c r="P694" s="120">
        <v>42627</v>
      </c>
      <c r="Q694" s="120">
        <v>42629</v>
      </c>
      <c r="R694" s="120">
        <v>42663</v>
      </c>
      <c r="S694" t="s">
        <v>196</v>
      </c>
      <c r="T694">
        <v>3</v>
      </c>
      <c r="U694" t="s">
        <v>128</v>
      </c>
      <c r="V694">
        <v>3</v>
      </c>
      <c r="W694">
        <v>2</v>
      </c>
      <c r="X694">
        <v>3</v>
      </c>
      <c r="Y694">
        <v>3</v>
      </c>
      <c r="Z694">
        <v>3</v>
      </c>
      <c r="AA694" t="s">
        <v>2730</v>
      </c>
      <c r="AB694" t="s">
        <v>2733</v>
      </c>
      <c r="AC694" t="s">
        <v>2730</v>
      </c>
      <c r="AD694" t="s">
        <v>2730</v>
      </c>
      <c r="AE694" t="s">
        <v>2730</v>
      </c>
      <c r="AF694" t="s">
        <v>2730</v>
      </c>
      <c r="AG694" t="s">
        <v>2730</v>
      </c>
      <c r="AH694" t="s">
        <v>2730</v>
      </c>
    </row>
    <row r="695" spans="1:34">
      <c r="A695" s="149" t="str">
        <f>HYPERLINK("http://www.ofsted.gov.uk/inspection-reports/find-inspection-report/provider/ELS/130287 ","Ofsted School Webpage")</f>
        <v>Ofsted School Webpage</v>
      </c>
      <c r="B695">
        <v>130287</v>
      </c>
      <c r="C695">
        <v>3556031</v>
      </c>
      <c r="D695" t="s">
        <v>2637</v>
      </c>
      <c r="E695" t="s">
        <v>37</v>
      </c>
      <c r="F695" t="s">
        <v>184</v>
      </c>
      <c r="G695" t="s">
        <v>318</v>
      </c>
      <c r="H695" t="s">
        <v>2729</v>
      </c>
      <c r="I695" t="s">
        <v>2730</v>
      </c>
      <c r="J695" t="s">
        <v>186</v>
      </c>
      <c r="K695" t="s">
        <v>205</v>
      </c>
      <c r="L695" t="s">
        <v>205</v>
      </c>
      <c r="M695" t="s">
        <v>853</v>
      </c>
      <c r="N695" t="s">
        <v>2638</v>
      </c>
      <c r="O695" t="s">
        <v>2639</v>
      </c>
      <c r="P695" s="120">
        <v>41723</v>
      </c>
      <c r="Q695" s="120">
        <v>41725</v>
      </c>
      <c r="R695" s="120">
        <v>41766</v>
      </c>
      <c r="S695" t="s">
        <v>196</v>
      </c>
      <c r="T695">
        <v>2</v>
      </c>
      <c r="U695" t="s">
        <v>2730</v>
      </c>
      <c r="V695">
        <v>2</v>
      </c>
      <c r="W695" t="s">
        <v>2730</v>
      </c>
      <c r="X695">
        <v>2</v>
      </c>
      <c r="Y695">
        <v>2</v>
      </c>
      <c r="Z695" t="s">
        <v>2730</v>
      </c>
      <c r="AA695" t="s">
        <v>2730</v>
      </c>
      <c r="AB695" t="s">
        <v>2730</v>
      </c>
      <c r="AC695" t="s">
        <v>2730</v>
      </c>
      <c r="AD695" t="s">
        <v>2730</v>
      </c>
      <c r="AE695" t="s">
        <v>2730</v>
      </c>
      <c r="AF695" t="s">
        <v>2730</v>
      </c>
      <c r="AG695" t="s">
        <v>2730</v>
      </c>
      <c r="AH695" t="s">
        <v>2730</v>
      </c>
    </row>
    <row r="696" spans="1:34">
      <c r="A696" s="149" t="str">
        <f>HYPERLINK("http://www.ofsted.gov.uk/inspection-reports/find-inspection-report/provider/ELS/100287 ","Ofsted School Webpage")</f>
        <v>Ofsted School Webpage</v>
      </c>
      <c r="B696">
        <v>100287</v>
      </c>
      <c r="C696">
        <v>2046072</v>
      </c>
      <c r="D696" t="s">
        <v>2640</v>
      </c>
      <c r="E696" t="s">
        <v>37</v>
      </c>
      <c r="F696" t="s">
        <v>184</v>
      </c>
      <c r="G696" t="s">
        <v>318</v>
      </c>
      <c r="H696" t="s">
        <v>2729</v>
      </c>
      <c r="I696" t="s">
        <v>2730</v>
      </c>
      <c r="J696" t="s">
        <v>186</v>
      </c>
      <c r="K696" t="s">
        <v>232</v>
      </c>
      <c r="L696" t="s">
        <v>232</v>
      </c>
      <c r="M696" t="s">
        <v>479</v>
      </c>
      <c r="N696" t="s">
        <v>2641</v>
      </c>
      <c r="O696">
        <v>10030851</v>
      </c>
      <c r="P696" s="120">
        <v>42871</v>
      </c>
      <c r="Q696" s="120">
        <v>42873</v>
      </c>
      <c r="R696" s="120">
        <v>42919</v>
      </c>
      <c r="S696" t="s">
        <v>196</v>
      </c>
      <c r="T696">
        <v>4</v>
      </c>
      <c r="U696" t="s">
        <v>129</v>
      </c>
      <c r="V696">
        <v>4</v>
      </c>
      <c r="W696">
        <v>4</v>
      </c>
      <c r="X696">
        <v>2</v>
      </c>
      <c r="Y696">
        <v>2</v>
      </c>
      <c r="Z696">
        <v>4</v>
      </c>
      <c r="AA696" t="s">
        <v>2730</v>
      </c>
      <c r="AB696" t="s">
        <v>2733</v>
      </c>
      <c r="AC696" t="s">
        <v>2730</v>
      </c>
      <c r="AD696" t="s">
        <v>2730</v>
      </c>
      <c r="AE696" s="120" t="s">
        <v>2730</v>
      </c>
      <c r="AF696" t="s">
        <v>2730</v>
      </c>
      <c r="AG696" s="120" t="s">
        <v>2730</v>
      </c>
      <c r="AH696" t="s">
        <v>2730</v>
      </c>
    </row>
    <row r="697" spans="1:34">
      <c r="A697" s="149" t="str">
        <f>HYPERLINK("http://www.ofsted.gov.uk/inspection-reports/find-inspection-report/provider/ELS/111479 ","Ofsted School Webpage")</f>
        <v>Ofsted School Webpage</v>
      </c>
      <c r="B697">
        <v>111479</v>
      </c>
      <c r="C697">
        <v>8956013</v>
      </c>
      <c r="D697" t="s">
        <v>2591</v>
      </c>
      <c r="E697" t="s">
        <v>37</v>
      </c>
      <c r="F697" t="s">
        <v>184</v>
      </c>
      <c r="G697" t="s">
        <v>212</v>
      </c>
      <c r="H697" t="s">
        <v>2729</v>
      </c>
      <c r="I697" t="s">
        <v>2730</v>
      </c>
      <c r="J697" t="s">
        <v>186</v>
      </c>
      <c r="K697" t="s">
        <v>205</v>
      </c>
      <c r="L697" t="s">
        <v>205</v>
      </c>
      <c r="M697" t="s">
        <v>850</v>
      </c>
      <c r="N697" t="s">
        <v>2592</v>
      </c>
      <c r="O697">
        <v>10012948</v>
      </c>
      <c r="P697" s="120">
        <v>42781</v>
      </c>
      <c r="Q697" s="120">
        <v>42783</v>
      </c>
      <c r="R697" s="120">
        <v>42814</v>
      </c>
      <c r="S697" t="s">
        <v>196</v>
      </c>
      <c r="T697">
        <v>2</v>
      </c>
      <c r="U697" t="s">
        <v>128</v>
      </c>
      <c r="V697">
        <v>2</v>
      </c>
      <c r="W697">
        <v>2</v>
      </c>
      <c r="X697">
        <v>1</v>
      </c>
      <c r="Y697">
        <v>1</v>
      </c>
      <c r="Z697">
        <v>1</v>
      </c>
      <c r="AA697" t="s">
        <v>2730</v>
      </c>
      <c r="AB697" t="s">
        <v>2732</v>
      </c>
      <c r="AC697" t="s">
        <v>2730</v>
      </c>
      <c r="AD697" t="s">
        <v>2730</v>
      </c>
      <c r="AE697" t="s">
        <v>2730</v>
      </c>
      <c r="AF697" t="s">
        <v>2730</v>
      </c>
      <c r="AG697" t="s">
        <v>2730</v>
      </c>
      <c r="AH697" t="s">
        <v>2730</v>
      </c>
    </row>
    <row r="698" spans="1:34">
      <c r="A698" s="149" t="str">
        <f>HYPERLINK("http://www.ofsted.gov.uk/inspection-reports/find-inspection-report/provider/ELS/135729 ","Ofsted School Webpage")</f>
        <v>Ofsted School Webpage</v>
      </c>
      <c r="B698">
        <v>135729</v>
      </c>
      <c r="C698">
        <v>2056200</v>
      </c>
      <c r="D698" t="s">
        <v>2593</v>
      </c>
      <c r="E698" t="s">
        <v>37</v>
      </c>
      <c r="F698" t="s">
        <v>184</v>
      </c>
      <c r="G698" t="s">
        <v>184</v>
      </c>
      <c r="H698" t="s">
        <v>2729</v>
      </c>
      <c r="I698" t="s">
        <v>2730</v>
      </c>
      <c r="J698" t="s">
        <v>186</v>
      </c>
      <c r="K698" t="s">
        <v>232</v>
      </c>
      <c r="L698" t="s">
        <v>232</v>
      </c>
      <c r="M698" t="s">
        <v>300</v>
      </c>
      <c r="N698" t="s">
        <v>2594</v>
      </c>
      <c r="O698">
        <v>10012783</v>
      </c>
      <c r="P698" s="120">
        <v>42899</v>
      </c>
      <c r="Q698" s="120">
        <v>42901</v>
      </c>
      <c r="R698" s="120">
        <v>42929</v>
      </c>
      <c r="S698" t="s">
        <v>196</v>
      </c>
      <c r="T698">
        <v>1</v>
      </c>
      <c r="U698" t="s">
        <v>128</v>
      </c>
      <c r="V698">
        <v>1</v>
      </c>
      <c r="W698">
        <v>1</v>
      </c>
      <c r="X698">
        <v>1</v>
      </c>
      <c r="Y698">
        <v>1</v>
      </c>
      <c r="Z698" t="s">
        <v>2730</v>
      </c>
      <c r="AA698" t="s">
        <v>2730</v>
      </c>
      <c r="AB698" t="s">
        <v>2732</v>
      </c>
      <c r="AC698" t="s">
        <v>2730</v>
      </c>
      <c r="AD698" t="s">
        <v>2730</v>
      </c>
      <c r="AE698" t="s">
        <v>2730</v>
      </c>
      <c r="AF698" t="s">
        <v>2730</v>
      </c>
      <c r="AG698" t="s">
        <v>2730</v>
      </c>
      <c r="AH698" t="s">
        <v>2730</v>
      </c>
    </row>
    <row r="699" spans="1:34">
      <c r="A699" s="149" t="str">
        <f>HYPERLINK("http://www.ofsted.gov.uk/inspection-reports/find-inspection-report/provider/ELS/125439 ","Ofsted School Webpage")</f>
        <v>Ofsted School Webpage</v>
      </c>
      <c r="B699">
        <v>125439</v>
      </c>
      <c r="C699">
        <v>9366559</v>
      </c>
      <c r="D699" t="s">
        <v>1731</v>
      </c>
      <c r="E699" t="s">
        <v>37</v>
      </c>
      <c r="F699" t="s">
        <v>184</v>
      </c>
      <c r="G699" t="s">
        <v>184</v>
      </c>
      <c r="H699" t="s">
        <v>2729</v>
      </c>
      <c r="I699" t="s">
        <v>2730</v>
      </c>
      <c r="J699" t="s">
        <v>186</v>
      </c>
      <c r="K699" t="s">
        <v>181</v>
      </c>
      <c r="L699" t="s">
        <v>181</v>
      </c>
      <c r="M699" t="s">
        <v>582</v>
      </c>
      <c r="N699" t="s">
        <v>1732</v>
      </c>
      <c r="O699">
        <v>10010757</v>
      </c>
      <c r="P699" s="120">
        <v>42395</v>
      </c>
      <c r="Q699" s="120">
        <v>42397</v>
      </c>
      <c r="R699" s="120">
        <v>42485</v>
      </c>
      <c r="S699" t="s">
        <v>196</v>
      </c>
      <c r="T699">
        <v>2</v>
      </c>
      <c r="U699" t="s">
        <v>128</v>
      </c>
      <c r="V699">
        <v>2</v>
      </c>
      <c r="W699">
        <v>1</v>
      </c>
      <c r="X699">
        <v>2</v>
      </c>
      <c r="Y699">
        <v>2</v>
      </c>
      <c r="Z699">
        <v>1</v>
      </c>
      <c r="AA699">
        <v>2</v>
      </c>
      <c r="AB699" t="s">
        <v>2732</v>
      </c>
      <c r="AC699" t="s">
        <v>2730</v>
      </c>
      <c r="AD699" t="s">
        <v>2730</v>
      </c>
      <c r="AE699" t="s">
        <v>2730</v>
      </c>
      <c r="AF699" t="s">
        <v>2730</v>
      </c>
      <c r="AG699" t="s">
        <v>2730</v>
      </c>
      <c r="AH699" t="s">
        <v>2730</v>
      </c>
    </row>
    <row r="700" spans="1:34">
      <c r="A700" s="149" t="str">
        <f>HYPERLINK("http://www.ofsted.gov.uk/inspection-reports/find-inspection-report/provider/ELS/134933 ","Ofsted School Webpage")</f>
        <v>Ofsted School Webpage</v>
      </c>
      <c r="B700">
        <v>134933</v>
      </c>
      <c r="C700">
        <v>9196209</v>
      </c>
      <c r="D700" t="s">
        <v>1733</v>
      </c>
      <c r="E700" t="s">
        <v>37</v>
      </c>
      <c r="F700" t="s">
        <v>184</v>
      </c>
      <c r="G700" t="s">
        <v>691</v>
      </c>
      <c r="H700" t="s">
        <v>2729</v>
      </c>
      <c r="I700" t="s">
        <v>2730</v>
      </c>
      <c r="J700" t="s">
        <v>186</v>
      </c>
      <c r="K700" t="s">
        <v>220</v>
      </c>
      <c r="L700" t="s">
        <v>220</v>
      </c>
      <c r="M700" t="s">
        <v>822</v>
      </c>
      <c r="N700" t="s">
        <v>1734</v>
      </c>
      <c r="O700">
        <v>10006085</v>
      </c>
      <c r="P700" s="120">
        <v>42297</v>
      </c>
      <c r="Q700" s="120">
        <v>42299</v>
      </c>
      <c r="R700" s="120">
        <v>42328</v>
      </c>
      <c r="S700" t="s">
        <v>267</v>
      </c>
      <c r="T700">
        <v>4</v>
      </c>
      <c r="U700" t="s">
        <v>129</v>
      </c>
      <c r="V700">
        <v>4</v>
      </c>
      <c r="W700">
        <v>4</v>
      </c>
      <c r="X700">
        <v>3</v>
      </c>
      <c r="Y700">
        <v>3</v>
      </c>
      <c r="Z700" t="s">
        <v>2730</v>
      </c>
      <c r="AA700" t="s">
        <v>2730</v>
      </c>
      <c r="AB700" t="s">
        <v>2732</v>
      </c>
      <c r="AC700">
        <v>10018104</v>
      </c>
      <c r="AD700" t="s">
        <v>187</v>
      </c>
      <c r="AE700" s="120">
        <v>42542</v>
      </c>
      <c r="AF700" t="s">
        <v>2772</v>
      </c>
      <c r="AG700" s="120">
        <v>42625</v>
      </c>
      <c r="AH700" t="s">
        <v>2773</v>
      </c>
    </row>
    <row r="701" spans="1:34">
      <c r="A701" s="149" t="str">
        <f>HYPERLINK("http://www.ofsted.gov.uk/inspection-reports/find-inspection-report/provider/ELS/136023 ","Ofsted School Webpage")</f>
        <v>Ofsted School Webpage</v>
      </c>
      <c r="B701">
        <v>136023</v>
      </c>
      <c r="C701">
        <v>8746003</v>
      </c>
      <c r="D701" t="s">
        <v>1735</v>
      </c>
      <c r="E701" t="s">
        <v>37</v>
      </c>
      <c r="F701" t="s">
        <v>304</v>
      </c>
      <c r="G701" t="s">
        <v>223</v>
      </c>
      <c r="H701" t="s">
        <v>2729</v>
      </c>
      <c r="I701" t="s">
        <v>2730</v>
      </c>
      <c r="J701" t="s">
        <v>186</v>
      </c>
      <c r="K701" t="s">
        <v>220</v>
      </c>
      <c r="L701" t="s">
        <v>220</v>
      </c>
      <c r="M701" t="s">
        <v>617</v>
      </c>
      <c r="N701" t="s">
        <v>1736</v>
      </c>
      <c r="O701">
        <v>10033606</v>
      </c>
      <c r="P701" s="120">
        <v>42899</v>
      </c>
      <c r="Q701" s="120">
        <v>42901</v>
      </c>
      <c r="R701" s="120">
        <v>42986</v>
      </c>
      <c r="S701" t="s">
        <v>196</v>
      </c>
      <c r="T701">
        <v>2</v>
      </c>
      <c r="U701" t="s">
        <v>128</v>
      </c>
      <c r="V701">
        <v>2</v>
      </c>
      <c r="W701">
        <v>2</v>
      </c>
      <c r="X701">
        <v>2</v>
      </c>
      <c r="Y701">
        <v>2</v>
      </c>
      <c r="Z701" t="s">
        <v>2730</v>
      </c>
      <c r="AA701" t="s">
        <v>2730</v>
      </c>
      <c r="AB701" t="s">
        <v>2732</v>
      </c>
      <c r="AC701" t="s">
        <v>2730</v>
      </c>
      <c r="AD701" t="s">
        <v>2730</v>
      </c>
      <c r="AE701" t="s">
        <v>2730</v>
      </c>
      <c r="AF701" t="s">
        <v>2730</v>
      </c>
      <c r="AG701" t="s">
        <v>2730</v>
      </c>
      <c r="AH701" t="s">
        <v>2730</v>
      </c>
    </row>
    <row r="702" spans="1:34">
      <c r="A702" s="149" t="str">
        <f>HYPERLINK("http://www.ofsted.gov.uk/inspection-reports/find-inspection-report/provider/ELS/141087 ","Ofsted School Webpage")</f>
        <v>Ofsted School Webpage</v>
      </c>
      <c r="B702">
        <v>141087</v>
      </c>
      <c r="C702">
        <v>3536002</v>
      </c>
      <c r="D702" t="s">
        <v>1737</v>
      </c>
      <c r="E702" t="s">
        <v>37</v>
      </c>
      <c r="F702" t="s">
        <v>184</v>
      </c>
      <c r="G702" t="s">
        <v>223</v>
      </c>
      <c r="H702" t="s">
        <v>2729</v>
      </c>
      <c r="I702" t="s">
        <v>2730</v>
      </c>
      <c r="J702" t="s">
        <v>186</v>
      </c>
      <c r="K702" t="s">
        <v>205</v>
      </c>
      <c r="L702" t="s">
        <v>205</v>
      </c>
      <c r="M702" t="s">
        <v>468</v>
      </c>
      <c r="N702" t="s">
        <v>1738</v>
      </c>
      <c r="O702">
        <v>10034034</v>
      </c>
      <c r="P702" s="120">
        <v>42892</v>
      </c>
      <c r="Q702" s="120">
        <v>42894</v>
      </c>
      <c r="R702" s="120">
        <v>42998</v>
      </c>
      <c r="S702" t="s">
        <v>196</v>
      </c>
      <c r="T702">
        <v>4</v>
      </c>
      <c r="U702" t="s">
        <v>129</v>
      </c>
      <c r="V702">
        <v>4</v>
      </c>
      <c r="W702">
        <v>4</v>
      </c>
      <c r="X702">
        <v>4</v>
      </c>
      <c r="Y702">
        <v>4</v>
      </c>
      <c r="Z702" t="s">
        <v>2730</v>
      </c>
      <c r="AA702" t="s">
        <v>2730</v>
      </c>
      <c r="AB702" t="s">
        <v>2733</v>
      </c>
      <c r="AC702" t="s">
        <v>2730</v>
      </c>
      <c r="AD702" t="s">
        <v>2730</v>
      </c>
      <c r="AE702" t="s">
        <v>2730</v>
      </c>
      <c r="AF702" t="s">
        <v>2730</v>
      </c>
      <c r="AG702" t="s">
        <v>2730</v>
      </c>
      <c r="AH702" t="s">
        <v>2730</v>
      </c>
    </row>
    <row r="703" spans="1:34">
      <c r="A703" s="149" t="str">
        <f>HYPERLINK("http://www.ofsted.gov.uk/inspection-reports/find-inspection-report/provider/ELS/100376 ","Ofsted School Webpage")</f>
        <v>Ofsted School Webpage</v>
      </c>
      <c r="B703">
        <v>100376</v>
      </c>
      <c r="C703">
        <v>2056387</v>
      </c>
      <c r="D703" t="s">
        <v>711</v>
      </c>
      <c r="E703" t="s">
        <v>37</v>
      </c>
      <c r="F703" t="s">
        <v>184</v>
      </c>
      <c r="G703" t="s">
        <v>184</v>
      </c>
      <c r="H703" t="s">
        <v>2729</v>
      </c>
      <c r="I703" t="s">
        <v>2730</v>
      </c>
      <c r="J703" t="s">
        <v>186</v>
      </c>
      <c r="K703" t="s">
        <v>232</v>
      </c>
      <c r="L703" t="s">
        <v>232</v>
      </c>
      <c r="M703" t="s">
        <v>300</v>
      </c>
      <c r="N703" t="s">
        <v>712</v>
      </c>
      <c r="O703">
        <v>10037572</v>
      </c>
      <c r="P703" s="120">
        <v>42920</v>
      </c>
      <c r="Q703" s="120">
        <v>42922</v>
      </c>
      <c r="R703" s="120">
        <v>43010</v>
      </c>
      <c r="S703" t="s">
        <v>196</v>
      </c>
      <c r="T703">
        <v>4</v>
      </c>
      <c r="U703" t="s">
        <v>129</v>
      </c>
      <c r="V703">
        <v>4</v>
      </c>
      <c r="W703">
        <v>4</v>
      </c>
      <c r="X703">
        <v>3</v>
      </c>
      <c r="Y703">
        <v>3</v>
      </c>
      <c r="Z703">
        <v>4</v>
      </c>
      <c r="AA703" t="s">
        <v>2730</v>
      </c>
      <c r="AB703" t="s">
        <v>2733</v>
      </c>
      <c r="AC703" t="s">
        <v>2730</v>
      </c>
      <c r="AD703" t="s">
        <v>2730</v>
      </c>
      <c r="AE703" s="120" t="s">
        <v>2730</v>
      </c>
      <c r="AF703" t="s">
        <v>2730</v>
      </c>
      <c r="AG703" s="120" t="s">
        <v>2730</v>
      </c>
      <c r="AH703" t="s">
        <v>2730</v>
      </c>
    </row>
    <row r="704" spans="1:34">
      <c r="A704" s="149" t="str">
        <f>HYPERLINK("http://www.ofsted.gov.uk/inspection-reports/find-inspection-report/provider/ELS/140038 ","Ofsted School Webpage")</f>
        <v>Ofsted School Webpage</v>
      </c>
      <c r="B704">
        <v>140038</v>
      </c>
      <c r="C704">
        <v>3836001</v>
      </c>
      <c r="D704" t="s">
        <v>713</v>
      </c>
      <c r="E704" t="s">
        <v>37</v>
      </c>
      <c r="F704" t="s">
        <v>212</v>
      </c>
      <c r="G704" t="s">
        <v>212</v>
      </c>
      <c r="H704" t="s">
        <v>2729</v>
      </c>
      <c r="I704" t="s">
        <v>2730</v>
      </c>
      <c r="J704" t="s">
        <v>186</v>
      </c>
      <c r="K704" t="s">
        <v>245</v>
      </c>
      <c r="L704" t="s">
        <v>246</v>
      </c>
      <c r="M704" t="s">
        <v>714</v>
      </c>
      <c r="N704" t="s">
        <v>715</v>
      </c>
      <c r="O704">
        <v>10033924</v>
      </c>
      <c r="P704" s="120">
        <v>42899</v>
      </c>
      <c r="Q704" s="120">
        <v>42901</v>
      </c>
      <c r="R704" s="120">
        <v>42948</v>
      </c>
      <c r="S704" t="s">
        <v>196</v>
      </c>
      <c r="T704">
        <v>3</v>
      </c>
      <c r="U704" t="s">
        <v>128</v>
      </c>
      <c r="V704">
        <v>3</v>
      </c>
      <c r="W704">
        <v>2</v>
      </c>
      <c r="X704">
        <v>2</v>
      </c>
      <c r="Y704">
        <v>2</v>
      </c>
      <c r="Z704" t="s">
        <v>2730</v>
      </c>
      <c r="AA704" t="s">
        <v>2730</v>
      </c>
      <c r="AB704" t="s">
        <v>2732</v>
      </c>
      <c r="AC704" t="s">
        <v>2730</v>
      </c>
      <c r="AD704" t="s">
        <v>2730</v>
      </c>
      <c r="AE704" t="s">
        <v>2730</v>
      </c>
      <c r="AF704" t="s">
        <v>2730</v>
      </c>
      <c r="AG704" t="s">
        <v>2730</v>
      </c>
      <c r="AH704" t="s">
        <v>2730</v>
      </c>
    </row>
    <row r="705" spans="1:34">
      <c r="A705" s="149" t="str">
        <f>HYPERLINK("http://www.ofsted.gov.uk/inspection-reports/find-inspection-report/provider/ELS/108110 ","Ofsted School Webpage")</f>
        <v>Ofsted School Webpage</v>
      </c>
      <c r="B705">
        <v>108110</v>
      </c>
      <c r="C705">
        <v>3836099</v>
      </c>
      <c r="D705" t="s">
        <v>716</v>
      </c>
      <c r="E705" t="s">
        <v>37</v>
      </c>
      <c r="F705" t="s">
        <v>184</v>
      </c>
      <c r="G705" t="s">
        <v>318</v>
      </c>
      <c r="H705" t="s">
        <v>2729</v>
      </c>
      <c r="I705" t="s">
        <v>2730</v>
      </c>
      <c r="J705" t="s">
        <v>186</v>
      </c>
      <c r="K705" t="s">
        <v>245</v>
      </c>
      <c r="L705" t="s">
        <v>246</v>
      </c>
      <c r="M705" t="s">
        <v>714</v>
      </c>
      <c r="N705" t="s">
        <v>717</v>
      </c>
      <c r="O705">
        <v>10012883</v>
      </c>
      <c r="P705" s="120">
        <v>42570</v>
      </c>
      <c r="Q705" s="120">
        <v>42572</v>
      </c>
      <c r="R705" s="120">
        <v>42634</v>
      </c>
      <c r="S705" t="s">
        <v>196</v>
      </c>
      <c r="T705">
        <v>2</v>
      </c>
      <c r="U705" t="s">
        <v>128</v>
      </c>
      <c r="V705">
        <v>2</v>
      </c>
      <c r="W705">
        <v>1</v>
      </c>
      <c r="X705">
        <v>2</v>
      </c>
      <c r="Y705">
        <v>2</v>
      </c>
      <c r="Z705">
        <v>2</v>
      </c>
      <c r="AA705" t="s">
        <v>2730</v>
      </c>
      <c r="AB705" t="s">
        <v>2732</v>
      </c>
      <c r="AC705" t="s">
        <v>2730</v>
      </c>
      <c r="AD705" t="s">
        <v>2730</v>
      </c>
      <c r="AE705" t="s">
        <v>2730</v>
      </c>
      <c r="AF705" t="s">
        <v>2730</v>
      </c>
      <c r="AG705" t="s">
        <v>2730</v>
      </c>
      <c r="AH705" t="s">
        <v>2730</v>
      </c>
    </row>
    <row r="706" spans="1:34">
      <c r="A706" s="149" t="str">
        <f>HYPERLINK("http://www.ofsted.gov.uk/inspection-reports/find-inspection-report/provider/ELS/132781 ","Ofsted School Webpage")</f>
        <v>Ofsted School Webpage</v>
      </c>
      <c r="B706">
        <v>132781</v>
      </c>
      <c r="C706">
        <v>8566014</v>
      </c>
      <c r="D706" t="s">
        <v>2052</v>
      </c>
      <c r="E706" t="s">
        <v>37</v>
      </c>
      <c r="F706" t="s">
        <v>304</v>
      </c>
      <c r="G706" t="s">
        <v>304</v>
      </c>
      <c r="H706" t="s">
        <v>2729</v>
      </c>
      <c r="I706" t="s">
        <v>2730</v>
      </c>
      <c r="J706" t="s">
        <v>186</v>
      </c>
      <c r="K706" t="s">
        <v>214</v>
      </c>
      <c r="L706" t="s">
        <v>214</v>
      </c>
      <c r="M706" t="s">
        <v>330</v>
      </c>
      <c r="N706" t="s">
        <v>2053</v>
      </c>
      <c r="O706" t="s">
        <v>2054</v>
      </c>
      <c r="P706" s="120">
        <v>41772</v>
      </c>
      <c r="Q706" s="120">
        <v>41773</v>
      </c>
      <c r="R706" s="120">
        <v>41878</v>
      </c>
      <c r="S706" t="s">
        <v>196</v>
      </c>
      <c r="T706">
        <v>4</v>
      </c>
      <c r="U706" t="s">
        <v>2730</v>
      </c>
      <c r="V706">
        <v>4</v>
      </c>
      <c r="W706" t="s">
        <v>2730</v>
      </c>
      <c r="X706">
        <v>4</v>
      </c>
      <c r="Y706">
        <v>4</v>
      </c>
      <c r="Z706" t="s">
        <v>2730</v>
      </c>
      <c r="AA706" t="s">
        <v>2730</v>
      </c>
      <c r="AB706" t="s">
        <v>2730</v>
      </c>
      <c r="AC706" t="s">
        <v>2730</v>
      </c>
      <c r="AD706" t="s">
        <v>2730</v>
      </c>
      <c r="AE706" t="s">
        <v>2730</v>
      </c>
      <c r="AF706" t="s">
        <v>2730</v>
      </c>
      <c r="AG706" t="s">
        <v>2730</v>
      </c>
      <c r="AH706" t="s">
        <v>2730</v>
      </c>
    </row>
    <row r="707" spans="1:34">
      <c r="A707" s="149" t="str">
        <f>HYPERLINK("http://www.ofsted.gov.uk/inspection-reports/find-inspection-report/provider/ELS/131978 ","Ofsted School Webpage")</f>
        <v>Ofsted School Webpage</v>
      </c>
      <c r="B707">
        <v>131978</v>
      </c>
      <c r="C707">
        <v>2026399</v>
      </c>
      <c r="D707" t="s">
        <v>1687</v>
      </c>
      <c r="E707" t="s">
        <v>37</v>
      </c>
      <c r="F707" t="s">
        <v>184</v>
      </c>
      <c r="G707" t="s">
        <v>184</v>
      </c>
      <c r="H707" t="s">
        <v>2729</v>
      </c>
      <c r="I707" t="s">
        <v>2730</v>
      </c>
      <c r="J707" t="s">
        <v>186</v>
      </c>
      <c r="K707" t="s">
        <v>232</v>
      </c>
      <c r="L707" t="s">
        <v>232</v>
      </c>
      <c r="M707" t="s">
        <v>536</v>
      </c>
      <c r="N707" t="s">
        <v>1688</v>
      </c>
      <c r="O707" t="s">
        <v>3083</v>
      </c>
      <c r="P707" s="120">
        <v>41710</v>
      </c>
      <c r="Q707" s="120">
        <v>41712</v>
      </c>
      <c r="R707" s="120">
        <v>41754</v>
      </c>
      <c r="S707" t="s">
        <v>196</v>
      </c>
      <c r="T707">
        <v>2</v>
      </c>
      <c r="U707" t="s">
        <v>2730</v>
      </c>
      <c r="V707">
        <v>2</v>
      </c>
      <c r="W707" t="s">
        <v>2730</v>
      </c>
      <c r="X707">
        <v>2</v>
      </c>
      <c r="Y707">
        <v>2</v>
      </c>
      <c r="Z707" t="s">
        <v>2730</v>
      </c>
      <c r="AA707" t="s">
        <v>2730</v>
      </c>
      <c r="AB707" t="s">
        <v>2730</v>
      </c>
      <c r="AC707" t="s">
        <v>2730</v>
      </c>
      <c r="AD707" t="s">
        <v>2730</v>
      </c>
      <c r="AE707" s="120" t="s">
        <v>2730</v>
      </c>
      <c r="AF707" t="s">
        <v>2730</v>
      </c>
      <c r="AG707" s="120" t="s">
        <v>2730</v>
      </c>
      <c r="AH707" t="s">
        <v>2730</v>
      </c>
    </row>
    <row r="708" spans="1:34">
      <c r="A708" s="149" t="str">
        <f>HYPERLINK("http://www.ofsted.gov.uk/inspection-reports/find-inspection-report/provider/ELS/133541 ","Ofsted School Webpage")</f>
        <v>Ofsted School Webpage</v>
      </c>
      <c r="B708">
        <v>133541</v>
      </c>
      <c r="C708">
        <v>8896009</v>
      </c>
      <c r="D708" t="s">
        <v>1689</v>
      </c>
      <c r="E708" t="s">
        <v>37</v>
      </c>
      <c r="F708" t="s">
        <v>304</v>
      </c>
      <c r="G708" t="s">
        <v>223</v>
      </c>
      <c r="H708" t="s">
        <v>2729</v>
      </c>
      <c r="I708" t="s">
        <v>2730</v>
      </c>
      <c r="J708" t="s">
        <v>186</v>
      </c>
      <c r="K708" t="s">
        <v>205</v>
      </c>
      <c r="L708" t="s">
        <v>205</v>
      </c>
      <c r="M708" t="s">
        <v>485</v>
      </c>
      <c r="N708" t="s">
        <v>1690</v>
      </c>
      <c r="O708">
        <v>10026008</v>
      </c>
      <c r="P708" s="120">
        <v>42920</v>
      </c>
      <c r="Q708" s="120">
        <v>42922</v>
      </c>
      <c r="R708" s="120">
        <v>42944</v>
      </c>
      <c r="S708" t="s">
        <v>196</v>
      </c>
      <c r="T708">
        <v>2</v>
      </c>
      <c r="U708" t="s">
        <v>128</v>
      </c>
      <c r="V708">
        <v>2</v>
      </c>
      <c r="W708">
        <v>1</v>
      </c>
      <c r="X708">
        <v>2</v>
      </c>
      <c r="Y708">
        <v>2</v>
      </c>
      <c r="Z708" t="s">
        <v>2730</v>
      </c>
      <c r="AA708" t="s">
        <v>2730</v>
      </c>
      <c r="AB708" t="s">
        <v>2732</v>
      </c>
      <c r="AC708" t="s">
        <v>2730</v>
      </c>
      <c r="AD708" t="s">
        <v>2730</v>
      </c>
      <c r="AE708" s="120" t="s">
        <v>2730</v>
      </c>
      <c r="AF708" t="s">
        <v>2730</v>
      </c>
      <c r="AG708" s="120" t="s">
        <v>2730</v>
      </c>
      <c r="AH708" t="s">
        <v>2730</v>
      </c>
    </row>
    <row r="709" spans="1:34">
      <c r="A709" s="149" t="str">
        <f>HYPERLINK("http://www.ofsted.gov.uk/inspection-reports/find-inspection-report/provider/ELS/136685 ","Ofsted School Webpage")</f>
        <v>Ofsted School Webpage</v>
      </c>
      <c r="B709">
        <v>136685</v>
      </c>
      <c r="C709">
        <v>8606444</v>
      </c>
      <c r="D709" t="s">
        <v>1691</v>
      </c>
      <c r="E709" t="s">
        <v>37</v>
      </c>
      <c r="F709" t="s">
        <v>184</v>
      </c>
      <c r="G709" t="s">
        <v>184</v>
      </c>
      <c r="H709" t="s">
        <v>2729</v>
      </c>
      <c r="I709" t="s">
        <v>2730</v>
      </c>
      <c r="J709" t="s">
        <v>186</v>
      </c>
      <c r="K709" t="s">
        <v>193</v>
      </c>
      <c r="L709" t="s">
        <v>193</v>
      </c>
      <c r="M709" t="s">
        <v>314</v>
      </c>
      <c r="N709" t="s">
        <v>1692</v>
      </c>
      <c r="O709" t="s">
        <v>1693</v>
      </c>
      <c r="P709" s="120">
        <v>40946</v>
      </c>
      <c r="Q709" s="120">
        <v>40947</v>
      </c>
      <c r="R709" s="120">
        <v>40968</v>
      </c>
      <c r="S709" t="s">
        <v>196</v>
      </c>
      <c r="T709">
        <v>2</v>
      </c>
      <c r="U709" t="s">
        <v>2730</v>
      </c>
      <c r="V709" t="s">
        <v>2730</v>
      </c>
      <c r="W709" t="s">
        <v>2730</v>
      </c>
      <c r="X709">
        <v>2</v>
      </c>
      <c r="Y709">
        <v>2</v>
      </c>
      <c r="Z709">
        <v>8</v>
      </c>
      <c r="AA709" t="s">
        <v>2730</v>
      </c>
      <c r="AB709" t="s">
        <v>2730</v>
      </c>
      <c r="AC709" t="s">
        <v>2730</v>
      </c>
      <c r="AD709" t="s">
        <v>2730</v>
      </c>
      <c r="AE709" t="s">
        <v>2730</v>
      </c>
      <c r="AF709" t="s">
        <v>2730</v>
      </c>
      <c r="AG709" t="s">
        <v>2730</v>
      </c>
      <c r="AH709" t="s">
        <v>2730</v>
      </c>
    </row>
    <row r="710" spans="1:34">
      <c r="A710" s="149" t="str">
        <f>HYPERLINK("http://www.ofsted.gov.uk/inspection-reports/find-inspection-report/provider/ELS/133307 ","Ofsted School Webpage")</f>
        <v>Ofsted School Webpage</v>
      </c>
      <c r="B710">
        <v>133307</v>
      </c>
      <c r="C710">
        <v>2116391</v>
      </c>
      <c r="D710" t="s">
        <v>1694</v>
      </c>
      <c r="E710" t="s">
        <v>37</v>
      </c>
      <c r="F710" t="s">
        <v>184</v>
      </c>
      <c r="G710" t="s">
        <v>304</v>
      </c>
      <c r="H710" t="s">
        <v>2729</v>
      </c>
      <c r="I710" t="s">
        <v>2730</v>
      </c>
      <c r="J710" t="s">
        <v>186</v>
      </c>
      <c r="K710" t="s">
        <v>232</v>
      </c>
      <c r="L710" t="s">
        <v>232</v>
      </c>
      <c r="M710" t="s">
        <v>539</v>
      </c>
      <c r="N710" t="s">
        <v>1695</v>
      </c>
      <c r="O710">
        <v>10026290</v>
      </c>
      <c r="P710" s="120">
        <v>43011</v>
      </c>
      <c r="Q710" s="120">
        <v>43013</v>
      </c>
      <c r="R710" s="120">
        <v>43077</v>
      </c>
      <c r="S710" t="s">
        <v>196</v>
      </c>
      <c r="T710">
        <v>4</v>
      </c>
      <c r="U710" t="s">
        <v>129</v>
      </c>
      <c r="V710">
        <v>4</v>
      </c>
      <c r="W710">
        <v>4</v>
      </c>
      <c r="X710">
        <v>3</v>
      </c>
      <c r="Y710">
        <v>3</v>
      </c>
      <c r="Z710" t="s">
        <v>2730</v>
      </c>
      <c r="AA710" t="s">
        <v>2730</v>
      </c>
      <c r="AB710" t="s">
        <v>2733</v>
      </c>
      <c r="AC710" t="s">
        <v>2730</v>
      </c>
      <c r="AD710" t="s">
        <v>2730</v>
      </c>
      <c r="AE710" s="120" t="s">
        <v>2730</v>
      </c>
      <c r="AF710" t="s">
        <v>2730</v>
      </c>
      <c r="AG710" s="120" t="s">
        <v>2730</v>
      </c>
      <c r="AH710" t="s">
        <v>2730</v>
      </c>
    </row>
    <row r="711" spans="1:34">
      <c r="A711" s="149" t="str">
        <f>HYPERLINK("http://www.ofsted.gov.uk/inspection-reports/find-inspection-report/provider/ELS/130321 ","Ofsted School Webpage")</f>
        <v>Ofsted School Webpage</v>
      </c>
      <c r="B711">
        <v>130321</v>
      </c>
      <c r="C711">
        <v>8656027</v>
      </c>
      <c r="D711" t="s">
        <v>224</v>
      </c>
      <c r="E711" t="s">
        <v>37</v>
      </c>
      <c r="F711" t="s">
        <v>184</v>
      </c>
      <c r="G711" t="s">
        <v>212</v>
      </c>
      <c r="H711" t="s">
        <v>2729</v>
      </c>
      <c r="I711" t="s">
        <v>2730</v>
      </c>
      <c r="J711" t="s">
        <v>186</v>
      </c>
      <c r="K711" t="s">
        <v>225</v>
      </c>
      <c r="L711" t="s">
        <v>225</v>
      </c>
      <c r="M711" t="s">
        <v>226</v>
      </c>
      <c r="N711" t="s">
        <v>227</v>
      </c>
      <c r="O711">
        <v>10033888</v>
      </c>
      <c r="P711" s="120">
        <v>42990</v>
      </c>
      <c r="Q711" s="120">
        <v>42992</v>
      </c>
      <c r="R711" s="120">
        <v>43027</v>
      </c>
      <c r="S711" t="s">
        <v>196</v>
      </c>
      <c r="T711">
        <v>2</v>
      </c>
      <c r="U711" t="s">
        <v>128</v>
      </c>
      <c r="V711">
        <v>2</v>
      </c>
      <c r="W711">
        <v>2</v>
      </c>
      <c r="X711">
        <v>2</v>
      </c>
      <c r="Y711">
        <v>2</v>
      </c>
      <c r="Z711">
        <v>2</v>
      </c>
      <c r="AA711" t="s">
        <v>2730</v>
      </c>
      <c r="AB711" t="s">
        <v>2732</v>
      </c>
      <c r="AC711" t="s">
        <v>2730</v>
      </c>
      <c r="AD711" t="s">
        <v>2730</v>
      </c>
      <c r="AE711" t="s">
        <v>2730</v>
      </c>
      <c r="AF711" t="s">
        <v>2730</v>
      </c>
      <c r="AG711" t="s">
        <v>2730</v>
      </c>
      <c r="AH711" t="s">
        <v>2730</v>
      </c>
    </row>
    <row r="712" spans="1:34">
      <c r="A712" s="149" t="str">
        <f>HYPERLINK("http://www.ofsted.gov.uk/inspection-reports/find-inspection-report/provider/ELS/101091 ","Ofsted School Webpage")</f>
        <v>Ofsted School Webpage</v>
      </c>
      <c r="B712">
        <v>101091</v>
      </c>
      <c r="C712">
        <v>2126397</v>
      </c>
      <c r="D712" t="s">
        <v>2541</v>
      </c>
      <c r="E712" t="s">
        <v>37</v>
      </c>
      <c r="F712" t="s">
        <v>184</v>
      </c>
      <c r="G712" t="s">
        <v>184</v>
      </c>
      <c r="H712" t="s">
        <v>2729</v>
      </c>
      <c r="I712" t="s">
        <v>2730</v>
      </c>
      <c r="J712" t="s">
        <v>186</v>
      </c>
      <c r="K712" t="s">
        <v>232</v>
      </c>
      <c r="L712" t="s">
        <v>232</v>
      </c>
      <c r="M712" t="s">
        <v>435</v>
      </c>
      <c r="N712" t="s">
        <v>2542</v>
      </c>
      <c r="O712" t="s">
        <v>2543</v>
      </c>
      <c r="P712" s="120">
        <v>41933</v>
      </c>
      <c r="Q712" s="120">
        <v>41935</v>
      </c>
      <c r="R712" s="120">
        <v>42017</v>
      </c>
      <c r="S712" t="s">
        <v>196</v>
      </c>
      <c r="T712">
        <v>2</v>
      </c>
      <c r="U712" t="s">
        <v>2730</v>
      </c>
      <c r="V712">
        <v>2</v>
      </c>
      <c r="W712" t="s">
        <v>2730</v>
      </c>
      <c r="X712">
        <v>2</v>
      </c>
      <c r="Y712">
        <v>2</v>
      </c>
      <c r="Z712">
        <v>2</v>
      </c>
      <c r="AA712">
        <v>9</v>
      </c>
      <c r="AB712" t="s">
        <v>2730</v>
      </c>
      <c r="AC712" t="s">
        <v>2730</v>
      </c>
      <c r="AD712" t="s">
        <v>2730</v>
      </c>
      <c r="AE712" t="s">
        <v>2730</v>
      </c>
      <c r="AF712" t="s">
        <v>2730</v>
      </c>
      <c r="AG712" t="s">
        <v>2730</v>
      </c>
      <c r="AH712" t="s">
        <v>2730</v>
      </c>
    </row>
    <row r="713" spans="1:34">
      <c r="A713" s="149" t="str">
        <f>HYPERLINK("http://www.ofsted.gov.uk/inspection-reports/find-inspection-report/provider/ELS/135526 ","Ofsted School Webpage")</f>
        <v>Ofsted School Webpage</v>
      </c>
      <c r="B713">
        <v>135526</v>
      </c>
      <c r="C713">
        <v>3566031</v>
      </c>
      <c r="D713" t="s">
        <v>465</v>
      </c>
      <c r="E713" t="s">
        <v>37</v>
      </c>
      <c r="F713" t="s">
        <v>184</v>
      </c>
      <c r="G713" t="s">
        <v>184</v>
      </c>
      <c r="H713" t="s">
        <v>2729</v>
      </c>
      <c r="I713" t="s">
        <v>2730</v>
      </c>
      <c r="J713" t="s">
        <v>186</v>
      </c>
      <c r="K713" t="s">
        <v>205</v>
      </c>
      <c r="L713" t="s">
        <v>205</v>
      </c>
      <c r="M713" t="s">
        <v>346</v>
      </c>
      <c r="N713" t="s">
        <v>466</v>
      </c>
      <c r="O713">
        <v>10040275</v>
      </c>
      <c r="P713" s="120">
        <v>43039</v>
      </c>
      <c r="Q713" s="120">
        <v>43041</v>
      </c>
      <c r="R713" s="120">
        <v>43066</v>
      </c>
      <c r="S713" t="s">
        <v>196</v>
      </c>
      <c r="T713">
        <v>3</v>
      </c>
      <c r="U713" t="s">
        <v>128</v>
      </c>
      <c r="V713">
        <v>3</v>
      </c>
      <c r="W713">
        <v>2</v>
      </c>
      <c r="X713">
        <v>3</v>
      </c>
      <c r="Y713">
        <v>3</v>
      </c>
      <c r="Z713" t="s">
        <v>2730</v>
      </c>
      <c r="AA713">
        <v>2</v>
      </c>
      <c r="AB713" t="s">
        <v>2732</v>
      </c>
      <c r="AC713" t="s">
        <v>2730</v>
      </c>
      <c r="AD713" t="s">
        <v>2730</v>
      </c>
      <c r="AE713" t="s">
        <v>2730</v>
      </c>
      <c r="AF713" t="s">
        <v>2730</v>
      </c>
      <c r="AG713" t="s">
        <v>2730</v>
      </c>
      <c r="AH713" t="s">
        <v>2730</v>
      </c>
    </row>
    <row r="714" spans="1:34">
      <c r="A714" s="149" t="str">
        <f>HYPERLINK("http://www.ofsted.gov.uk/inspection-reports/find-inspection-report/provider/ELS/137502 ","Ofsted School Webpage")</f>
        <v>Ofsted School Webpage</v>
      </c>
      <c r="B714">
        <v>137502</v>
      </c>
      <c r="C714">
        <v>3026001</v>
      </c>
      <c r="D714" t="s">
        <v>2544</v>
      </c>
      <c r="E714" t="s">
        <v>37</v>
      </c>
      <c r="F714" t="s">
        <v>184</v>
      </c>
      <c r="G714" t="s">
        <v>318</v>
      </c>
      <c r="H714" t="s">
        <v>2729</v>
      </c>
      <c r="I714" t="s">
        <v>2730</v>
      </c>
      <c r="J714" t="s">
        <v>186</v>
      </c>
      <c r="K714" t="s">
        <v>232</v>
      </c>
      <c r="L714" t="s">
        <v>232</v>
      </c>
      <c r="M714" t="s">
        <v>311</v>
      </c>
      <c r="N714" t="s">
        <v>2545</v>
      </c>
      <c r="O714">
        <v>10006124</v>
      </c>
      <c r="P714" s="120">
        <v>42934</v>
      </c>
      <c r="Q714" s="120">
        <v>42936</v>
      </c>
      <c r="R714" s="120">
        <v>42998</v>
      </c>
      <c r="S714" t="s">
        <v>196</v>
      </c>
      <c r="T714">
        <v>3</v>
      </c>
      <c r="U714" t="s">
        <v>128</v>
      </c>
      <c r="V714">
        <v>3</v>
      </c>
      <c r="W714">
        <v>2</v>
      </c>
      <c r="X714">
        <v>3</v>
      </c>
      <c r="Y714">
        <v>3</v>
      </c>
      <c r="Z714">
        <v>2</v>
      </c>
      <c r="AA714" t="s">
        <v>2730</v>
      </c>
      <c r="AB714" t="s">
        <v>2732</v>
      </c>
      <c r="AC714" t="s">
        <v>2730</v>
      </c>
      <c r="AD714" t="s">
        <v>2730</v>
      </c>
      <c r="AE714" s="120" t="s">
        <v>2730</v>
      </c>
      <c r="AF714" t="s">
        <v>2730</v>
      </c>
      <c r="AG714" s="120" t="s">
        <v>2730</v>
      </c>
      <c r="AH714" t="s">
        <v>2730</v>
      </c>
    </row>
    <row r="715" spans="1:34">
      <c r="A715" s="149" t="str">
        <f>HYPERLINK("http://www.ofsted.gov.uk/inspection-reports/find-inspection-report/provider/ELS/134580 ","Ofsted School Webpage")</f>
        <v>Ofsted School Webpage</v>
      </c>
      <c r="B715">
        <v>134580</v>
      </c>
      <c r="C715">
        <v>3086068</v>
      </c>
      <c r="D715" t="s">
        <v>261</v>
      </c>
      <c r="E715" t="s">
        <v>37</v>
      </c>
      <c r="F715" t="s">
        <v>184</v>
      </c>
      <c r="G715" t="s">
        <v>212</v>
      </c>
      <c r="H715" t="s">
        <v>2729</v>
      </c>
      <c r="I715" t="s">
        <v>2730</v>
      </c>
      <c r="J715" t="s">
        <v>186</v>
      </c>
      <c r="K715" t="s">
        <v>232</v>
      </c>
      <c r="L715" t="s">
        <v>232</v>
      </c>
      <c r="M715" t="s">
        <v>259</v>
      </c>
      <c r="N715" t="s">
        <v>2546</v>
      </c>
      <c r="O715" t="s">
        <v>3084</v>
      </c>
      <c r="P715" s="120">
        <v>41947</v>
      </c>
      <c r="Q715" s="120">
        <v>41949</v>
      </c>
      <c r="R715" s="120">
        <v>41978</v>
      </c>
      <c r="S715" t="s">
        <v>196</v>
      </c>
      <c r="T715">
        <v>2</v>
      </c>
      <c r="U715" t="s">
        <v>2730</v>
      </c>
      <c r="V715">
        <v>2</v>
      </c>
      <c r="W715" t="s">
        <v>2730</v>
      </c>
      <c r="X715">
        <v>2</v>
      </c>
      <c r="Y715">
        <v>2</v>
      </c>
      <c r="Z715">
        <v>9</v>
      </c>
      <c r="AA715">
        <v>2</v>
      </c>
      <c r="AB715" t="s">
        <v>2730</v>
      </c>
      <c r="AC715" t="s">
        <v>2730</v>
      </c>
      <c r="AD715" t="s">
        <v>2730</v>
      </c>
      <c r="AE715" t="s">
        <v>2730</v>
      </c>
      <c r="AF715" t="s">
        <v>2730</v>
      </c>
      <c r="AG715" t="s">
        <v>2730</v>
      </c>
      <c r="AH715" t="s">
        <v>2730</v>
      </c>
    </row>
    <row r="716" spans="1:34">
      <c r="A716" s="149" t="str">
        <f>HYPERLINK("http://www.ofsted.gov.uk/inspection-reports/find-inspection-report/provider/ELS/137892 ","Ofsted School Webpage")</f>
        <v>Ofsted School Webpage</v>
      </c>
      <c r="B716">
        <v>137892</v>
      </c>
      <c r="C716">
        <v>8616007</v>
      </c>
      <c r="D716" t="s">
        <v>2547</v>
      </c>
      <c r="E716" t="s">
        <v>37</v>
      </c>
      <c r="F716" t="s">
        <v>184</v>
      </c>
      <c r="G716" t="s">
        <v>184</v>
      </c>
      <c r="H716" t="s">
        <v>2729</v>
      </c>
      <c r="I716" t="s">
        <v>2730</v>
      </c>
      <c r="J716" t="s">
        <v>186</v>
      </c>
      <c r="K716" t="s">
        <v>193</v>
      </c>
      <c r="L716" t="s">
        <v>193</v>
      </c>
      <c r="M716" t="s">
        <v>492</v>
      </c>
      <c r="N716" t="s">
        <v>2548</v>
      </c>
      <c r="O716" t="s">
        <v>2549</v>
      </c>
      <c r="P716" s="120">
        <v>41353</v>
      </c>
      <c r="Q716" s="120">
        <v>41354</v>
      </c>
      <c r="R716" s="120">
        <v>41383</v>
      </c>
      <c r="S716" t="s">
        <v>249</v>
      </c>
      <c r="T716">
        <v>2</v>
      </c>
      <c r="U716" t="s">
        <v>2730</v>
      </c>
      <c r="V716">
        <v>2</v>
      </c>
      <c r="W716" t="s">
        <v>2730</v>
      </c>
      <c r="X716">
        <v>2</v>
      </c>
      <c r="Y716">
        <v>2</v>
      </c>
      <c r="Z716" t="s">
        <v>2730</v>
      </c>
      <c r="AA716" t="s">
        <v>2730</v>
      </c>
      <c r="AB716" t="s">
        <v>2730</v>
      </c>
      <c r="AC716" t="s">
        <v>2730</v>
      </c>
      <c r="AD716" t="s">
        <v>2730</v>
      </c>
      <c r="AE716" t="s">
        <v>2730</v>
      </c>
      <c r="AF716" t="s">
        <v>2730</v>
      </c>
      <c r="AG716" t="s">
        <v>2730</v>
      </c>
      <c r="AH716" t="s">
        <v>2730</v>
      </c>
    </row>
    <row r="717" spans="1:34">
      <c r="A717" s="149" t="str">
        <f>HYPERLINK("http://www.ofsted.gov.uk/inspection-reports/find-inspection-report/provider/ELS/101687 ","Ofsted School Webpage")</f>
        <v>Ofsted School Webpage</v>
      </c>
      <c r="B717">
        <v>101687</v>
      </c>
      <c r="C717">
        <v>3056010</v>
      </c>
      <c r="D717" t="s">
        <v>2149</v>
      </c>
      <c r="E717" t="s">
        <v>37</v>
      </c>
      <c r="F717" t="s">
        <v>184</v>
      </c>
      <c r="G717" t="s">
        <v>441</v>
      </c>
      <c r="H717" t="s">
        <v>2729</v>
      </c>
      <c r="I717" t="s">
        <v>2730</v>
      </c>
      <c r="J717" t="s">
        <v>186</v>
      </c>
      <c r="K717" t="s">
        <v>232</v>
      </c>
      <c r="L717" t="s">
        <v>232</v>
      </c>
      <c r="M717" t="s">
        <v>587</v>
      </c>
      <c r="N717" t="s">
        <v>2150</v>
      </c>
      <c r="O717" t="s">
        <v>2151</v>
      </c>
      <c r="P717" s="120">
        <v>41702</v>
      </c>
      <c r="Q717" s="120">
        <v>41704</v>
      </c>
      <c r="R717" s="120">
        <v>41725</v>
      </c>
      <c r="S717" t="s">
        <v>196</v>
      </c>
      <c r="T717">
        <v>2</v>
      </c>
      <c r="U717" t="s">
        <v>2730</v>
      </c>
      <c r="V717">
        <v>2</v>
      </c>
      <c r="W717" t="s">
        <v>2730</v>
      </c>
      <c r="X717">
        <v>2</v>
      </c>
      <c r="Y717">
        <v>2</v>
      </c>
      <c r="Z717" t="s">
        <v>2730</v>
      </c>
      <c r="AA717" t="s">
        <v>2730</v>
      </c>
      <c r="AB717" t="s">
        <v>2730</v>
      </c>
      <c r="AC717" t="s">
        <v>2730</v>
      </c>
      <c r="AD717" t="s">
        <v>2730</v>
      </c>
      <c r="AE717" t="s">
        <v>2730</v>
      </c>
      <c r="AF717" t="s">
        <v>2730</v>
      </c>
      <c r="AG717" t="s">
        <v>2730</v>
      </c>
      <c r="AH717" t="s">
        <v>2730</v>
      </c>
    </row>
    <row r="718" spans="1:34">
      <c r="A718" s="149" t="str">
        <f>HYPERLINK("http://www.ofsted.gov.uk/inspection-reports/find-inspection-report/provider/ELS/137327 ","Ofsted School Webpage")</f>
        <v>Ofsted School Webpage</v>
      </c>
      <c r="B718">
        <v>137327</v>
      </c>
      <c r="C718">
        <v>9256000</v>
      </c>
      <c r="D718" t="s">
        <v>1963</v>
      </c>
      <c r="E718" t="s">
        <v>37</v>
      </c>
      <c r="F718" t="s">
        <v>184</v>
      </c>
      <c r="G718" t="s">
        <v>184</v>
      </c>
      <c r="H718" t="s">
        <v>2729</v>
      </c>
      <c r="I718" t="s">
        <v>2730</v>
      </c>
      <c r="J718" t="s">
        <v>186</v>
      </c>
      <c r="K718" t="s">
        <v>214</v>
      </c>
      <c r="L718" t="s">
        <v>214</v>
      </c>
      <c r="M718" t="s">
        <v>684</v>
      </c>
      <c r="N718" t="s">
        <v>1964</v>
      </c>
      <c r="O718">
        <v>10006080</v>
      </c>
      <c r="P718" s="120">
        <v>42388</v>
      </c>
      <c r="Q718" s="120">
        <v>42390</v>
      </c>
      <c r="R718" s="120">
        <v>42426</v>
      </c>
      <c r="S718" t="s">
        <v>196</v>
      </c>
      <c r="T718">
        <v>1</v>
      </c>
      <c r="U718" t="s">
        <v>128</v>
      </c>
      <c r="V718">
        <v>1</v>
      </c>
      <c r="W718">
        <v>1</v>
      </c>
      <c r="X718">
        <v>1</v>
      </c>
      <c r="Y718">
        <v>1</v>
      </c>
      <c r="Z718">
        <v>1</v>
      </c>
      <c r="AA718" t="s">
        <v>2730</v>
      </c>
      <c r="AB718" t="s">
        <v>2732</v>
      </c>
      <c r="AC718" t="s">
        <v>2730</v>
      </c>
      <c r="AD718" t="s">
        <v>2730</v>
      </c>
      <c r="AE718" s="120" t="s">
        <v>2730</v>
      </c>
      <c r="AF718" t="s">
        <v>2730</v>
      </c>
      <c r="AG718" s="120" t="s">
        <v>2730</v>
      </c>
      <c r="AH718" t="s">
        <v>2730</v>
      </c>
    </row>
    <row r="719" spans="1:34">
      <c r="A719" s="149" t="str">
        <f>HYPERLINK("http://www.ofsted.gov.uk/inspection-reports/find-inspection-report/provider/ELS/109723 ","Ofsted School Webpage")</f>
        <v>Ofsted School Webpage</v>
      </c>
      <c r="B719">
        <v>109723</v>
      </c>
      <c r="C719">
        <v>8236007</v>
      </c>
      <c r="D719" t="s">
        <v>414</v>
      </c>
      <c r="E719" t="s">
        <v>37</v>
      </c>
      <c r="F719" t="s">
        <v>184</v>
      </c>
      <c r="G719" t="s">
        <v>184</v>
      </c>
      <c r="H719" t="s">
        <v>2729</v>
      </c>
      <c r="I719" t="s">
        <v>2730</v>
      </c>
      <c r="J719" t="s">
        <v>186</v>
      </c>
      <c r="K719" t="s">
        <v>220</v>
      </c>
      <c r="L719" t="s">
        <v>220</v>
      </c>
      <c r="M719" t="s">
        <v>415</v>
      </c>
      <c r="N719" t="s">
        <v>416</v>
      </c>
      <c r="O719">
        <v>10026060</v>
      </c>
      <c r="P719" s="120">
        <v>43011</v>
      </c>
      <c r="Q719" s="120">
        <v>43013</v>
      </c>
      <c r="R719" s="120">
        <v>43055</v>
      </c>
      <c r="S719" t="s">
        <v>196</v>
      </c>
      <c r="T719">
        <v>2</v>
      </c>
      <c r="U719" t="s">
        <v>128</v>
      </c>
      <c r="V719">
        <v>2</v>
      </c>
      <c r="W719">
        <v>2</v>
      </c>
      <c r="X719">
        <v>2</v>
      </c>
      <c r="Y719">
        <v>2</v>
      </c>
      <c r="Z719">
        <v>2</v>
      </c>
      <c r="AA719" t="s">
        <v>2730</v>
      </c>
      <c r="AB719" t="s">
        <v>2732</v>
      </c>
      <c r="AC719" t="s">
        <v>2730</v>
      </c>
      <c r="AD719" t="s">
        <v>2730</v>
      </c>
      <c r="AE719" t="s">
        <v>2730</v>
      </c>
      <c r="AF719" t="s">
        <v>2730</v>
      </c>
      <c r="AG719" t="s">
        <v>2730</v>
      </c>
      <c r="AH719" t="s">
        <v>2730</v>
      </c>
    </row>
    <row r="720" spans="1:34">
      <c r="A720" s="149" t="str">
        <f>HYPERLINK("http://www.ofsted.gov.uk/inspection-reports/find-inspection-report/provider/ELS/131567 ","Ofsted School Webpage")</f>
        <v>Ofsted School Webpage</v>
      </c>
      <c r="B720">
        <v>131567</v>
      </c>
      <c r="C720">
        <v>8866113</v>
      </c>
      <c r="D720" t="s">
        <v>1965</v>
      </c>
      <c r="E720" t="s">
        <v>37</v>
      </c>
      <c r="F720" t="s">
        <v>184</v>
      </c>
      <c r="G720" t="s">
        <v>212</v>
      </c>
      <c r="H720" t="s">
        <v>2729</v>
      </c>
      <c r="I720" t="s">
        <v>2730</v>
      </c>
      <c r="J720" t="s">
        <v>186</v>
      </c>
      <c r="K720" t="s">
        <v>181</v>
      </c>
      <c r="L720" t="s">
        <v>181</v>
      </c>
      <c r="M720" t="s">
        <v>182</v>
      </c>
      <c r="N720" t="s">
        <v>1966</v>
      </c>
      <c r="O720">
        <v>10008566</v>
      </c>
      <c r="P720" s="120">
        <v>42556</v>
      </c>
      <c r="Q720" s="120">
        <v>42558</v>
      </c>
      <c r="R720" s="120">
        <v>42634</v>
      </c>
      <c r="S720" t="s">
        <v>267</v>
      </c>
      <c r="T720">
        <v>1</v>
      </c>
      <c r="U720" t="s">
        <v>128</v>
      </c>
      <c r="V720">
        <v>1</v>
      </c>
      <c r="W720">
        <v>1</v>
      </c>
      <c r="X720">
        <v>1</v>
      </c>
      <c r="Y720">
        <v>1</v>
      </c>
      <c r="Z720">
        <v>1</v>
      </c>
      <c r="AA720" t="s">
        <v>2730</v>
      </c>
      <c r="AB720" t="s">
        <v>2732</v>
      </c>
      <c r="AC720" t="s">
        <v>2730</v>
      </c>
      <c r="AD720" t="s">
        <v>2730</v>
      </c>
      <c r="AE720" s="120" t="s">
        <v>2730</v>
      </c>
      <c r="AF720" t="s">
        <v>2730</v>
      </c>
      <c r="AG720" s="120" t="s">
        <v>2730</v>
      </c>
      <c r="AH720" t="s">
        <v>2730</v>
      </c>
    </row>
    <row r="721" spans="1:34">
      <c r="A721" s="149" t="str">
        <f>HYPERLINK("http://www.ofsted.gov.uk/inspection-reports/find-inspection-report/provider/ELS/107795 ","Ofsted School Webpage")</f>
        <v>Ofsted School Webpage</v>
      </c>
      <c r="B721">
        <v>107795</v>
      </c>
      <c r="C721">
        <v>3826018</v>
      </c>
      <c r="D721" t="s">
        <v>1969</v>
      </c>
      <c r="E721" t="s">
        <v>37</v>
      </c>
      <c r="F721" t="s">
        <v>212</v>
      </c>
      <c r="G721" t="s">
        <v>212</v>
      </c>
      <c r="H721" t="s">
        <v>2729</v>
      </c>
      <c r="I721" t="s">
        <v>2730</v>
      </c>
      <c r="J721" t="s">
        <v>186</v>
      </c>
      <c r="K721" t="s">
        <v>245</v>
      </c>
      <c r="L721" t="s">
        <v>246</v>
      </c>
      <c r="M721" t="s">
        <v>768</v>
      </c>
      <c r="N721" t="s">
        <v>1970</v>
      </c>
      <c r="O721">
        <v>10008555</v>
      </c>
      <c r="P721" s="120">
        <v>42409</v>
      </c>
      <c r="Q721" s="120">
        <v>42411</v>
      </c>
      <c r="R721" s="120">
        <v>42437</v>
      </c>
      <c r="S721" t="s">
        <v>196</v>
      </c>
      <c r="T721">
        <v>2</v>
      </c>
      <c r="U721" t="s">
        <v>128</v>
      </c>
      <c r="V721">
        <v>2</v>
      </c>
      <c r="W721">
        <v>2</v>
      </c>
      <c r="X721">
        <v>2</v>
      </c>
      <c r="Y721">
        <v>2</v>
      </c>
      <c r="Z721">
        <v>3</v>
      </c>
      <c r="AA721" t="s">
        <v>2730</v>
      </c>
      <c r="AB721" t="s">
        <v>2732</v>
      </c>
      <c r="AC721" t="s">
        <v>2730</v>
      </c>
      <c r="AD721" t="s">
        <v>2730</v>
      </c>
      <c r="AE721" t="s">
        <v>2730</v>
      </c>
      <c r="AF721" t="s">
        <v>2730</v>
      </c>
      <c r="AG721" t="s">
        <v>2730</v>
      </c>
      <c r="AH721" t="s">
        <v>2730</v>
      </c>
    </row>
    <row r="722" spans="1:34">
      <c r="A722" s="149" t="str">
        <f>HYPERLINK("http://www.ofsted.gov.uk/inspection-reports/find-inspection-report/provider/ELS/130243 ","Ofsted School Webpage")</f>
        <v>Ofsted School Webpage</v>
      </c>
      <c r="B722">
        <v>130243</v>
      </c>
      <c r="C722">
        <v>2066383</v>
      </c>
      <c r="D722" t="s">
        <v>1971</v>
      </c>
      <c r="E722" t="s">
        <v>37</v>
      </c>
      <c r="F722" t="s">
        <v>184</v>
      </c>
      <c r="G722" t="s">
        <v>184</v>
      </c>
      <c r="H722" t="s">
        <v>2729</v>
      </c>
      <c r="I722" t="s">
        <v>2730</v>
      </c>
      <c r="J722" t="s">
        <v>186</v>
      </c>
      <c r="K722" t="s">
        <v>232</v>
      </c>
      <c r="L722" t="s">
        <v>232</v>
      </c>
      <c r="M722" t="s">
        <v>1972</v>
      </c>
      <c r="N722" t="s">
        <v>1973</v>
      </c>
      <c r="O722">
        <v>10006034</v>
      </c>
      <c r="P722" s="120">
        <v>42444</v>
      </c>
      <c r="Q722" s="120">
        <v>42446</v>
      </c>
      <c r="R722" s="120">
        <v>42542</v>
      </c>
      <c r="S722" t="s">
        <v>196</v>
      </c>
      <c r="T722">
        <v>2</v>
      </c>
      <c r="U722" t="s">
        <v>128</v>
      </c>
      <c r="V722">
        <v>2</v>
      </c>
      <c r="W722">
        <v>2</v>
      </c>
      <c r="X722">
        <v>2</v>
      </c>
      <c r="Y722">
        <v>2</v>
      </c>
      <c r="Z722">
        <v>1</v>
      </c>
      <c r="AA722" t="s">
        <v>2730</v>
      </c>
      <c r="AB722" t="s">
        <v>2732</v>
      </c>
      <c r="AC722" t="s">
        <v>2730</v>
      </c>
      <c r="AD722" t="s">
        <v>2730</v>
      </c>
      <c r="AE722" t="s">
        <v>2730</v>
      </c>
      <c r="AF722" t="s">
        <v>2730</v>
      </c>
      <c r="AG722" t="s">
        <v>2730</v>
      </c>
      <c r="AH722" t="s">
        <v>2730</v>
      </c>
    </row>
    <row r="723" spans="1:34">
      <c r="A723" s="149" t="str">
        <f>HYPERLINK("http://www.ofsted.gov.uk/inspection-reports/find-inspection-report/provider/ELS/115436 ","Ofsted School Webpage")</f>
        <v>Ofsted School Webpage</v>
      </c>
      <c r="B723">
        <v>115436</v>
      </c>
      <c r="C723">
        <v>8816041</v>
      </c>
      <c r="D723" t="s">
        <v>1974</v>
      </c>
      <c r="E723" t="s">
        <v>37</v>
      </c>
      <c r="F723" t="s">
        <v>212</v>
      </c>
      <c r="G723" t="s">
        <v>212</v>
      </c>
      <c r="H723" t="s">
        <v>2729</v>
      </c>
      <c r="I723" t="s">
        <v>2730</v>
      </c>
      <c r="J723" t="s">
        <v>186</v>
      </c>
      <c r="K723" t="s">
        <v>220</v>
      </c>
      <c r="L723" t="s">
        <v>220</v>
      </c>
      <c r="M723" t="s">
        <v>323</v>
      </c>
      <c r="N723" t="s">
        <v>1975</v>
      </c>
      <c r="O723" t="s">
        <v>2730</v>
      </c>
      <c r="P723" s="120" t="s">
        <v>2730</v>
      </c>
      <c r="Q723" s="120" t="s">
        <v>2730</v>
      </c>
      <c r="R723" s="120" t="s">
        <v>2730</v>
      </c>
      <c r="S723" t="s">
        <v>2730</v>
      </c>
      <c r="T723" t="s">
        <v>2730</v>
      </c>
      <c r="U723" t="s">
        <v>2730</v>
      </c>
      <c r="V723" t="s">
        <v>2730</v>
      </c>
      <c r="W723" t="s">
        <v>2730</v>
      </c>
      <c r="X723" t="s">
        <v>2730</v>
      </c>
      <c r="Y723" t="s">
        <v>2730</v>
      </c>
      <c r="Z723" t="s">
        <v>2730</v>
      </c>
      <c r="AA723" t="s">
        <v>2730</v>
      </c>
      <c r="AB723" t="s">
        <v>2730</v>
      </c>
      <c r="AC723" t="s">
        <v>2730</v>
      </c>
      <c r="AD723" t="s">
        <v>2730</v>
      </c>
      <c r="AE723" s="120" t="s">
        <v>2730</v>
      </c>
      <c r="AF723" t="s">
        <v>2730</v>
      </c>
      <c r="AG723" s="120" t="s">
        <v>2730</v>
      </c>
      <c r="AH723" t="s">
        <v>2730</v>
      </c>
    </row>
    <row r="724" spans="1:34">
      <c r="A724" s="149" t="str">
        <f>HYPERLINK("http://www.ofsted.gov.uk/inspection-reports/find-inspection-report/provider/ELS/139601 ","Ofsted School Webpage")</f>
        <v>Ofsted School Webpage</v>
      </c>
      <c r="B724">
        <v>139601</v>
      </c>
      <c r="C724">
        <v>2116006</v>
      </c>
      <c r="D724" t="s">
        <v>1976</v>
      </c>
      <c r="E724" t="s">
        <v>37</v>
      </c>
      <c r="F724" t="s">
        <v>184</v>
      </c>
      <c r="G724" t="s">
        <v>184</v>
      </c>
      <c r="H724" t="s">
        <v>2729</v>
      </c>
      <c r="I724" t="s">
        <v>2730</v>
      </c>
      <c r="J724" t="s">
        <v>186</v>
      </c>
      <c r="K724" t="s">
        <v>232</v>
      </c>
      <c r="L724" t="s">
        <v>232</v>
      </c>
      <c r="M724" t="s">
        <v>539</v>
      </c>
      <c r="N724" t="s">
        <v>1977</v>
      </c>
      <c r="O724" t="s">
        <v>1978</v>
      </c>
      <c r="P724" s="120">
        <v>41681</v>
      </c>
      <c r="Q724" s="120">
        <v>41683</v>
      </c>
      <c r="R724" s="120">
        <v>41703</v>
      </c>
      <c r="S724" t="s">
        <v>249</v>
      </c>
      <c r="T724">
        <v>2</v>
      </c>
      <c r="U724" t="s">
        <v>2730</v>
      </c>
      <c r="V724">
        <v>2</v>
      </c>
      <c r="W724" t="s">
        <v>2730</v>
      </c>
      <c r="X724">
        <v>2</v>
      </c>
      <c r="Y724">
        <v>2</v>
      </c>
      <c r="Z724" t="s">
        <v>2730</v>
      </c>
      <c r="AA724" t="s">
        <v>2730</v>
      </c>
      <c r="AB724" t="s">
        <v>2730</v>
      </c>
      <c r="AC724" t="s">
        <v>2730</v>
      </c>
      <c r="AD724" t="s">
        <v>2730</v>
      </c>
      <c r="AE724" t="s">
        <v>2730</v>
      </c>
      <c r="AF724" t="s">
        <v>2730</v>
      </c>
      <c r="AG724" t="s">
        <v>2730</v>
      </c>
      <c r="AH724" t="s">
        <v>2730</v>
      </c>
    </row>
    <row r="725" spans="1:34">
      <c r="A725" s="149" t="str">
        <f>HYPERLINK("http://www.ofsted.gov.uk/inspection-reports/find-inspection-report/provider/ELS/135995 ","Ofsted School Webpage")</f>
        <v>Ofsted School Webpage</v>
      </c>
      <c r="B725">
        <v>135995</v>
      </c>
      <c r="C725">
        <v>8706016</v>
      </c>
      <c r="D725" t="s">
        <v>1979</v>
      </c>
      <c r="E725" t="s">
        <v>37</v>
      </c>
      <c r="F725" t="s">
        <v>184</v>
      </c>
      <c r="G725" t="s">
        <v>184</v>
      </c>
      <c r="H725" t="s">
        <v>2729</v>
      </c>
      <c r="I725" t="s">
        <v>2730</v>
      </c>
      <c r="J725" t="s">
        <v>186</v>
      </c>
      <c r="K725" t="s">
        <v>181</v>
      </c>
      <c r="L725" t="s">
        <v>181</v>
      </c>
      <c r="M725" t="s">
        <v>1980</v>
      </c>
      <c r="N725" t="s">
        <v>1981</v>
      </c>
      <c r="O725" t="s">
        <v>1982</v>
      </c>
      <c r="P725" s="120">
        <v>41674</v>
      </c>
      <c r="Q725" s="120">
        <v>41676</v>
      </c>
      <c r="R725" s="120">
        <v>41697</v>
      </c>
      <c r="S725" t="s">
        <v>196</v>
      </c>
      <c r="T725">
        <v>2</v>
      </c>
      <c r="U725" t="s">
        <v>2730</v>
      </c>
      <c r="V725">
        <v>3</v>
      </c>
      <c r="W725" t="s">
        <v>2730</v>
      </c>
      <c r="X725">
        <v>2</v>
      </c>
      <c r="Y725">
        <v>2</v>
      </c>
      <c r="Z725" t="s">
        <v>2730</v>
      </c>
      <c r="AA725" t="s">
        <v>2730</v>
      </c>
      <c r="AB725" t="s">
        <v>2730</v>
      </c>
      <c r="AC725" t="s">
        <v>2730</v>
      </c>
      <c r="AD725" t="s">
        <v>2730</v>
      </c>
      <c r="AE725" s="120" t="s">
        <v>2730</v>
      </c>
      <c r="AF725" t="s">
        <v>2730</v>
      </c>
      <c r="AG725" s="120" t="s">
        <v>2730</v>
      </c>
      <c r="AH725" t="s">
        <v>2730</v>
      </c>
    </row>
    <row r="726" spans="1:34">
      <c r="A726" s="149" t="str">
        <f>HYPERLINK("http://www.ofsted.gov.uk/inspection-reports/find-inspection-report/provider/ELS/136706 ","Ofsted School Webpage")</f>
        <v>Ofsted School Webpage</v>
      </c>
      <c r="B726">
        <v>136706</v>
      </c>
      <c r="C726">
        <v>8696201</v>
      </c>
      <c r="D726" t="s">
        <v>777</v>
      </c>
      <c r="E726" t="s">
        <v>37</v>
      </c>
      <c r="F726" t="s">
        <v>184</v>
      </c>
      <c r="G726" t="s">
        <v>212</v>
      </c>
      <c r="H726" t="s">
        <v>2729</v>
      </c>
      <c r="I726" t="s">
        <v>2730</v>
      </c>
      <c r="J726" t="s">
        <v>186</v>
      </c>
      <c r="K726" t="s">
        <v>181</v>
      </c>
      <c r="L726" t="s">
        <v>181</v>
      </c>
      <c r="M726" t="s">
        <v>599</v>
      </c>
      <c r="N726" t="s">
        <v>778</v>
      </c>
      <c r="O726" t="s">
        <v>779</v>
      </c>
      <c r="P726" s="120">
        <v>42136</v>
      </c>
      <c r="Q726" s="120">
        <v>42138</v>
      </c>
      <c r="R726" s="120">
        <v>42174</v>
      </c>
      <c r="S726" t="s">
        <v>196</v>
      </c>
      <c r="T726">
        <v>2</v>
      </c>
      <c r="U726" t="s">
        <v>2730</v>
      </c>
      <c r="V726">
        <v>2</v>
      </c>
      <c r="W726" t="s">
        <v>2730</v>
      </c>
      <c r="X726">
        <v>2</v>
      </c>
      <c r="Y726">
        <v>2</v>
      </c>
      <c r="Z726">
        <v>9</v>
      </c>
      <c r="AA726">
        <v>9</v>
      </c>
      <c r="AB726" t="s">
        <v>2730</v>
      </c>
      <c r="AC726" t="s">
        <v>2730</v>
      </c>
      <c r="AD726" t="s">
        <v>2730</v>
      </c>
      <c r="AE726" t="s">
        <v>2730</v>
      </c>
      <c r="AF726" t="s">
        <v>2730</v>
      </c>
      <c r="AG726" t="s">
        <v>2730</v>
      </c>
      <c r="AH726" t="s">
        <v>2730</v>
      </c>
    </row>
    <row r="727" spans="1:34">
      <c r="A727" s="149" t="str">
        <f>HYPERLINK("http://www.ofsted.gov.uk/inspection-reports/find-inspection-report/provider/ELS/136504 ","Ofsted School Webpage")</f>
        <v>Ofsted School Webpage</v>
      </c>
      <c r="B727">
        <v>136504</v>
      </c>
      <c r="C727">
        <v>2056405</v>
      </c>
      <c r="D727" t="s">
        <v>780</v>
      </c>
      <c r="E727" t="s">
        <v>37</v>
      </c>
      <c r="F727" t="s">
        <v>184</v>
      </c>
      <c r="G727" t="s">
        <v>292</v>
      </c>
      <c r="H727" t="s">
        <v>2729</v>
      </c>
      <c r="I727" t="s">
        <v>2730</v>
      </c>
      <c r="J727" t="s">
        <v>186</v>
      </c>
      <c r="K727" t="s">
        <v>232</v>
      </c>
      <c r="L727" t="s">
        <v>232</v>
      </c>
      <c r="M727" t="s">
        <v>300</v>
      </c>
      <c r="N727" t="s">
        <v>781</v>
      </c>
      <c r="O727" t="s">
        <v>782</v>
      </c>
      <c r="P727" s="120">
        <v>42137</v>
      </c>
      <c r="Q727" s="120">
        <v>42139</v>
      </c>
      <c r="R727" s="120">
        <v>42177</v>
      </c>
      <c r="S727" t="s">
        <v>196</v>
      </c>
      <c r="T727">
        <v>2</v>
      </c>
      <c r="U727" t="s">
        <v>2730</v>
      </c>
      <c r="V727">
        <v>2</v>
      </c>
      <c r="W727" t="s">
        <v>2730</v>
      </c>
      <c r="X727">
        <v>2</v>
      </c>
      <c r="Y727">
        <v>2</v>
      </c>
      <c r="Z727">
        <v>9</v>
      </c>
      <c r="AA727">
        <v>9</v>
      </c>
      <c r="AB727" t="s">
        <v>2730</v>
      </c>
      <c r="AC727" t="s">
        <v>2730</v>
      </c>
      <c r="AD727" t="s">
        <v>2730</v>
      </c>
      <c r="AE727" t="s">
        <v>2730</v>
      </c>
      <c r="AF727" t="s">
        <v>2730</v>
      </c>
      <c r="AG727" t="s">
        <v>2730</v>
      </c>
      <c r="AH727" t="s">
        <v>2730</v>
      </c>
    </row>
    <row r="728" spans="1:34">
      <c r="A728" s="149" t="str">
        <f>HYPERLINK("http://www.ofsted.gov.uk/inspection-reports/find-inspection-report/provider/ELS/133553 ","Ofsted School Webpage")</f>
        <v>Ofsted School Webpage</v>
      </c>
      <c r="B728">
        <v>133553</v>
      </c>
      <c r="C728">
        <v>3026115</v>
      </c>
      <c r="D728" t="s">
        <v>783</v>
      </c>
      <c r="E728" t="s">
        <v>37</v>
      </c>
      <c r="F728" t="s">
        <v>184</v>
      </c>
      <c r="G728" t="s">
        <v>318</v>
      </c>
      <c r="H728" t="s">
        <v>2729</v>
      </c>
      <c r="I728" t="s">
        <v>2730</v>
      </c>
      <c r="J728" t="s">
        <v>186</v>
      </c>
      <c r="K728" t="s">
        <v>232</v>
      </c>
      <c r="L728" t="s">
        <v>232</v>
      </c>
      <c r="M728" t="s">
        <v>311</v>
      </c>
      <c r="N728" t="s">
        <v>784</v>
      </c>
      <c r="O728">
        <v>10021534</v>
      </c>
      <c r="P728" s="120">
        <v>42675</v>
      </c>
      <c r="Q728" s="120">
        <v>42677</v>
      </c>
      <c r="R728" s="120">
        <v>42709</v>
      </c>
      <c r="S728" t="s">
        <v>196</v>
      </c>
      <c r="T728">
        <v>3</v>
      </c>
      <c r="U728" t="s">
        <v>128</v>
      </c>
      <c r="V728">
        <v>3</v>
      </c>
      <c r="W728">
        <v>2</v>
      </c>
      <c r="X728">
        <v>3</v>
      </c>
      <c r="Y728">
        <v>3</v>
      </c>
      <c r="Z728">
        <v>2</v>
      </c>
      <c r="AA728" t="s">
        <v>2730</v>
      </c>
      <c r="AB728" t="s">
        <v>2733</v>
      </c>
      <c r="AC728">
        <v>10034607</v>
      </c>
      <c r="AD728" t="s">
        <v>187</v>
      </c>
      <c r="AE728" s="120">
        <v>42871</v>
      </c>
      <c r="AF728" t="s">
        <v>2769</v>
      </c>
      <c r="AG728" s="120">
        <v>42905</v>
      </c>
      <c r="AH728" t="s">
        <v>189</v>
      </c>
    </row>
    <row r="729" spans="1:34">
      <c r="A729" s="149" t="str">
        <f>HYPERLINK("http://www.ofsted.gov.uk/inspection-reports/find-inspection-report/provider/ELS/136503 ","Ofsted School Webpage")</f>
        <v>Ofsted School Webpage</v>
      </c>
      <c r="B729">
        <v>136503</v>
      </c>
      <c r="C729">
        <v>3556058</v>
      </c>
      <c r="D729" t="s">
        <v>2097</v>
      </c>
      <c r="E729" t="s">
        <v>37</v>
      </c>
      <c r="F729" t="s">
        <v>184</v>
      </c>
      <c r="G729" t="s">
        <v>318</v>
      </c>
      <c r="H729" t="s">
        <v>2729</v>
      </c>
      <c r="I729" t="s">
        <v>2730</v>
      </c>
      <c r="J729" t="s">
        <v>186</v>
      </c>
      <c r="K729" t="s">
        <v>205</v>
      </c>
      <c r="L729" t="s">
        <v>205</v>
      </c>
      <c r="M729" t="s">
        <v>853</v>
      </c>
      <c r="N729" t="s">
        <v>2098</v>
      </c>
      <c r="O729">
        <v>10004161</v>
      </c>
      <c r="P729" s="120">
        <v>42325</v>
      </c>
      <c r="Q729" s="120">
        <v>42327</v>
      </c>
      <c r="R729" s="120">
        <v>42380</v>
      </c>
      <c r="S729" t="s">
        <v>196</v>
      </c>
      <c r="T729">
        <v>4</v>
      </c>
      <c r="U729" t="s">
        <v>129</v>
      </c>
      <c r="V729">
        <v>4</v>
      </c>
      <c r="W729">
        <v>4</v>
      </c>
      <c r="X729">
        <v>4</v>
      </c>
      <c r="Y729">
        <v>4</v>
      </c>
      <c r="Z729">
        <v>4</v>
      </c>
      <c r="AA729" t="s">
        <v>2730</v>
      </c>
      <c r="AB729" t="s">
        <v>2733</v>
      </c>
      <c r="AC729">
        <v>10026235</v>
      </c>
      <c r="AD729" t="s">
        <v>187</v>
      </c>
      <c r="AE729" s="120">
        <v>42696</v>
      </c>
      <c r="AF729" t="s">
        <v>2769</v>
      </c>
      <c r="AG729" s="120">
        <v>42816</v>
      </c>
      <c r="AH729" t="s">
        <v>217</v>
      </c>
    </row>
    <row r="730" spans="1:34">
      <c r="A730" s="149" t="str">
        <f>HYPERLINK("http://www.ofsted.gov.uk/inspection-reports/find-inspection-report/provider/ELS/142411 ","Ofsted School Webpage")</f>
        <v>Ofsted School Webpage</v>
      </c>
      <c r="B730">
        <v>142411</v>
      </c>
      <c r="C730">
        <v>8876009</v>
      </c>
      <c r="D730" t="s">
        <v>2642</v>
      </c>
      <c r="E730" t="s">
        <v>38</v>
      </c>
      <c r="F730" t="s">
        <v>184</v>
      </c>
      <c r="G730" t="s">
        <v>184</v>
      </c>
      <c r="H730" t="s">
        <v>2729</v>
      </c>
      <c r="I730" t="s">
        <v>2730</v>
      </c>
      <c r="J730" t="s">
        <v>186</v>
      </c>
      <c r="K730" t="s">
        <v>181</v>
      </c>
      <c r="L730" t="s">
        <v>181</v>
      </c>
      <c r="M730" t="s">
        <v>272</v>
      </c>
      <c r="N730" t="s">
        <v>2643</v>
      </c>
      <c r="O730">
        <v>10013000</v>
      </c>
      <c r="P730" s="120">
        <v>42535</v>
      </c>
      <c r="Q730" s="120">
        <v>42536</v>
      </c>
      <c r="R730" s="120">
        <v>42570</v>
      </c>
      <c r="S730" t="s">
        <v>249</v>
      </c>
      <c r="T730">
        <v>3</v>
      </c>
      <c r="U730" t="s">
        <v>128</v>
      </c>
      <c r="V730">
        <v>3</v>
      </c>
      <c r="W730">
        <v>2</v>
      </c>
      <c r="X730">
        <v>3</v>
      </c>
      <c r="Y730">
        <v>3</v>
      </c>
      <c r="Z730" t="s">
        <v>2730</v>
      </c>
      <c r="AA730" t="s">
        <v>2730</v>
      </c>
      <c r="AB730" t="s">
        <v>2732</v>
      </c>
      <c r="AC730" t="s">
        <v>2730</v>
      </c>
      <c r="AD730" t="s">
        <v>2730</v>
      </c>
      <c r="AE730" s="120" t="s">
        <v>2730</v>
      </c>
      <c r="AF730" t="s">
        <v>2730</v>
      </c>
      <c r="AG730" s="120" t="s">
        <v>2730</v>
      </c>
      <c r="AH730" t="s">
        <v>2730</v>
      </c>
    </row>
    <row r="731" spans="1:34">
      <c r="A731" s="149" t="str">
        <f>HYPERLINK("http://www.ofsted.gov.uk/inspection-reports/find-inspection-report/provider/ELS/142413 ","Ofsted School Webpage")</f>
        <v>Ofsted School Webpage</v>
      </c>
      <c r="B731">
        <v>142413</v>
      </c>
      <c r="C731">
        <v>9196001</v>
      </c>
      <c r="D731" t="s">
        <v>2644</v>
      </c>
      <c r="E731" t="s">
        <v>37</v>
      </c>
      <c r="F731" t="s">
        <v>184</v>
      </c>
      <c r="G731" t="s">
        <v>184</v>
      </c>
      <c r="H731" t="s">
        <v>2729</v>
      </c>
      <c r="I731" t="s">
        <v>2730</v>
      </c>
      <c r="J731" t="s">
        <v>186</v>
      </c>
      <c r="K731" t="s">
        <v>220</v>
      </c>
      <c r="L731" t="s">
        <v>220</v>
      </c>
      <c r="M731" t="s">
        <v>822</v>
      </c>
      <c r="N731" t="s">
        <v>2645</v>
      </c>
      <c r="O731">
        <v>10012985</v>
      </c>
      <c r="P731" s="120">
        <v>42787</v>
      </c>
      <c r="Q731" s="120">
        <v>42789</v>
      </c>
      <c r="R731" s="120">
        <v>42822</v>
      </c>
      <c r="S731" t="s">
        <v>249</v>
      </c>
      <c r="T731">
        <v>3</v>
      </c>
      <c r="U731" t="s">
        <v>128</v>
      </c>
      <c r="V731">
        <v>3</v>
      </c>
      <c r="W731">
        <v>2</v>
      </c>
      <c r="X731">
        <v>3</v>
      </c>
      <c r="Y731">
        <v>3</v>
      </c>
      <c r="Z731">
        <v>2</v>
      </c>
      <c r="AA731" t="s">
        <v>2730</v>
      </c>
      <c r="AB731" t="s">
        <v>2733</v>
      </c>
      <c r="AC731">
        <v>10043074</v>
      </c>
      <c r="AD731" t="s">
        <v>187</v>
      </c>
      <c r="AE731" s="120">
        <v>43056</v>
      </c>
      <c r="AF731" t="s">
        <v>2771</v>
      </c>
      <c r="AG731" s="120">
        <v>43082</v>
      </c>
      <c r="AH731" t="s">
        <v>189</v>
      </c>
    </row>
    <row r="732" spans="1:34">
      <c r="A732" s="149" t="str">
        <f>HYPERLINK("http://www.ofsted.gov.uk/inspection-reports/find-inspection-report/provider/ELS/142416 ","Ofsted School Webpage")</f>
        <v>Ofsted School Webpage</v>
      </c>
      <c r="B732">
        <v>142416</v>
      </c>
      <c r="C732">
        <v>9366006</v>
      </c>
      <c r="D732" t="s">
        <v>2646</v>
      </c>
      <c r="E732" t="s">
        <v>37</v>
      </c>
      <c r="F732" t="s">
        <v>184</v>
      </c>
      <c r="G732" t="s">
        <v>184</v>
      </c>
      <c r="H732" t="s">
        <v>2729</v>
      </c>
      <c r="I732" t="s">
        <v>2730</v>
      </c>
      <c r="J732" t="s">
        <v>186</v>
      </c>
      <c r="K732" t="s">
        <v>181</v>
      </c>
      <c r="L732" t="s">
        <v>181</v>
      </c>
      <c r="M732" t="s">
        <v>582</v>
      </c>
      <c r="N732" t="s">
        <v>2647</v>
      </c>
      <c r="O732">
        <v>10025994</v>
      </c>
      <c r="P732" s="120">
        <v>42864</v>
      </c>
      <c r="Q732" s="120">
        <v>42865</v>
      </c>
      <c r="R732" s="120">
        <v>42888</v>
      </c>
      <c r="S732" t="s">
        <v>249</v>
      </c>
      <c r="T732">
        <v>2</v>
      </c>
      <c r="U732" t="s">
        <v>128</v>
      </c>
      <c r="V732">
        <v>2</v>
      </c>
      <c r="W732">
        <v>2</v>
      </c>
      <c r="X732">
        <v>1</v>
      </c>
      <c r="Y732">
        <v>1</v>
      </c>
      <c r="Z732" t="s">
        <v>2730</v>
      </c>
      <c r="AA732" t="s">
        <v>2730</v>
      </c>
      <c r="AB732" t="s">
        <v>2732</v>
      </c>
      <c r="AC732" t="s">
        <v>2730</v>
      </c>
      <c r="AD732" t="s">
        <v>2730</v>
      </c>
      <c r="AE732" t="s">
        <v>2730</v>
      </c>
      <c r="AF732" t="s">
        <v>2730</v>
      </c>
      <c r="AG732" t="s">
        <v>2730</v>
      </c>
      <c r="AH732" t="s">
        <v>2730</v>
      </c>
    </row>
    <row r="733" spans="1:34">
      <c r="A733" s="149" t="str">
        <f>HYPERLINK("http://www.ofsted.gov.uk/inspection-reports/find-inspection-report/provider/ELS/142474 ","Ofsted School Webpage")</f>
        <v>Ofsted School Webpage</v>
      </c>
      <c r="B733">
        <v>142474</v>
      </c>
      <c r="C733">
        <v>8406014</v>
      </c>
      <c r="D733" t="s">
        <v>2648</v>
      </c>
      <c r="E733" t="s">
        <v>37</v>
      </c>
      <c r="F733" t="s">
        <v>184</v>
      </c>
      <c r="G733" t="s">
        <v>184</v>
      </c>
      <c r="H733" t="s">
        <v>2729</v>
      </c>
      <c r="I733" t="s">
        <v>2730</v>
      </c>
      <c r="J733" t="s">
        <v>186</v>
      </c>
      <c r="K733" t="s">
        <v>245</v>
      </c>
      <c r="L733" t="s">
        <v>277</v>
      </c>
      <c r="M733" t="s">
        <v>1125</v>
      </c>
      <c r="N733" t="s">
        <v>2649</v>
      </c>
      <c r="O733">
        <v>10020870</v>
      </c>
      <c r="P733" s="120">
        <v>42717</v>
      </c>
      <c r="Q733" s="120">
        <v>42719</v>
      </c>
      <c r="R733" s="120">
        <v>42761</v>
      </c>
      <c r="S733" t="s">
        <v>249</v>
      </c>
      <c r="T733">
        <v>3</v>
      </c>
      <c r="U733" t="s">
        <v>128</v>
      </c>
      <c r="V733">
        <v>3</v>
      </c>
      <c r="W733">
        <v>2</v>
      </c>
      <c r="X733">
        <v>3</v>
      </c>
      <c r="Y733">
        <v>3</v>
      </c>
      <c r="Z733" t="s">
        <v>2730</v>
      </c>
      <c r="AA733" t="s">
        <v>2730</v>
      </c>
      <c r="AB733" t="s">
        <v>2732</v>
      </c>
      <c r="AC733" t="s">
        <v>2730</v>
      </c>
      <c r="AD733" t="s">
        <v>2730</v>
      </c>
      <c r="AE733" t="s">
        <v>2730</v>
      </c>
      <c r="AF733" t="s">
        <v>2730</v>
      </c>
      <c r="AG733" t="s">
        <v>2730</v>
      </c>
      <c r="AH733" t="s">
        <v>2730</v>
      </c>
    </row>
    <row r="734" spans="1:34">
      <c r="A734" s="149" t="str">
        <f>HYPERLINK("http://www.ofsted.gov.uk/inspection-reports/find-inspection-report/provider/ELS/141697 ","Ofsted School Webpage")</f>
        <v>Ofsted School Webpage</v>
      </c>
      <c r="B734">
        <v>141697</v>
      </c>
      <c r="C734">
        <v>3056013</v>
      </c>
      <c r="D734" t="s">
        <v>586</v>
      </c>
      <c r="E734" t="s">
        <v>38</v>
      </c>
      <c r="F734" t="s">
        <v>184</v>
      </c>
      <c r="G734" t="s">
        <v>184</v>
      </c>
      <c r="H734" t="s">
        <v>2729</v>
      </c>
      <c r="I734" t="s">
        <v>2730</v>
      </c>
      <c r="J734" t="s">
        <v>186</v>
      </c>
      <c r="K734" t="s">
        <v>232</v>
      </c>
      <c r="L734" t="s">
        <v>232</v>
      </c>
      <c r="M734" t="s">
        <v>587</v>
      </c>
      <c r="N734" t="s">
        <v>588</v>
      </c>
      <c r="O734">
        <v>10006303</v>
      </c>
      <c r="P734" s="120">
        <v>42486</v>
      </c>
      <c r="Q734" s="120">
        <v>42488</v>
      </c>
      <c r="R734" s="120">
        <v>42557</v>
      </c>
      <c r="S734" t="s">
        <v>249</v>
      </c>
      <c r="T734">
        <v>2</v>
      </c>
      <c r="U734" t="s">
        <v>128</v>
      </c>
      <c r="V734">
        <v>2</v>
      </c>
      <c r="W734">
        <v>2</v>
      </c>
      <c r="X734">
        <v>2</v>
      </c>
      <c r="Y734">
        <v>2</v>
      </c>
      <c r="Z734" t="s">
        <v>2730</v>
      </c>
      <c r="AA734">
        <v>2</v>
      </c>
      <c r="AB734" t="s">
        <v>2732</v>
      </c>
      <c r="AC734" t="s">
        <v>2730</v>
      </c>
      <c r="AD734" t="s">
        <v>2730</v>
      </c>
      <c r="AE734" t="s">
        <v>2730</v>
      </c>
      <c r="AF734" t="s">
        <v>2730</v>
      </c>
      <c r="AG734" t="s">
        <v>2730</v>
      </c>
      <c r="AH734" t="s">
        <v>2730</v>
      </c>
    </row>
    <row r="735" spans="1:34">
      <c r="A735" s="149" t="str">
        <f>HYPERLINK("http://www.ofsted.gov.uk/inspection-reports/find-inspection-report/provider/ELS/141861 ","Ofsted School Webpage")</f>
        <v>Ofsted School Webpage</v>
      </c>
      <c r="B735">
        <v>141861</v>
      </c>
      <c r="C735">
        <v>9266010</v>
      </c>
      <c r="D735" t="s">
        <v>589</v>
      </c>
      <c r="E735" t="s">
        <v>38</v>
      </c>
      <c r="F735" t="s">
        <v>184</v>
      </c>
      <c r="G735" t="s">
        <v>184</v>
      </c>
      <c r="H735" t="s">
        <v>2729</v>
      </c>
      <c r="I735" t="s">
        <v>2730</v>
      </c>
      <c r="J735" t="s">
        <v>186</v>
      </c>
      <c r="K735" t="s">
        <v>220</v>
      </c>
      <c r="L735" t="s">
        <v>220</v>
      </c>
      <c r="M735" t="s">
        <v>445</v>
      </c>
      <c r="N735" t="s">
        <v>590</v>
      </c>
      <c r="O735">
        <v>10008624</v>
      </c>
      <c r="P735" s="120">
        <v>42550</v>
      </c>
      <c r="Q735" s="120">
        <v>42552</v>
      </c>
      <c r="R735" s="120">
        <v>42621</v>
      </c>
      <c r="S735" t="s">
        <v>249</v>
      </c>
      <c r="T735">
        <v>2</v>
      </c>
      <c r="U735" t="s">
        <v>128</v>
      </c>
      <c r="V735">
        <v>2</v>
      </c>
      <c r="W735">
        <v>2</v>
      </c>
      <c r="X735">
        <v>2</v>
      </c>
      <c r="Y735">
        <v>2</v>
      </c>
      <c r="Z735" t="s">
        <v>2730</v>
      </c>
      <c r="AA735">
        <v>2</v>
      </c>
      <c r="AB735" t="s">
        <v>2732</v>
      </c>
      <c r="AC735" t="s">
        <v>2730</v>
      </c>
      <c r="AD735" t="s">
        <v>2730</v>
      </c>
      <c r="AE735" s="120" t="s">
        <v>2730</v>
      </c>
      <c r="AF735" t="s">
        <v>2730</v>
      </c>
      <c r="AG735" s="120" t="s">
        <v>2730</v>
      </c>
      <c r="AH735" t="s">
        <v>2730</v>
      </c>
    </row>
    <row r="736" spans="1:34">
      <c r="A736" s="149" t="str">
        <f>HYPERLINK("http://www.ofsted.gov.uk/inspection-reports/find-inspection-report/provider/ELS/141954 ","Ofsted School Webpage")</f>
        <v>Ofsted School Webpage</v>
      </c>
      <c r="B736">
        <v>141954</v>
      </c>
      <c r="C736">
        <v>8416007</v>
      </c>
      <c r="D736" t="s">
        <v>591</v>
      </c>
      <c r="E736" t="s">
        <v>38</v>
      </c>
      <c r="F736" t="s">
        <v>184</v>
      </c>
      <c r="G736" t="s">
        <v>184</v>
      </c>
      <c r="H736" t="s">
        <v>2729</v>
      </c>
      <c r="I736" t="s">
        <v>2730</v>
      </c>
      <c r="J736" t="s">
        <v>186</v>
      </c>
      <c r="K736" t="s">
        <v>245</v>
      </c>
      <c r="L736" t="s">
        <v>277</v>
      </c>
      <c r="M736" t="s">
        <v>592</v>
      </c>
      <c r="N736" t="s">
        <v>593</v>
      </c>
      <c r="O736">
        <v>10008945</v>
      </c>
      <c r="P736" s="120">
        <v>42395</v>
      </c>
      <c r="Q736" s="120">
        <v>42397</v>
      </c>
      <c r="R736" s="120">
        <v>42438</v>
      </c>
      <c r="S736" t="s">
        <v>249</v>
      </c>
      <c r="T736">
        <v>1</v>
      </c>
      <c r="U736" t="s">
        <v>128</v>
      </c>
      <c r="V736">
        <v>1</v>
      </c>
      <c r="W736">
        <v>1</v>
      </c>
      <c r="X736">
        <v>1</v>
      </c>
      <c r="Y736">
        <v>1</v>
      </c>
      <c r="Z736" t="s">
        <v>2730</v>
      </c>
      <c r="AA736" t="s">
        <v>2730</v>
      </c>
      <c r="AB736" t="s">
        <v>2732</v>
      </c>
      <c r="AC736" t="s">
        <v>2730</v>
      </c>
      <c r="AD736" t="s">
        <v>2730</v>
      </c>
      <c r="AE736" t="s">
        <v>2730</v>
      </c>
      <c r="AF736" t="s">
        <v>2730</v>
      </c>
      <c r="AG736" t="s">
        <v>2730</v>
      </c>
      <c r="AH736" t="s">
        <v>2730</v>
      </c>
    </row>
    <row r="737" spans="1:34">
      <c r="A737" s="149" t="str">
        <f>HYPERLINK("http://www.ofsted.gov.uk/inspection-reports/find-inspection-report/provider/ELS/128078 ","Ofsted School Webpage")</f>
        <v>Ofsted School Webpage</v>
      </c>
      <c r="B737">
        <v>128078</v>
      </c>
      <c r="C737">
        <v>8556021</v>
      </c>
      <c r="D737" t="s">
        <v>594</v>
      </c>
      <c r="E737" t="s">
        <v>38</v>
      </c>
      <c r="F737" t="s">
        <v>184</v>
      </c>
      <c r="G737" t="s">
        <v>184</v>
      </c>
      <c r="H737" t="s">
        <v>2729</v>
      </c>
      <c r="I737" t="s">
        <v>2730</v>
      </c>
      <c r="J737" t="s">
        <v>186</v>
      </c>
      <c r="K737" t="s">
        <v>214</v>
      </c>
      <c r="L737" t="s">
        <v>214</v>
      </c>
      <c r="M737" t="s">
        <v>281</v>
      </c>
      <c r="N737" t="s">
        <v>595</v>
      </c>
      <c r="O737">
        <v>10008523</v>
      </c>
      <c r="P737" s="120">
        <v>42430</v>
      </c>
      <c r="Q737" s="120">
        <v>42432</v>
      </c>
      <c r="R737" s="120">
        <v>42472</v>
      </c>
      <c r="S737" t="s">
        <v>196</v>
      </c>
      <c r="T737">
        <v>2</v>
      </c>
      <c r="U737" t="s">
        <v>128</v>
      </c>
      <c r="V737">
        <v>2</v>
      </c>
      <c r="W737">
        <v>2</v>
      </c>
      <c r="X737">
        <v>2</v>
      </c>
      <c r="Y737">
        <v>2</v>
      </c>
      <c r="Z737" t="s">
        <v>2730</v>
      </c>
      <c r="AA737">
        <v>2</v>
      </c>
      <c r="AB737" t="s">
        <v>2732</v>
      </c>
      <c r="AC737" t="s">
        <v>2730</v>
      </c>
      <c r="AD737" t="s">
        <v>2730</v>
      </c>
      <c r="AE737" s="120" t="s">
        <v>2730</v>
      </c>
      <c r="AF737" t="s">
        <v>2730</v>
      </c>
      <c r="AG737" s="120" t="s">
        <v>2730</v>
      </c>
      <c r="AH737" t="s">
        <v>2730</v>
      </c>
    </row>
    <row r="738" spans="1:34">
      <c r="A738" s="149" t="str">
        <f>HYPERLINK("http://www.ofsted.gov.uk/inspection-reports/find-inspection-report/provider/ELS/132120 ","Ofsted School Webpage")</f>
        <v>Ofsted School Webpage</v>
      </c>
      <c r="B738">
        <v>132120</v>
      </c>
      <c r="C738">
        <v>8306024</v>
      </c>
      <c r="D738" t="s">
        <v>1213</v>
      </c>
      <c r="E738" t="s">
        <v>38</v>
      </c>
      <c r="F738" t="s">
        <v>184</v>
      </c>
      <c r="G738" t="s">
        <v>184</v>
      </c>
      <c r="H738" t="s">
        <v>2729</v>
      </c>
      <c r="I738" t="s">
        <v>2730</v>
      </c>
      <c r="J738" t="s">
        <v>186</v>
      </c>
      <c r="K738" t="s">
        <v>214</v>
      </c>
      <c r="L738" t="s">
        <v>214</v>
      </c>
      <c r="M738" t="s">
        <v>364</v>
      </c>
      <c r="N738" t="s">
        <v>1214</v>
      </c>
      <c r="O738" t="s">
        <v>1215</v>
      </c>
      <c r="P738" s="120">
        <v>42165</v>
      </c>
      <c r="Q738" s="120">
        <v>42167</v>
      </c>
      <c r="R738" s="120">
        <v>42193</v>
      </c>
      <c r="S738" t="s">
        <v>3119</v>
      </c>
      <c r="T738">
        <v>2</v>
      </c>
      <c r="U738" t="s">
        <v>2730</v>
      </c>
      <c r="V738">
        <v>2</v>
      </c>
      <c r="W738" t="s">
        <v>2730</v>
      </c>
      <c r="X738">
        <v>2</v>
      </c>
      <c r="Y738">
        <v>2</v>
      </c>
      <c r="Z738">
        <v>9</v>
      </c>
      <c r="AA738">
        <v>2</v>
      </c>
      <c r="AB738" t="s">
        <v>2730</v>
      </c>
      <c r="AC738" t="s">
        <v>2730</v>
      </c>
      <c r="AD738" t="s">
        <v>2730</v>
      </c>
      <c r="AE738" t="s">
        <v>2730</v>
      </c>
      <c r="AF738" t="s">
        <v>2730</v>
      </c>
      <c r="AG738" t="s">
        <v>2730</v>
      </c>
      <c r="AH738" t="s">
        <v>2730</v>
      </c>
    </row>
    <row r="739" spans="1:34">
      <c r="A739" s="149" t="str">
        <f>HYPERLINK("http://www.ofsted.gov.uk/inspection-reports/find-inspection-report/provider/ELS/138408 ","Ofsted School Webpage")</f>
        <v>Ofsted School Webpage</v>
      </c>
      <c r="B739">
        <v>138408</v>
      </c>
      <c r="C739">
        <v>8866139</v>
      </c>
      <c r="D739" t="s">
        <v>256</v>
      </c>
      <c r="E739" t="s">
        <v>38</v>
      </c>
      <c r="F739" t="s">
        <v>184</v>
      </c>
      <c r="G739" t="s">
        <v>184</v>
      </c>
      <c r="H739" t="s">
        <v>2729</v>
      </c>
      <c r="I739" t="s">
        <v>2730</v>
      </c>
      <c r="J739" t="s">
        <v>186</v>
      </c>
      <c r="K739" t="s">
        <v>181</v>
      </c>
      <c r="L739" t="s">
        <v>181</v>
      </c>
      <c r="M739" t="s">
        <v>182</v>
      </c>
      <c r="N739" t="s">
        <v>257</v>
      </c>
      <c r="O739">
        <v>10012918</v>
      </c>
      <c r="P739" s="120">
        <v>43046</v>
      </c>
      <c r="Q739" s="120">
        <v>43048</v>
      </c>
      <c r="R739" s="120">
        <v>43068</v>
      </c>
      <c r="S739" t="s">
        <v>196</v>
      </c>
      <c r="T739">
        <v>3</v>
      </c>
      <c r="U739" t="s">
        <v>128</v>
      </c>
      <c r="V739">
        <v>3</v>
      </c>
      <c r="W739">
        <v>2</v>
      </c>
      <c r="X739">
        <v>3</v>
      </c>
      <c r="Y739">
        <v>3</v>
      </c>
      <c r="Z739" t="s">
        <v>2730</v>
      </c>
      <c r="AA739">
        <v>3</v>
      </c>
      <c r="AB739" t="s">
        <v>2732</v>
      </c>
      <c r="AC739" t="s">
        <v>2730</v>
      </c>
      <c r="AD739" t="s">
        <v>2730</v>
      </c>
      <c r="AE739" t="s">
        <v>2730</v>
      </c>
      <c r="AF739" t="s">
        <v>2730</v>
      </c>
      <c r="AG739" t="s">
        <v>2730</v>
      </c>
      <c r="AH739" t="s">
        <v>2730</v>
      </c>
    </row>
    <row r="740" spans="1:34">
      <c r="A740" s="149" t="str">
        <f>HYPERLINK("http://www.ofsted.gov.uk/inspection-reports/find-inspection-report/provider/ELS/133540 ","Ofsted School Webpage")</f>
        <v>Ofsted School Webpage</v>
      </c>
      <c r="B740">
        <v>133540</v>
      </c>
      <c r="C740">
        <v>8886050</v>
      </c>
      <c r="D740" t="s">
        <v>1181</v>
      </c>
      <c r="E740" t="s">
        <v>38</v>
      </c>
      <c r="F740" t="s">
        <v>184</v>
      </c>
      <c r="G740" t="s">
        <v>184</v>
      </c>
      <c r="H740" t="s">
        <v>2729</v>
      </c>
      <c r="I740" t="s">
        <v>2730</v>
      </c>
      <c r="J740" t="s">
        <v>186</v>
      </c>
      <c r="K740" t="s">
        <v>205</v>
      </c>
      <c r="L740" t="s">
        <v>205</v>
      </c>
      <c r="M740" t="s">
        <v>206</v>
      </c>
      <c r="N740" t="s">
        <v>1182</v>
      </c>
      <c r="O740">
        <v>10008865</v>
      </c>
      <c r="P740" s="120">
        <v>42556</v>
      </c>
      <c r="Q740" s="120">
        <v>42558</v>
      </c>
      <c r="R740" s="120">
        <v>42625</v>
      </c>
      <c r="S740" t="s">
        <v>196</v>
      </c>
      <c r="T740">
        <v>1</v>
      </c>
      <c r="U740" t="s">
        <v>128</v>
      </c>
      <c r="V740">
        <v>1</v>
      </c>
      <c r="W740">
        <v>1</v>
      </c>
      <c r="X740">
        <v>1</v>
      </c>
      <c r="Y740">
        <v>1</v>
      </c>
      <c r="Z740" t="s">
        <v>2730</v>
      </c>
      <c r="AA740">
        <v>1</v>
      </c>
      <c r="AB740" t="s">
        <v>2732</v>
      </c>
      <c r="AC740" t="s">
        <v>2730</v>
      </c>
      <c r="AD740" t="s">
        <v>2730</v>
      </c>
      <c r="AE740" s="120" t="s">
        <v>2730</v>
      </c>
      <c r="AF740" t="s">
        <v>2730</v>
      </c>
      <c r="AG740" s="120" t="s">
        <v>2730</v>
      </c>
      <c r="AH740" t="s">
        <v>2730</v>
      </c>
    </row>
    <row r="741" spans="1:34">
      <c r="A741" s="149" t="str">
        <f>HYPERLINK("http://www.ofsted.gov.uk/inspection-reports/find-inspection-report/provider/ELS/122136 ","Ofsted School Webpage")</f>
        <v>Ofsted School Webpage</v>
      </c>
      <c r="B741">
        <v>122136</v>
      </c>
      <c r="C741">
        <v>9286039</v>
      </c>
      <c r="D741" t="s">
        <v>1183</v>
      </c>
      <c r="E741" t="s">
        <v>38</v>
      </c>
      <c r="F741" t="s">
        <v>184</v>
      </c>
      <c r="G741" t="s">
        <v>184</v>
      </c>
      <c r="H741" t="s">
        <v>2729</v>
      </c>
      <c r="I741" t="s">
        <v>2730</v>
      </c>
      <c r="J741" t="s">
        <v>186</v>
      </c>
      <c r="K741" t="s">
        <v>214</v>
      </c>
      <c r="L741" t="s">
        <v>214</v>
      </c>
      <c r="M741" t="s">
        <v>215</v>
      </c>
      <c r="N741" t="s">
        <v>1184</v>
      </c>
      <c r="O741">
        <v>10008939</v>
      </c>
      <c r="P741" s="120">
        <v>42402</v>
      </c>
      <c r="Q741" s="120">
        <v>42404</v>
      </c>
      <c r="R741" s="120">
        <v>42479</v>
      </c>
      <c r="S741" t="s">
        <v>196</v>
      </c>
      <c r="T741">
        <v>2</v>
      </c>
      <c r="U741" t="s">
        <v>128</v>
      </c>
      <c r="V741">
        <v>2</v>
      </c>
      <c r="W741">
        <v>2</v>
      </c>
      <c r="X741">
        <v>2</v>
      </c>
      <c r="Y741">
        <v>2</v>
      </c>
      <c r="Z741" t="s">
        <v>2730</v>
      </c>
      <c r="AA741">
        <v>2</v>
      </c>
      <c r="AB741" t="s">
        <v>2732</v>
      </c>
      <c r="AC741" t="s">
        <v>2730</v>
      </c>
      <c r="AD741" t="s">
        <v>2730</v>
      </c>
      <c r="AE741" t="s">
        <v>2730</v>
      </c>
      <c r="AF741" t="s">
        <v>2730</v>
      </c>
      <c r="AG741" t="s">
        <v>2730</v>
      </c>
      <c r="AH741" t="s">
        <v>2730</v>
      </c>
    </row>
    <row r="742" spans="1:34">
      <c r="A742" s="149" t="str">
        <f>HYPERLINK("http://www.ofsted.gov.uk/inspection-reports/find-inspection-report/provider/ELS/136740 ","Ofsted School Webpage")</f>
        <v>Ofsted School Webpage</v>
      </c>
      <c r="B742">
        <v>136740</v>
      </c>
      <c r="C742">
        <v>3136083</v>
      </c>
      <c r="D742" t="s">
        <v>1185</v>
      </c>
      <c r="E742" t="s">
        <v>38</v>
      </c>
      <c r="F742" t="s">
        <v>184</v>
      </c>
      <c r="G742" t="s">
        <v>184</v>
      </c>
      <c r="H742" t="s">
        <v>2729</v>
      </c>
      <c r="I742" t="s">
        <v>2730</v>
      </c>
      <c r="J742" t="s">
        <v>186</v>
      </c>
      <c r="K742" t="s">
        <v>232</v>
      </c>
      <c r="L742" t="s">
        <v>232</v>
      </c>
      <c r="M742" t="s">
        <v>269</v>
      </c>
      <c r="N742" t="s">
        <v>1186</v>
      </c>
      <c r="O742">
        <v>10006126</v>
      </c>
      <c r="P742" s="120">
        <v>42353</v>
      </c>
      <c r="Q742" s="120">
        <v>42355</v>
      </c>
      <c r="R742" s="120">
        <v>42389</v>
      </c>
      <c r="S742" t="s">
        <v>196</v>
      </c>
      <c r="T742">
        <v>2</v>
      </c>
      <c r="U742" t="s">
        <v>128</v>
      </c>
      <c r="V742">
        <v>2</v>
      </c>
      <c r="W742">
        <v>2</v>
      </c>
      <c r="X742">
        <v>2</v>
      </c>
      <c r="Y742">
        <v>2</v>
      </c>
      <c r="Z742" t="s">
        <v>2730</v>
      </c>
      <c r="AA742" t="s">
        <v>2730</v>
      </c>
      <c r="AB742" t="s">
        <v>2732</v>
      </c>
      <c r="AC742" t="s">
        <v>2730</v>
      </c>
      <c r="AD742" t="s">
        <v>2730</v>
      </c>
      <c r="AE742" t="s">
        <v>2730</v>
      </c>
      <c r="AF742" t="s">
        <v>2730</v>
      </c>
      <c r="AG742" t="s">
        <v>2730</v>
      </c>
      <c r="AH742" t="s">
        <v>2730</v>
      </c>
    </row>
    <row r="743" spans="1:34">
      <c r="A743" s="149" t="str">
        <f>HYPERLINK("http://www.ofsted.gov.uk/inspection-reports/find-inspection-report/provider/ELS/141515 ","Ofsted School Webpage")</f>
        <v>Ofsted School Webpage</v>
      </c>
      <c r="B743">
        <v>141515</v>
      </c>
      <c r="C743">
        <v>8786064</v>
      </c>
      <c r="D743" t="s">
        <v>1226</v>
      </c>
      <c r="E743" t="s">
        <v>38</v>
      </c>
      <c r="F743" t="s">
        <v>184</v>
      </c>
      <c r="G743" t="s">
        <v>184</v>
      </c>
      <c r="H743" t="s">
        <v>2729</v>
      </c>
      <c r="I743" t="s">
        <v>2730</v>
      </c>
      <c r="J743" t="s">
        <v>186</v>
      </c>
      <c r="K743" t="s">
        <v>225</v>
      </c>
      <c r="L743" t="s">
        <v>225</v>
      </c>
      <c r="M743" t="s">
        <v>367</v>
      </c>
      <c r="N743" t="s">
        <v>1227</v>
      </c>
      <c r="O743">
        <v>10006312</v>
      </c>
      <c r="P743" s="120">
        <v>42381</v>
      </c>
      <c r="Q743" s="120">
        <v>42383</v>
      </c>
      <c r="R743" s="120">
        <v>42430</v>
      </c>
      <c r="S743" t="s">
        <v>249</v>
      </c>
      <c r="T743">
        <v>3</v>
      </c>
      <c r="U743" t="s">
        <v>128</v>
      </c>
      <c r="V743">
        <v>3</v>
      </c>
      <c r="W743">
        <v>3</v>
      </c>
      <c r="X743">
        <v>3</v>
      </c>
      <c r="Y743">
        <v>3</v>
      </c>
      <c r="Z743" t="s">
        <v>2730</v>
      </c>
      <c r="AA743" t="s">
        <v>2730</v>
      </c>
      <c r="AB743" t="s">
        <v>2733</v>
      </c>
      <c r="AC743" t="s">
        <v>2730</v>
      </c>
      <c r="AD743" t="s">
        <v>2730</v>
      </c>
      <c r="AE743" s="120" t="s">
        <v>2730</v>
      </c>
      <c r="AF743" t="s">
        <v>2730</v>
      </c>
      <c r="AG743" s="120" t="s">
        <v>2730</v>
      </c>
      <c r="AH743" t="s">
        <v>2730</v>
      </c>
    </row>
    <row r="744" spans="1:34">
      <c r="A744" s="149" t="str">
        <f>HYPERLINK("http://www.ofsted.gov.uk/inspection-reports/find-inspection-report/provider/ELS/135691 ","Ofsted School Webpage")</f>
        <v>Ofsted School Webpage</v>
      </c>
      <c r="B744">
        <v>135691</v>
      </c>
      <c r="C744">
        <v>9386228</v>
      </c>
      <c r="D744" t="s">
        <v>1228</v>
      </c>
      <c r="E744" t="s">
        <v>38</v>
      </c>
      <c r="F744" t="s">
        <v>184</v>
      </c>
      <c r="G744" t="s">
        <v>184</v>
      </c>
      <c r="H744" t="s">
        <v>2729</v>
      </c>
      <c r="I744" t="s">
        <v>2730</v>
      </c>
      <c r="J744" t="s">
        <v>186</v>
      </c>
      <c r="K744" t="s">
        <v>181</v>
      </c>
      <c r="L744" t="s">
        <v>181</v>
      </c>
      <c r="M744" t="s">
        <v>395</v>
      </c>
      <c r="N744" t="s">
        <v>1229</v>
      </c>
      <c r="O744">
        <v>10006052</v>
      </c>
      <c r="P744" s="120">
        <v>42654</v>
      </c>
      <c r="Q744" s="120">
        <v>42656</v>
      </c>
      <c r="R744" s="120">
        <v>42690</v>
      </c>
      <c r="S744" t="s">
        <v>196</v>
      </c>
      <c r="T744">
        <v>2</v>
      </c>
      <c r="U744" t="s">
        <v>128</v>
      </c>
      <c r="V744">
        <v>2</v>
      </c>
      <c r="W744">
        <v>2</v>
      </c>
      <c r="X744">
        <v>2</v>
      </c>
      <c r="Y744">
        <v>2</v>
      </c>
      <c r="Z744" t="s">
        <v>2730</v>
      </c>
      <c r="AA744" t="s">
        <v>2730</v>
      </c>
      <c r="AB744" t="s">
        <v>2732</v>
      </c>
      <c r="AC744" t="s">
        <v>2730</v>
      </c>
      <c r="AD744" t="s">
        <v>2730</v>
      </c>
      <c r="AE744" s="120" t="s">
        <v>2730</v>
      </c>
      <c r="AF744" t="s">
        <v>2730</v>
      </c>
      <c r="AG744" s="120" t="s">
        <v>2730</v>
      </c>
      <c r="AH744" t="s">
        <v>2730</v>
      </c>
    </row>
    <row r="745" spans="1:34">
      <c r="A745" s="149" t="str">
        <f>HYPERLINK("http://www.ofsted.gov.uk/inspection-reports/find-inspection-report/provider/ELS/139919 ","Ofsted School Webpage")</f>
        <v>Ofsted School Webpage</v>
      </c>
      <c r="B745">
        <v>139919</v>
      </c>
      <c r="C745">
        <v>9376006</v>
      </c>
      <c r="D745" t="s">
        <v>605</v>
      </c>
      <c r="E745" t="s">
        <v>38</v>
      </c>
      <c r="F745" t="s">
        <v>184</v>
      </c>
      <c r="G745" t="s">
        <v>184</v>
      </c>
      <c r="H745" t="s">
        <v>2729</v>
      </c>
      <c r="I745" t="s">
        <v>2730</v>
      </c>
      <c r="J745" t="s">
        <v>186</v>
      </c>
      <c r="K745" t="s">
        <v>193</v>
      </c>
      <c r="L745" t="s">
        <v>193</v>
      </c>
      <c r="M745" t="s">
        <v>377</v>
      </c>
      <c r="N745" t="s">
        <v>606</v>
      </c>
      <c r="O745" t="s">
        <v>607</v>
      </c>
      <c r="P745" s="120">
        <v>41773</v>
      </c>
      <c r="Q745" s="120">
        <v>41775</v>
      </c>
      <c r="R745" s="120">
        <v>41813</v>
      </c>
      <c r="S745" t="s">
        <v>249</v>
      </c>
      <c r="T745">
        <v>4</v>
      </c>
      <c r="U745" t="s">
        <v>2730</v>
      </c>
      <c r="V745">
        <v>4</v>
      </c>
      <c r="W745" t="s">
        <v>2730</v>
      </c>
      <c r="X745">
        <v>4</v>
      </c>
      <c r="Y745">
        <v>4</v>
      </c>
      <c r="Z745" t="s">
        <v>2730</v>
      </c>
      <c r="AA745" t="s">
        <v>2730</v>
      </c>
      <c r="AB745" t="s">
        <v>2730</v>
      </c>
      <c r="AC745" t="s">
        <v>3012</v>
      </c>
      <c r="AD745" t="s">
        <v>187</v>
      </c>
      <c r="AE745" s="120">
        <v>42089</v>
      </c>
      <c r="AF745" t="s">
        <v>3010</v>
      </c>
      <c r="AG745" s="120">
        <v>42116</v>
      </c>
      <c r="AH745" t="s">
        <v>2773</v>
      </c>
    </row>
    <row r="746" spans="1:34">
      <c r="A746" s="149" t="str">
        <f>HYPERLINK("http://www.ofsted.gov.uk/inspection-reports/find-inspection-report/provider/ELS/123929 ","Ofsted School Webpage")</f>
        <v>Ofsted School Webpage</v>
      </c>
      <c r="B746">
        <v>123929</v>
      </c>
      <c r="C746">
        <v>9336173</v>
      </c>
      <c r="D746" t="s">
        <v>608</v>
      </c>
      <c r="E746" t="s">
        <v>38</v>
      </c>
      <c r="F746" t="s">
        <v>184</v>
      </c>
      <c r="G746" t="s">
        <v>184</v>
      </c>
      <c r="H746" t="s">
        <v>2729</v>
      </c>
      <c r="I746" t="s">
        <v>2730</v>
      </c>
      <c r="J746" t="s">
        <v>186</v>
      </c>
      <c r="K746" t="s">
        <v>225</v>
      </c>
      <c r="L746" t="s">
        <v>225</v>
      </c>
      <c r="M746" t="s">
        <v>262</v>
      </c>
      <c r="N746" t="s">
        <v>609</v>
      </c>
      <c r="O746">
        <v>10034720</v>
      </c>
      <c r="P746" s="120">
        <v>42892</v>
      </c>
      <c r="Q746" s="120">
        <v>42894</v>
      </c>
      <c r="R746" s="120">
        <v>42922</v>
      </c>
      <c r="S746" t="s">
        <v>267</v>
      </c>
      <c r="T746">
        <v>3</v>
      </c>
      <c r="U746" t="s">
        <v>128</v>
      </c>
      <c r="V746">
        <v>3</v>
      </c>
      <c r="W746">
        <v>3</v>
      </c>
      <c r="X746">
        <v>3</v>
      </c>
      <c r="Y746">
        <v>3</v>
      </c>
      <c r="Z746" t="s">
        <v>2730</v>
      </c>
      <c r="AA746">
        <v>2</v>
      </c>
      <c r="AB746" t="s">
        <v>2732</v>
      </c>
      <c r="AC746" t="s">
        <v>2730</v>
      </c>
      <c r="AD746" t="s">
        <v>2730</v>
      </c>
      <c r="AE746" t="s">
        <v>2730</v>
      </c>
      <c r="AF746" t="s">
        <v>2730</v>
      </c>
      <c r="AG746" t="s">
        <v>2730</v>
      </c>
      <c r="AH746" t="s">
        <v>2730</v>
      </c>
    </row>
    <row r="747" spans="1:34">
      <c r="A747" s="149" t="str">
        <f>HYPERLINK("http://www.ofsted.gov.uk/inspection-reports/find-inspection-report/provider/ELS/131504 ","Ofsted School Webpage")</f>
        <v>Ofsted School Webpage</v>
      </c>
      <c r="B747">
        <v>131504</v>
      </c>
      <c r="C747">
        <v>9386265</v>
      </c>
      <c r="D747" t="s">
        <v>1232</v>
      </c>
      <c r="E747" t="s">
        <v>38</v>
      </c>
      <c r="F747" t="s">
        <v>184</v>
      </c>
      <c r="G747" t="s">
        <v>184</v>
      </c>
      <c r="H747" t="s">
        <v>2729</v>
      </c>
      <c r="I747" t="s">
        <v>2730</v>
      </c>
      <c r="J747" t="s">
        <v>186</v>
      </c>
      <c r="K747" t="s">
        <v>181</v>
      </c>
      <c r="L747" t="s">
        <v>181</v>
      </c>
      <c r="M747" t="s">
        <v>395</v>
      </c>
      <c r="N747" t="s">
        <v>1233</v>
      </c>
      <c r="O747" t="s">
        <v>1234</v>
      </c>
      <c r="P747" s="120">
        <v>41332</v>
      </c>
      <c r="Q747" s="120">
        <v>41333</v>
      </c>
      <c r="R747" s="120">
        <v>41354</v>
      </c>
      <c r="S747" t="s">
        <v>196</v>
      </c>
      <c r="T747">
        <v>3</v>
      </c>
      <c r="U747" t="s">
        <v>2730</v>
      </c>
      <c r="V747">
        <v>3</v>
      </c>
      <c r="W747" t="s">
        <v>2730</v>
      </c>
      <c r="X747">
        <v>3</v>
      </c>
      <c r="Y747">
        <v>3</v>
      </c>
      <c r="Z747" t="s">
        <v>2730</v>
      </c>
      <c r="AA747" t="s">
        <v>2730</v>
      </c>
      <c r="AB747" t="s">
        <v>2730</v>
      </c>
      <c r="AC747" t="s">
        <v>2730</v>
      </c>
      <c r="AD747" t="s">
        <v>2730</v>
      </c>
      <c r="AE747" t="s">
        <v>2730</v>
      </c>
      <c r="AF747" t="s">
        <v>2730</v>
      </c>
      <c r="AG747" t="s">
        <v>2730</v>
      </c>
      <c r="AH747" t="s">
        <v>2730</v>
      </c>
    </row>
    <row r="748" spans="1:34">
      <c r="A748" s="149" t="str">
        <f>HYPERLINK("http://www.ofsted.gov.uk/inspection-reports/find-inspection-report/provider/ELS/135198 ","Ofsted School Webpage")</f>
        <v>Ofsted School Webpage</v>
      </c>
      <c r="B748">
        <v>135198</v>
      </c>
      <c r="C748">
        <v>8866122</v>
      </c>
      <c r="D748" t="s">
        <v>1235</v>
      </c>
      <c r="E748" t="s">
        <v>38</v>
      </c>
      <c r="F748" t="s">
        <v>184</v>
      </c>
      <c r="G748" t="s">
        <v>184</v>
      </c>
      <c r="H748" t="s">
        <v>2729</v>
      </c>
      <c r="I748" t="s">
        <v>2730</v>
      </c>
      <c r="J748" t="s">
        <v>186</v>
      </c>
      <c r="K748" t="s">
        <v>181</v>
      </c>
      <c r="L748" t="s">
        <v>181</v>
      </c>
      <c r="M748" t="s">
        <v>182</v>
      </c>
      <c r="N748" t="s">
        <v>1236</v>
      </c>
      <c r="O748">
        <v>10026025</v>
      </c>
      <c r="P748" s="120">
        <v>42907</v>
      </c>
      <c r="Q748" s="120">
        <v>42908</v>
      </c>
      <c r="R748" s="120">
        <v>42928</v>
      </c>
      <c r="S748" t="s">
        <v>196</v>
      </c>
      <c r="T748">
        <v>2</v>
      </c>
      <c r="U748" t="s">
        <v>128</v>
      </c>
      <c r="V748">
        <v>2</v>
      </c>
      <c r="W748">
        <v>2</v>
      </c>
      <c r="X748">
        <v>2</v>
      </c>
      <c r="Y748">
        <v>2</v>
      </c>
      <c r="Z748" t="s">
        <v>2730</v>
      </c>
      <c r="AA748" t="s">
        <v>2730</v>
      </c>
      <c r="AB748" t="s">
        <v>2732</v>
      </c>
      <c r="AC748" t="s">
        <v>2730</v>
      </c>
      <c r="AD748" t="s">
        <v>2730</v>
      </c>
      <c r="AE748" t="s">
        <v>2730</v>
      </c>
      <c r="AF748" t="s">
        <v>2730</v>
      </c>
      <c r="AG748" t="s">
        <v>2730</v>
      </c>
      <c r="AH748" t="s">
        <v>2730</v>
      </c>
    </row>
    <row r="749" spans="1:34">
      <c r="A749" s="149" t="str">
        <f>HYPERLINK("http://www.ofsted.gov.uk/inspection-reports/find-inspection-report/provider/ELS/130979 ","Ofsted School Webpage")</f>
        <v>Ofsted School Webpage</v>
      </c>
      <c r="B749">
        <v>130979</v>
      </c>
      <c r="C749">
        <v>8866110</v>
      </c>
      <c r="D749" t="s">
        <v>1237</v>
      </c>
      <c r="E749" t="s">
        <v>38</v>
      </c>
      <c r="F749" t="s">
        <v>184</v>
      </c>
      <c r="G749" t="s">
        <v>184</v>
      </c>
      <c r="H749" t="s">
        <v>2729</v>
      </c>
      <c r="I749" t="s">
        <v>2730</v>
      </c>
      <c r="J749" t="s">
        <v>186</v>
      </c>
      <c r="K749" t="s">
        <v>181</v>
      </c>
      <c r="L749" t="s">
        <v>181</v>
      </c>
      <c r="M749" t="s">
        <v>182</v>
      </c>
      <c r="N749" t="s">
        <v>1238</v>
      </c>
      <c r="O749">
        <v>10006114</v>
      </c>
      <c r="P749" s="120">
        <v>42654</v>
      </c>
      <c r="Q749" s="120">
        <v>42656</v>
      </c>
      <c r="R749" s="120">
        <v>42689</v>
      </c>
      <c r="S749" t="s">
        <v>196</v>
      </c>
      <c r="T749">
        <v>2</v>
      </c>
      <c r="U749" t="s">
        <v>128</v>
      </c>
      <c r="V749">
        <v>2</v>
      </c>
      <c r="W749">
        <v>2</v>
      </c>
      <c r="X749">
        <v>2</v>
      </c>
      <c r="Y749">
        <v>2</v>
      </c>
      <c r="Z749" t="s">
        <v>2730</v>
      </c>
      <c r="AA749" t="s">
        <v>2730</v>
      </c>
      <c r="AB749" t="s">
        <v>2732</v>
      </c>
      <c r="AC749" t="s">
        <v>2730</v>
      </c>
      <c r="AD749" t="s">
        <v>2730</v>
      </c>
      <c r="AE749" s="120" t="s">
        <v>2730</v>
      </c>
      <c r="AF749" t="s">
        <v>2730</v>
      </c>
      <c r="AG749" s="120" t="s">
        <v>2730</v>
      </c>
      <c r="AH749" t="s">
        <v>2730</v>
      </c>
    </row>
    <row r="750" spans="1:34">
      <c r="A750" s="149" t="str">
        <f>HYPERLINK("http://www.ofsted.gov.uk/inspection-reports/find-inspection-report/provider/ELS/139018 ","Ofsted School Webpage")</f>
        <v>Ofsted School Webpage</v>
      </c>
      <c r="B750">
        <v>139018</v>
      </c>
      <c r="C750">
        <v>8746004</v>
      </c>
      <c r="D750" t="s">
        <v>616</v>
      </c>
      <c r="E750" t="s">
        <v>38</v>
      </c>
      <c r="F750" t="s">
        <v>184</v>
      </c>
      <c r="G750" t="s">
        <v>184</v>
      </c>
      <c r="H750" t="s">
        <v>2729</v>
      </c>
      <c r="I750" t="s">
        <v>2730</v>
      </c>
      <c r="J750" t="s">
        <v>186</v>
      </c>
      <c r="K750" t="s">
        <v>220</v>
      </c>
      <c r="L750" t="s">
        <v>220</v>
      </c>
      <c r="M750" t="s">
        <v>617</v>
      </c>
      <c r="N750" t="s">
        <v>618</v>
      </c>
      <c r="O750">
        <v>10020912</v>
      </c>
      <c r="P750" s="120">
        <v>42633</v>
      </c>
      <c r="Q750" s="120">
        <v>42635</v>
      </c>
      <c r="R750" s="120">
        <v>42678</v>
      </c>
      <c r="S750" t="s">
        <v>3119</v>
      </c>
      <c r="T750">
        <v>2</v>
      </c>
      <c r="U750" t="s">
        <v>128</v>
      </c>
      <c r="V750">
        <v>2</v>
      </c>
      <c r="W750">
        <v>2</v>
      </c>
      <c r="X750">
        <v>2</v>
      </c>
      <c r="Y750">
        <v>2</v>
      </c>
      <c r="Z750" t="s">
        <v>2730</v>
      </c>
      <c r="AA750">
        <v>2</v>
      </c>
      <c r="AB750" t="s">
        <v>2732</v>
      </c>
      <c r="AC750" t="s">
        <v>2730</v>
      </c>
      <c r="AD750" t="s">
        <v>2730</v>
      </c>
      <c r="AE750" t="s">
        <v>2730</v>
      </c>
      <c r="AF750" t="s">
        <v>2730</v>
      </c>
      <c r="AG750" t="s">
        <v>2730</v>
      </c>
      <c r="AH750" t="s">
        <v>2730</v>
      </c>
    </row>
    <row r="751" spans="1:34">
      <c r="A751" s="149" t="str">
        <f>HYPERLINK("http://www.ofsted.gov.uk/inspection-reports/find-inspection-report/provider/ELS/131611 ","Ofsted School Webpage")</f>
        <v>Ofsted School Webpage</v>
      </c>
      <c r="B751">
        <v>131611</v>
      </c>
      <c r="C751">
        <v>8866079</v>
      </c>
      <c r="D751" t="s">
        <v>1195</v>
      </c>
      <c r="E751" t="s">
        <v>38</v>
      </c>
      <c r="F751" t="s">
        <v>184</v>
      </c>
      <c r="G751" t="s">
        <v>184</v>
      </c>
      <c r="H751" t="s">
        <v>2729</v>
      </c>
      <c r="I751" t="s">
        <v>2730</v>
      </c>
      <c r="J751" t="s">
        <v>186</v>
      </c>
      <c r="K751" t="s">
        <v>181</v>
      </c>
      <c r="L751" t="s">
        <v>181</v>
      </c>
      <c r="M751" t="s">
        <v>182</v>
      </c>
      <c r="N751" t="s">
        <v>1196</v>
      </c>
      <c r="O751">
        <v>10026009</v>
      </c>
      <c r="P751" s="120">
        <v>42808</v>
      </c>
      <c r="Q751" s="120">
        <v>42810</v>
      </c>
      <c r="R751" s="120">
        <v>42857</v>
      </c>
      <c r="S751" t="s">
        <v>267</v>
      </c>
      <c r="T751">
        <v>1</v>
      </c>
      <c r="U751" t="s">
        <v>128</v>
      </c>
      <c r="V751">
        <v>1</v>
      </c>
      <c r="W751">
        <v>1</v>
      </c>
      <c r="X751">
        <v>1</v>
      </c>
      <c r="Y751">
        <v>1</v>
      </c>
      <c r="Z751" t="s">
        <v>2730</v>
      </c>
      <c r="AA751">
        <v>1</v>
      </c>
      <c r="AB751" t="s">
        <v>2732</v>
      </c>
      <c r="AC751" t="s">
        <v>2730</v>
      </c>
      <c r="AD751" t="s">
        <v>2730</v>
      </c>
      <c r="AE751" t="s">
        <v>2730</v>
      </c>
      <c r="AF751" t="s">
        <v>2730</v>
      </c>
      <c r="AG751" t="s">
        <v>2730</v>
      </c>
      <c r="AH751" t="s">
        <v>2730</v>
      </c>
    </row>
    <row r="752" spans="1:34">
      <c r="A752" s="149" t="str">
        <f>HYPERLINK("http://www.ofsted.gov.uk/inspection-reports/find-inspection-report/provider/ELS/135428 ","Ofsted School Webpage")</f>
        <v>Ofsted School Webpage</v>
      </c>
      <c r="B752">
        <v>135428</v>
      </c>
      <c r="C752">
        <v>8556122</v>
      </c>
      <c r="D752" t="s">
        <v>1197</v>
      </c>
      <c r="E752" t="s">
        <v>38</v>
      </c>
      <c r="F752" t="s">
        <v>184</v>
      </c>
      <c r="G752" t="s">
        <v>184</v>
      </c>
      <c r="H752" t="s">
        <v>2729</v>
      </c>
      <c r="I752" t="s">
        <v>2730</v>
      </c>
      <c r="J752" t="s">
        <v>186</v>
      </c>
      <c r="K752" t="s">
        <v>214</v>
      </c>
      <c r="L752" t="s">
        <v>214</v>
      </c>
      <c r="M752" t="s">
        <v>281</v>
      </c>
      <c r="N752" t="s">
        <v>1198</v>
      </c>
      <c r="O752" t="s">
        <v>1199</v>
      </c>
      <c r="P752" s="120">
        <v>42164</v>
      </c>
      <c r="Q752" s="120">
        <v>42165</v>
      </c>
      <c r="R752" s="120">
        <v>42194</v>
      </c>
      <c r="S752" t="s">
        <v>3119</v>
      </c>
      <c r="T752">
        <v>2</v>
      </c>
      <c r="U752" t="s">
        <v>2730</v>
      </c>
      <c r="V752">
        <v>2</v>
      </c>
      <c r="W752" t="s">
        <v>2730</v>
      </c>
      <c r="X752">
        <v>2</v>
      </c>
      <c r="Y752">
        <v>2</v>
      </c>
      <c r="Z752">
        <v>9</v>
      </c>
      <c r="AA752">
        <v>9</v>
      </c>
      <c r="AB752" t="s">
        <v>2730</v>
      </c>
      <c r="AC752" t="s">
        <v>2730</v>
      </c>
      <c r="AD752" t="s">
        <v>2730</v>
      </c>
      <c r="AE752" t="s">
        <v>2730</v>
      </c>
      <c r="AF752" t="s">
        <v>2730</v>
      </c>
      <c r="AG752" t="s">
        <v>2730</v>
      </c>
      <c r="AH752" t="s">
        <v>2730</v>
      </c>
    </row>
    <row r="753" spans="1:34">
      <c r="A753" s="149" t="str">
        <f>HYPERLINK("http://www.ofsted.gov.uk/inspection-reports/find-inspection-report/provider/ELS/131422 ","Ofsted School Webpage")</f>
        <v>Ofsted School Webpage</v>
      </c>
      <c r="B753">
        <v>131422</v>
      </c>
      <c r="C753">
        <v>8866076</v>
      </c>
      <c r="D753" t="s">
        <v>1200</v>
      </c>
      <c r="E753" t="s">
        <v>38</v>
      </c>
      <c r="F753" t="s">
        <v>184</v>
      </c>
      <c r="G753" t="s">
        <v>184</v>
      </c>
      <c r="H753" t="s">
        <v>2729</v>
      </c>
      <c r="I753" t="s">
        <v>2730</v>
      </c>
      <c r="J753" t="s">
        <v>186</v>
      </c>
      <c r="K753" t="s">
        <v>181</v>
      </c>
      <c r="L753" t="s">
        <v>181</v>
      </c>
      <c r="M753" t="s">
        <v>182</v>
      </c>
      <c r="N753" t="s">
        <v>1201</v>
      </c>
      <c r="O753" t="s">
        <v>1202</v>
      </c>
      <c r="P753" s="120">
        <v>42178</v>
      </c>
      <c r="Q753" s="120">
        <v>42180</v>
      </c>
      <c r="R753" s="120">
        <v>42205</v>
      </c>
      <c r="S753" t="s">
        <v>196</v>
      </c>
      <c r="T753">
        <v>2</v>
      </c>
      <c r="U753" t="s">
        <v>2730</v>
      </c>
      <c r="V753">
        <v>2</v>
      </c>
      <c r="W753" t="s">
        <v>2730</v>
      </c>
      <c r="X753">
        <v>2</v>
      </c>
      <c r="Y753">
        <v>2</v>
      </c>
      <c r="Z753">
        <v>9</v>
      </c>
      <c r="AA753">
        <v>9</v>
      </c>
      <c r="AB753" t="s">
        <v>2730</v>
      </c>
      <c r="AC753" t="s">
        <v>2730</v>
      </c>
      <c r="AD753" t="s">
        <v>2730</v>
      </c>
      <c r="AE753" t="s">
        <v>2730</v>
      </c>
      <c r="AF753" t="s">
        <v>2730</v>
      </c>
      <c r="AG753" t="s">
        <v>2730</v>
      </c>
      <c r="AH753" t="s">
        <v>2730</v>
      </c>
    </row>
    <row r="754" spans="1:34">
      <c r="A754" s="149" t="str">
        <f>HYPERLINK("http://www.ofsted.gov.uk/inspection-reports/find-inspection-report/provider/ELS/133651 ","Ofsted School Webpage")</f>
        <v>Ofsted School Webpage</v>
      </c>
      <c r="B754">
        <v>133651</v>
      </c>
      <c r="C754">
        <v>8736032</v>
      </c>
      <c r="D754" t="s">
        <v>283</v>
      </c>
      <c r="E754" t="s">
        <v>38</v>
      </c>
      <c r="F754" t="s">
        <v>184</v>
      </c>
      <c r="G754" t="s">
        <v>184</v>
      </c>
      <c r="H754" t="s">
        <v>2729</v>
      </c>
      <c r="I754" t="s">
        <v>2730</v>
      </c>
      <c r="J754" t="s">
        <v>186</v>
      </c>
      <c r="K754" t="s">
        <v>220</v>
      </c>
      <c r="L754" t="s">
        <v>220</v>
      </c>
      <c r="M754" t="s">
        <v>284</v>
      </c>
      <c r="N754" t="s">
        <v>285</v>
      </c>
      <c r="O754">
        <v>10038904</v>
      </c>
      <c r="P754" s="120">
        <v>42997</v>
      </c>
      <c r="Q754" s="120">
        <v>42998</v>
      </c>
      <c r="R754" s="120">
        <v>43027</v>
      </c>
      <c r="S754" t="s">
        <v>3119</v>
      </c>
      <c r="T754">
        <v>2</v>
      </c>
      <c r="U754" t="s">
        <v>128</v>
      </c>
      <c r="V754">
        <v>2</v>
      </c>
      <c r="W754">
        <v>2</v>
      </c>
      <c r="X754">
        <v>2</v>
      </c>
      <c r="Y754">
        <v>2</v>
      </c>
      <c r="Z754" t="s">
        <v>2730</v>
      </c>
      <c r="AA754" t="s">
        <v>2730</v>
      </c>
      <c r="AB754" t="s">
        <v>2732</v>
      </c>
      <c r="AC754" t="s">
        <v>2730</v>
      </c>
      <c r="AD754" t="s">
        <v>2730</v>
      </c>
      <c r="AE754" t="s">
        <v>2730</v>
      </c>
      <c r="AF754" t="s">
        <v>2730</v>
      </c>
      <c r="AG754" t="s">
        <v>2730</v>
      </c>
      <c r="AH754" t="s">
        <v>2730</v>
      </c>
    </row>
    <row r="755" spans="1:34">
      <c r="A755" s="149" t="str">
        <f>HYPERLINK("http://www.ofsted.gov.uk/inspection-reports/find-inspection-report/provider/ELS/137597 ","Ofsted School Webpage")</f>
        <v>Ofsted School Webpage</v>
      </c>
      <c r="B755">
        <v>137597</v>
      </c>
      <c r="C755">
        <v>9376000</v>
      </c>
      <c r="D755" t="s">
        <v>1590</v>
      </c>
      <c r="E755" t="s">
        <v>38</v>
      </c>
      <c r="F755" t="s">
        <v>184</v>
      </c>
      <c r="G755" t="s">
        <v>184</v>
      </c>
      <c r="H755" t="s">
        <v>2729</v>
      </c>
      <c r="I755" t="s">
        <v>2730</v>
      </c>
      <c r="J755" t="s">
        <v>186</v>
      </c>
      <c r="K755" t="s">
        <v>193</v>
      </c>
      <c r="L755" t="s">
        <v>193</v>
      </c>
      <c r="M755" t="s">
        <v>377</v>
      </c>
      <c r="N755" t="s">
        <v>1592</v>
      </c>
      <c r="O755">
        <v>10006118</v>
      </c>
      <c r="P755" s="120">
        <v>42326</v>
      </c>
      <c r="Q755" s="120">
        <v>42328</v>
      </c>
      <c r="R755" s="120">
        <v>42383</v>
      </c>
      <c r="S755" t="s">
        <v>196</v>
      </c>
      <c r="T755">
        <v>3</v>
      </c>
      <c r="U755" t="s">
        <v>128</v>
      </c>
      <c r="V755">
        <v>3</v>
      </c>
      <c r="W755">
        <v>2</v>
      </c>
      <c r="X755">
        <v>3</v>
      </c>
      <c r="Y755">
        <v>3</v>
      </c>
      <c r="Z755" t="s">
        <v>2730</v>
      </c>
      <c r="AA755">
        <v>3</v>
      </c>
      <c r="AB755" t="s">
        <v>2733</v>
      </c>
      <c r="AC755" t="s">
        <v>2730</v>
      </c>
      <c r="AD755" t="s">
        <v>2730</v>
      </c>
      <c r="AE755" t="s">
        <v>2730</v>
      </c>
      <c r="AF755" t="s">
        <v>2730</v>
      </c>
      <c r="AG755" t="s">
        <v>2730</v>
      </c>
      <c r="AH755" t="s">
        <v>2730</v>
      </c>
    </row>
    <row r="756" spans="1:34">
      <c r="A756" s="149" t="str">
        <f>HYPERLINK("http://www.ofsted.gov.uk/inspection-reports/find-inspection-report/provider/ELS/113571 ","Ofsted School Webpage")</f>
        <v>Ofsted School Webpage</v>
      </c>
      <c r="B756">
        <v>113571</v>
      </c>
      <c r="C756">
        <v>8786007</v>
      </c>
      <c r="D756" t="s">
        <v>1248</v>
      </c>
      <c r="E756" t="s">
        <v>38</v>
      </c>
      <c r="F756" t="s">
        <v>184</v>
      </c>
      <c r="G756" t="s">
        <v>184</v>
      </c>
      <c r="H756" t="s">
        <v>2729</v>
      </c>
      <c r="I756" t="s">
        <v>2730</v>
      </c>
      <c r="J756" t="s">
        <v>186</v>
      </c>
      <c r="K756" t="s">
        <v>225</v>
      </c>
      <c r="L756" t="s">
        <v>225</v>
      </c>
      <c r="M756" t="s">
        <v>367</v>
      </c>
      <c r="N756" t="s">
        <v>1249</v>
      </c>
      <c r="O756" t="s">
        <v>1250</v>
      </c>
      <c r="P756" s="120">
        <v>42192</v>
      </c>
      <c r="Q756" s="120">
        <v>42194</v>
      </c>
      <c r="R756" s="120">
        <v>42221</v>
      </c>
      <c r="S756" t="s">
        <v>196</v>
      </c>
      <c r="T756">
        <v>2</v>
      </c>
      <c r="U756" t="s">
        <v>2730</v>
      </c>
      <c r="V756">
        <v>2</v>
      </c>
      <c r="W756" t="s">
        <v>2730</v>
      </c>
      <c r="X756">
        <v>2</v>
      </c>
      <c r="Y756">
        <v>2</v>
      </c>
      <c r="Z756">
        <v>1</v>
      </c>
      <c r="AA756">
        <v>9</v>
      </c>
      <c r="AB756" t="s">
        <v>2730</v>
      </c>
      <c r="AC756" t="s">
        <v>2730</v>
      </c>
      <c r="AD756" t="s">
        <v>2730</v>
      </c>
      <c r="AE756" t="s">
        <v>2730</v>
      </c>
      <c r="AF756" t="s">
        <v>2730</v>
      </c>
      <c r="AG756" t="s">
        <v>2730</v>
      </c>
      <c r="AH756" t="s">
        <v>2730</v>
      </c>
    </row>
    <row r="757" spans="1:34">
      <c r="A757" s="149" t="str">
        <f>HYPERLINK("http://www.ofsted.gov.uk/inspection-reports/find-inspection-report/provider/ELS/133309 ","Ofsted School Webpage")</f>
        <v>Ofsted School Webpage</v>
      </c>
      <c r="B757">
        <v>133309</v>
      </c>
      <c r="C757">
        <v>3416047</v>
      </c>
      <c r="D757" t="s">
        <v>1251</v>
      </c>
      <c r="E757" t="s">
        <v>38</v>
      </c>
      <c r="F757" t="s">
        <v>184</v>
      </c>
      <c r="G757" t="s">
        <v>184</v>
      </c>
      <c r="H757" t="s">
        <v>2729</v>
      </c>
      <c r="I757" t="s">
        <v>2730</v>
      </c>
      <c r="J757" t="s">
        <v>186</v>
      </c>
      <c r="K757" t="s">
        <v>205</v>
      </c>
      <c r="L757" t="s">
        <v>205</v>
      </c>
      <c r="M757" t="s">
        <v>658</v>
      </c>
      <c r="N757" t="s">
        <v>1252</v>
      </c>
      <c r="O757" t="s">
        <v>1253</v>
      </c>
      <c r="P757" s="120">
        <v>42087</v>
      </c>
      <c r="Q757" s="120">
        <v>42089</v>
      </c>
      <c r="R757" s="120">
        <v>42123</v>
      </c>
      <c r="S757" t="s">
        <v>196</v>
      </c>
      <c r="T757">
        <v>1</v>
      </c>
      <c r="U757" t="s">
        <v>2730</v>
      </c>
      <c r="V757">
        <v>1</v>
      </c>
      <c r="W757" t="s">
        <v>2730</v>
      </c>
      <c r="X757">
        <v>1</v>
      </c>
      <c r="Y757">
        <v>1</v>
      </c>
      <c r="Z757">
        <v>9</v>
      </c>
      <c r="AA757">
        <v>1</v>
      </c>
      <c r="AB757" t="s">
        <v>2730</v>
      </c>
      <c r="AC757" t="s">
        <v>2730</v>
      </c>
      <c r="AD757" t="s">
        <v>2730</v>
      </c>
      <c r="AE757" t="s">
        <v>2730</v>
      </c>
      <c r="AF757" t="s">
        <v>2730</v>
      </c>
      <c r="AG757" t="s">
        <v>2730</v>
      </c>
      <c r="AH757" t="s">
        <v>2730</v>
      </c>
    </row>
    <row r="758" spans="1:34">
      <c r="A758" s="149" t="str">
        <f>HYPERLINK("http://www.ofsted.gov.uk/inspection-reports/find-inspection-report/provider/ELS/119853 ","Ofsted School Webpage")</f>
        <v>Ofsted School Webpage</v>
      </c>
      <c r="B758">
        <v>119853</v>
      </c>
      <c r="C758">
        <v>8886026</v>
      </c>
      <c r="D758" t="s">
        <v>1254</v>
      </c>
      <c r="E758" t="s">
        <v>38</v>
      </c>
      <c r="F758" t="s">
        <v>184</v>
      </c>
      <c r="G758" t="s">
        <v>184</v>
      </c>
      <c r="H758" t="s">
        <v>2729</v>
      </c>
      <c r="I758" t="s">
        <v>2730</v>
      </c>
      <c r="J758" t="s">
        <v>186</v>
      </c>
      <c r="K758" t="s">
        <v>205</v>
      </c>
      <c r="L758" t="s">
        <v>205</v>
      </c>
      <c r="M758" t="s">
        <v>206</v>
      </c>
      <c r="N758" t="s">
        <v>1255</v>
      </c>
      <c r="O758" t="s">
        <v>1256</v>
      </c>
      <c r="P758" s="120">
        <v>42017</v>
      </c>
      <c r="Q758" s="120">
        <v>42019</v>
      </c>
      <c r="R758" s="120">
        <v>42054</v>
      </c>
      <c r="S758" t="s">
        <v>196</v>
      </c>
      <c r="T758">
        <v>1</v>
      </c>
      <c r="U758" t="s">
        <v>2730</v>
      </c>
      <c r="V758">
        <v>1</v>
      </c>
      <c r="W758" t="s">
        <v>2730</v>
      </c>
      <c r="X758">
        <v>1</v>
      </c>
      <c r="Y758">
        <v>1</v>
      </c>
      <c r="Z758">
        <v>9</v>
      </c>
      <c r="AA758">
        <v>9</v>
      </c>
      <c r="AB758" t="s">
        <v>2730</v>
      </c>
      <c r="AC758" t="s">
        <v>2730</v>
      </c>
      <c r="AD758" t="s">
        <v>2730</v>
      </c>
      <c r="AE758" t="s">
        <v>2730</v>
      </c>
      <c r="AF758" t="s">
        <v>2730</v>
      </c>
      <c r="AG758" t="s">
        <v>2730</v>
      </c>
      <c r="AH758" t="s">
        <v>2730</v>
      </c>
    </row>
    <row r="759" spans="1:34">
      <c r="A759" s="149" t="str">
        <f>HYPERLINK("http://www.ofsted.gov.uk/inspection-reports/find-inspection-report/provider/ELS/138980 ","Ofsted School Webpage")</f>
        <v>Ofsted School Webpage</v>
      </c>
      <c r="B759">
        <v>138980</v>
      </c>
      <c r="C759">
        <v>2116007</v>
      </c>
      <c r="D759" t="s">
        <v>1500</v>
      </c>
      <c r="E759" t="s">
        <v>37</v>
      </c>
      <c r="F759" t="s">
        <v>184</v>
      </c>
      <c r="G759" t="s">
        <v>223</v>
      </c>
      <c r="H759" t="s">
        <v>2729</v>
      </c>
      <c r="I759" t="s">
        <v>2730</v>
      </c>
      <c r="J759" t="s">
        <v>186</v>
      </c>
      <c r="K759" t="s">
        <v>232</v>
      </c>
      <c r="L759" t="s">
        <v>232</v>
      </c>
      <c r="M759" t="s">
        <v>539</v>
      </c>
      <c r="N759" t="s">
        <v>1501</v>
      </c>
      <c r="O759">
        <v>10034446</v>
      </c>
      <c r="P759" s="120">
        <v>42920</v>
      </c>
      <c r="Q759" s="120">
        <v>42922</v>
      </c>
      <c r="R759" s="120">
        <v>43020</v>
      </c>
      <c r="S759" t="s">
        <v>196</v>
      </c>
      <c r="T759">
        <v>4</v>
      </c>
      <c r="U759" t="s">
        <v>129</v>
      </c>
      <c r="V759">
        <v>4</v>
      </c>
      <c r="W759">
        <v>4</v>
      </c>
      <c r="X759">
        <v>4</v>
      </c>
      <c r="Y759">
        <v>4</v>
      </c>
      <c r="Z759" t="s">
        <v>2730</v>
      </c>
      <c r="AA759" t="s">
        <v>2730</v>
      </c>
      <c r="AB759" t="s">
        <v>2733</v>
      </c>
      <c r="AC759" t="s">
        <v>2730</v>
      </c>
      <c r="AD759" t="s">
        <v>2730</v>
      </c>
      <c r="AE759" t="s">
        <v>2730</v>
      </c>
      <c r="AF759" t="s">
        <v>2730</v>
      </c>
      <c r="AG759" t="s">
        <v>2730</v>
      </c>
      <c r="AH759" t="s">
        <v>2730</v>
      </c>
    </row>
    <row r="760" spans="1:34">
      <c r="A760" s="149" t="str">
        <f>HYPERLINK("http://www.ofsted.gov.uk/inspection-reports/find-inspection-report/provider/ELS/103595 ","Ofsted School Webpage")</f>
        <v>Ofsted School Webpage</v>
      </c>
      <c r="B760">
        <v>103595</v>
      </c>
      <c r="C760">
        <v>3306088</v>
      </c>
      <c r="D760" t="s">
        <v>1502</v>
      </c>
      <c r="E760" t="s">
        <v>37</v>
      </c>
      <c r="F760" t="s">
        <v>184</v>
      </c>
      <c r="G760" t="s">
        <v>223</v>
      </c>
      <c r="H760" t="s">
        <v>2729</v>
      </c>
      <c r="I760" t="s">
        <v>2730</v>
      </c>
      <c r="J760" t="s">
        <v>186</v>
      </c>
      <c r="K760" t="s">
        <v>193</v>
      </c>
      <c r="L760" t="s">
        <v>193</v>
      </c>
      <c r="M760" t="s">
        <v>210</v>
      </c>
      <c r="N760" t="s">
        <v>1503</v>
      </c>
      <c r="O760">
        <v>10020735</v>
      </c>
      <c r="P760" s="120">
        <v>42878</v>
      </c>
      <c r="Q760" s="120">
        <v>42880</v>
      </c>
      <c r="R760" s="120">
        <v>42907</v>
      </c>
      <c r="S760" t="s">
        <v>196</v>
      </c>
      <c r="T760">
        <v>2</v>
      </c>
      <c r="U760" t="s">
        <v>128</v>
      </c>
      <c r="V760">
        <v>2</v>
      </c>
      <c r="W760">
        <v>2</v>
      </c>
      <c r="X760">
        <v>2</v>
      </c>
      <c r="Y760">
        <v>2</v>
      </c>
      <c r="Z760" t="s">
        <v>2730</v>
      </c>
      <c r="AA760" t="s">
        <v>2730</v>
      </c>
      <c r="AB760" t="s">
        <v>2732</v>
      </c>
      <c r="AC760" t="s">
        <v>2730</v>
      </c>
      <c r="AD760" t="s">
        <v>2730</v>
      </c>
      <c r="AE760" s="120" t="s">
        <v>2730</v>
      </c>
      <c r="AF760" t="s">
        <v>2730</v>
      </c>
      <c r="AG760" s="120" t="s">
        <v>2730</v>
      </c>
      <c r="AH760" t="s">
        <v>2730</v>
      </c>
    </row>
    <row r="761" spans="1:34">
      <c r="A761" s="149" t="str">
        <f>HYPERLINK("http://www.ofsted.gov.uk/inspection-reports/find-inspection-report/provider/ELS/119856 ","Ofsted School Webpage")</f>
        <v>Ofsted School Webpage</v>
      </c>
      <c r="B761">
        <v>119856</v>
      </c>
      <c r="C761">
        <v>8896004</v>
      </c>
      <c r="D761" t="s">
        <v>1262</v>
      </c>
      <c r="E761" t="s">
        <v>37</v>
      </c>
      <c r="F761" t="s">
        <v>304</v>
      </c>
      <c r="G761" t="s">
        <v>223</v>
      </c>
      <c r="H761" t="s">
        <v>2729</v>
      </c>
      <c r="I761" t="s">
        <v>2730</v>
      </c>
      <c r="J761" t="s">
        <v>186</v>
      </c>
      <c r="K761" t="s">
        <v>205</v>
      </c>
      <c r="L761" t="s">
        <v>205</v>
      </c>
      <c r="M761" t="s">
        <v>485</v>
      </c>
      <c r="N761" t="s">
        <v>1263</v>
      </c>
      <c r="O761">
        <v>10020804</v>
      </c>
      <c r="P761" s="120">
        <v>42690</v>
      </c>
      <c r="Q761" s="120">
        <v>42692</v>
      </c>
      <c r="R761" s="120">
        <v>42773</v>
      </c>
      <c r="S761" t="s">
        <v>196</v>
      </c>
      <c r="T761">
        <v>4</v>
      </c>
      <c r="U761" t="s">
        <v>129</v>
      </c>
      <c r="V761">
        <v>4</v>
      </c>
      <c r="W761">
        <v>4</v>
      </c>
      <c r="X761">
        <v>2</v>
      </c>
      <c r="Y761">
        <v>2</v>
      </c>
      <c r="Z761" t="s">
        <v>2730</v>
      </c>
      <c r="AA761" t="s">
        <v>2730</v>
      </c>
      <c r="AB761" t="s">
        <v>2733</v>
      </c>
      <c r="AC761">
        <v>10039827</v>
      </c>
      <c r="AD761" t="s">
        <v>187</v>
      </c>
      <c r="AE761" s="120">
        <v>43054</v>
      </c>
      <c r="AF761" t="s">
        <v>2771</v>
      </c>
      <c r="AG761" s="120">
        <v>43082</v>
      </c>
      <c r="AH761" t="s">
        <v>189</v>
      </c>
    </row>
    <row r="762" spans="1:34">
      <c r="A762" s="149" t="str">
        <f>HYPERLINK("http://www.ofsted.gov.uk/inspection-reports/find-inspection-report/provider/ELS/130285 ","Ofsted School Webpage")</f>
        <v>Ofsted School Webpage</v>
      </c>
      <c r="B762">
        <v>130285</v>
      </c>
      <c r="C762">
        <v>3506017</v>
      </c>
      <c r="D762" t="s">
        <v>1264</v>
      </c>
      <c r="E762" t="s">
        <v>37</v>
      </c>
      <c r="F762" t="s">
        <v>184</v>
      </c>
      <c r="G762" t="s">
        <v>223</v>
      </c>
      <c r="H762" t="s">
        <v>2729</v>
      </c>
      <c r="I762" t="s">
        <v>2730</v>
      </c>
      <c r="J762" t="s">
        <v>186</v>
      </c>
      <c r="K762" t="s">
        <v>205</v>
      </c>
      <c r="L762" t="s">
        <v>205</v>
      </c>
      <c r="M762" t="s">
        <v>1265</v>
      </c>
      <c r="N762" t="s">
        <v>1266</v>
      </c>
      <c r="O762">
        <v>10007715</v>
      </c>
      <c r="P762" s="120">
        <v>42437</v>
      </c>
      <c r="Q762" s="120">
        <v>42439</v>
      </c>
      <c r="R762" s="120">
        <v>42478</v>
      </c>
      <c r="S762" t="s">
        <v>267</v>
      </c>
      <c r="T762">
        <v>3</v>
      </c>
      <c r="U762" t="s">
        <v>128</v>
      </c>
      <c r="V762">
        <v>3</v>
      </c>
      <c r="W762">
        <v>3</v>
      </c>
      <c r="X762">
        <v>3</v>
      </c>
      <c r="Y762">
        <v>3</v>
      </c>
      <c r="Z762" t="s">
        <v>2730</v>
      </c>
      <c r="AA762">
        <v>4</v>
      </c>
      <c r="AB762" t="s">
        <v>2733</v>
      </c>
      <c r="AC762">
        <v>10030979</v>
      </c>
      <c r="AD762" t="s">
        <v>187</v>
      </c>
      <c r="AE762" s="120">
        <v>42873</v>
      </c>
      <c r="AF762" t="s">
        <v>2769</v>
      </c>
      <c r="AG762" s="120">
        <v>42909</v>
      </c>
      <c r="AH762" t="s">
        <v>189</v>
      </c>
    </row>
    <row r="763" spans="1:34">
      <c r="A763" s="149" t="str">
        <f>HYPERLINK("http://www.ofsted.gov.uk/inspection-reports/find-inspection-report/provider/ELS/101090 ","Ofsted School Webpage")</f>
        <v>Ofsted School Webpage</v>
      </c>
      <c r="B763">
        <v>101090</v>
      </c>
      <c r="C763">
        <v>2126396</v>
      </c>
      <c r="D763" t="s">
        <v>3085</v>
      </c>
      <c r="E763" t="s">
        <v>37</v>
      </c>
      <c r="F763" t="s">
        <v>184</v>
      </c>
      <c r="G763" t="s">
        <v>223</v>
      </c>
      <c r="H763" t="s">
        <v>2729</v>
      </c>
      <c r="I763" t="s">
        <v>2730</v>
      </c>
      <c r="J763" t="s">
        <v>186</v>
      </c>
      <c r="K763" t="s">
        <v>232</v>
      </c>
      <c r="L763" t="s">
        <v>232</v>
      </c>
      <c r="M763" t="s">
        <v>435</v>
      </c>
      <c r="N763" t="s">
        <v>1928</v>
      </c>
      <c r="O763">
        <v>10006123</v>
      </c>
      <c r="P763" s="120">
        <v>42353</v>
      </c>
      <c r="Q763" s="120">
        <v>42355</v>
      </c>
      <c r="R763" s="120">
        <v>42384</v>
      </c>
      <c r="S763" t="s">
        <v>196</v>
      </c>
      <c r="T763">
        <v>2</v>
      </c>
      <c r="U763" t="s">
        <v>128</v>
      </c>
      <c r="V763">
        <v>2</v>
      </c>
      <c r="W763">
        <v>2</v>
      </c>
      <c r="X763">
        <v>2</v>
      </c>
      <c r="Y763">
        <v>2</v>
      </c>
      <c r="Z763">
        <v>2</v>
      </c>
      <c r="AA763" t="s">
        <v>2730</v>
      </c>
      <c r="AB763" t="s">
        <v>2732</v>
      </c>
      <c r="AC763" t="s">
        <v>2730</v>
      </c>
      <c r="AD763" t="s">
        <v>2730</v>
      </c>
      <c r="AE763" t="s">
        <v>2730</v>
      </c>
      <c r="AF763" t="s">
        <v>2730</v>
      </c>
      <c r="AG763" t="s">
        <v>2730</v>
      </c>
      <c r="AH763" t="s">
        <v>2730</v>
      </c>
    </row>
    <row r="764" spans="1:34">
      <c r="A764" s="149" t="str">
        <f>HYPERLINK("http://www.ofsted.gov.uk/inspection-reports/find-inspection-report/provider/ELS/101576 ","Ofsted School Webpage")</f>
        <v>Ofsted School Webpage</v>
      </c>
      <c r="B764">
        <v>101576</v>
      </c>
      <c r="C764">
        <v>3046072</v>
      </c>
      <c r="D764" t="s">
        <v>1929</v>
      </c>
      <c r="E764" t="s">
        <v>37</v>
      </c>
      <c r="F764" t="s">
        <v>184</v>
      </c>
      <c r="G764" t="s">
        <v>223</v>
      </c>
      <c r="H764" t="s">
        <v>2729</v>
      </c>
      <c r="I764" t="s">
        <v>2730</v>
      </c>
      <c r="J764" t="s">
        <v>186</v>
      </c>
      <c r="K764" t="s">
        <v>232</v>
      </c>
      <c r="L764" t="s">
        <v>232</v>
      </c>
      <c r="M764" t="s">
        <v>749</v>
      </c>
      <c r="N764" t="s">
        <v>1930</v>
      </c>
      <c r="O764" t="s">
        <v>1931</v>
      </c>
      <c r="P764" s="120">
        <v>41982</v>
      </c>
      <c r="Q764" s="120">
        <v>41984</v>
      </c>
      <c r="R764" s="120">
        <v>42065</v>
      </c>
      <c r="S764" t="s">
        <v>196</v>
      </c>
      <c r="T764">
        <v>4</v>
      </c>
      <c r="U764" t="s">
        <v>2730</v>
      </c>
      <c r="V764">
        <v>4</v>
      </c>
      <c r="W764" t="s">
        <v>2730</v>
      </c>
      <c r="X764">
        <v>2</v>
      </c>
      <c r="Y764">
        <v>2</v>
      </c>
      <c r="Z764">
        <v>4</v>
      </c>
      <c r="AA764">
        <v>9</v>
      </c>
      <c r="AB764" t="s">
        <v>2730</v>
      </c>
      <c r="AC764">
        <v>10011603</v>
      </c>
      <c r="AD764" t="s">
        <v>187</v>
      </c>
      <c r="AE764" s="120">
        <v>42396</v>
      </c>
      <c r="AF764" t="s">
        <v>2772</v>
      </c>
      <c r="AG764" s="120">
        <v>42423</v>
      </c>
      <c r="AH764" t="s">
        <v>2773</v>
      </c>
    </row>
    <row r="765" spans="1:34">
      <c r="A765" s="149" t="str">
        <f>HYPERLINK("http://www.ofsted.gov.uk/inspection-reports/find-inspection-report/provider/ELS/121250 ","Ofsted School Webpage")</f>
        <v>Ofsted School Webpage</v>
      </c>
      <c r="B765">
        <v>121250</v>
      </c>
      <c r="C765">
        <v>9266140</v>
      </c>
      <c r="D765" t="s">
        <v>1932</v>
      </c>
      <c r="E765" t="s">
        <v>37</v>
      </c>
      <c r="F765" t="s">
        <v>184</v>
      </c>
      <c r="G765" t="s">
        <v>212</v>
      </c>
      <c r="H765" t="s">
        <v>2729</v>
      </c>
      <c r="I765" t="s">
        <v>2730</v>
      </c>
      <c r="J765" t="s">
        <v>186</v>
      </c>
      <c r="K765" t="s">
        <v>220</v>
      </c>
      <c r="L765" t="s">
        <v>220</v>
      </c>
      <c r="M765" t="s">
        <v>445</v>
      </c>
      <c r="N765" t="s">
        <v>1933</v>
      </c>
      <c r="O765">
        <v>10008571</v>
      </c>
      <c r="P765" s="120">
        <v>42696</v>
      </c>
      <c r="Q765" s="120">
        <v>42698</v>
      </c>
      <c r="R765" s="120">
        <v>42747</v>
      </c>
      <c r="S765" t="s">
        <v>196</v>
      </c>
      <c r="T765">
        <v>4</v>
      </c>
      <c r="U765" t="s">
        <v>129</v>
      </c>
      <c r="V765">
        <v>4</v>
      </c>
      <c r="W765">
        <v>4</v>
      </c>
      <c r="X765">
        <v>2</v>
      </c>
      <c r="Y765">
        <v>2</v>
      </c>
      <c r="Z765" t="s">
        <v>2730</v>
      </c>
      <c r="AA765" t="s">
        <v>2730</v>
      </c>
      <c r="AB765" t="s">
        <v>2733</v>
      </c>
      <c r="AC765">
        <v>10034311</v>
      </c>
      <c r="AD765" t="s">
        <v>187</v>
      </c>
      <c r="AE765" s="120">
        <v>42872</v>
      </c>
      <c r="AF765" t="s">
        <v>2769</v>
      </c>
      <c r="AG765" s="120">
        <v>42906</v>
      </c>
      <c r="AH765" t="s">
        <v>217</v>
      </c>
    </row>
    <row r="766" spans="1:34">
      <c r="A766" s="149" t="str">
        <f>HYPERLINK("http://www.ofsted.gov.uk/inspection-reports/find-inspection-report/provider/ELS/130391 ","Ofsted School Webpage")</f>
        <v>Ofsted School Webpage</v>
      </c>
      <c r="B766">
        <v>130391</v>
      </c>
      <c r="C766">
        <v>8016130</v>
      </c>
      <c r="D766" t="s">
        <v>385</v>
      </c>
      <c r="E766" t="s">
        <v>37</v>
      </c>
      <c r="F766" t="s">
        <v>304</v>
      </c>
      <c r="G766" t="s">
        <v>223</v>
      </c>
      <c r="H766" t="s">
        <v>2729</v>
      </c>
      <c r="I766" t="s">
        <v>2730</v>
      </c>
      <c r="J766" t="s">
        <v>186</v>
      </c>
      <c r="K766" t="s">
        <v>225</v>
      </c>
      <c r="L766" t="s">
        <v>225</v>
      </c>
      <c r="M766" t="s">
        <v>361</v>
      </c>
      <c r="N766" t="s">
        <v>386</v>
      </c>
      <c r="O766">
        <v>10039498</v>
      </c>
      <c r="P766" s="120">
        <v>43004</v>
      </c>
      <c r="Q766" s="120">
        <v>43006</v>
      </c>
      <c r="R766" s="120">
        <v>43045</v>
      </c>
      <c r="S766" t="s">
        <v>196</v>
      </c>
      <c r="T766">
        <v>4</v>
      </c>
      <c r="U766" t="s">
        <v>128</v>
      </c>
      <c r="V766">
        <v>4</v>
      </c>
      <c r="W766">
        <v>3</v>
      </c>
      <c r="X766">
        <v>4</v>
      </c>
      <c r="Y766">
        <v>4</v>
      </c>
      <c r="Z766">
        <v>3</v>
      </c>
      <c r="AA766" t="s">
        <v>2730</v>
      </c>
      <c r="AB766" t="s">
        <v>2733</v>
      </c>
      <c r="AC766" t="s">
        <v>2730</v>
      </c>
      <c r="AD766" t="s">
        <v>2730</v>
      </c>
      <c r="AE766" t="s">
        <v>2730</v>
      </c>
      <c r="AF766" t="s">
        <v>2730</v>
      </c>
      <c r="AG766" t="s">
        <v>2730</v>
      </c>
      <c r="AH766" t="s">
        <v>2730</v>
      </c>
    </row>
    <row r="767" spans="1:34">
      <c r="A767" s="149" t="str">
        <f>HYPERLINK("http://www.ofsted.gov.uk/inspection-reports/find-inspection-report/provider/ELS/136040 ","Ofsted School Webpage")</f>
        <v>Ofsted School Webpage</v>
      </c>
      <c r="B767">
        <v>136040</v>
      </c>
      <c r="C767">
        <v>3846126</v>
      </c>
      <c r="D767" t="s">
        <v>1127</v>
      </c>
      <c r="E767" t="s">
        <v>38</v>
      </c>
      <c r="F767" t="s">
        <v>184</v>
      </c>
      <c r="G767" t="s">
        <v>184</v>
      </c>
      <c r="H767" t="s">
        <v>2729</v>
      </c>
      <c r="I767" t="s">
        <v>2730</v>
      </c>
      <c r="J767" t="s">
        <v>186</v>
      </c>
      <c r="K767" t="s">
        <v>245</v>
      </c>
      <c r="L767" t="s">
        <v>246</v>
      </c>
      <c r="M767" t="s">
        <v>563</v>
      </c>
      <c r="N767" t="s">
        <v>1128</v>
      </c>
      <c r="O767">
        <v>10033919</v>
      </c>
      <c r="P767" s="120">
        <v>42823</v>
      </c>
      <c r="Q767" s="120">
        <v>42825</v>
      </c>
      <c r="R767" s="120">
        <v>42860</v>
      </c>
      <c r="S767" t="s">
        <v>196</v>
      </c>
      <c r="T767">
        <v>2</v>
      </c>
      <c r="U767" t="s">
        <v>128</v>
      </c>
      <c r="V767">
        <v>2</v>
      </c>
      <c r="W767">
        <v>2</v>
      </c>
      <c r="X767">
        <v>2</v>
      </c>
      <c r="Y767">
        <v>2</v>
      </c>
      <c r="Z767" t="s">
        <v>2730</v>
      </c>
      <c r="AA767" t="s">
        <v>2730</v>
      </c>
      <c r="AB767" t="s">
        <v>2732</v>
      </c>
      <c r="AC767" t="s">
        <v>2730</v>
      </c>
      <c r="AD767" t="s">
        <v>2730</v>
      </c>
      <c r="AE767" s="120" t="s">
        <v>2730</v>
      </c>
      <c r="AF767" t="s">
        <v>2730</v>
      </c>
      <c r="AG767" s="120" t="s">
        <v>2730</v>
      </c>
      <c r="AH767" t="s">
        <v>2730</v>
      </c>
    </row>
    <row r="768" spans="1:34">
      <c r="A768" s="149" t="str">
        <f>HYPERLINK("http://www.ofsted.gov.uk/inspection-reports/find-inspection-report/provider/ELS/120330 ","Ofsted School Webpage")</f>
        <v>Ofsted School Webpage</v>
      </c>
      <c r="B768">
        <v>120330</v>
      </c>
      <c r="C768">
        <v>8556010</v>
      </c>
      <c r="D768" t="s">
        <v>1129</v>
      </c>
      <c r="E768" t="s">
        <v>38</v>
      </c>
      <c r="F768" t="s">
        <v>184</v>
      </c>
      <c r="G768" t="s">
        <v>184</v>
      </c>
      <c r="H768" t="s">
        <v>2729</v>
      </c>
      <c r="I768" t="s">
        <v>2730</v>
      </c>
      <c r="J768" t="s">
        <v>186</v>
      </c>
      <c r="K768" t="s">
        <v>214</v>
      </c>
      <c r="L768" t="s">
        <v>214</v>
      </c>
      <c r="M768" t="s">
        <v>281</v>
      </c>
      <c r="N768" t="s">
        <v>1130</v>
      </c>
      <c r="O768">
        <v>10007699</v>
      </c>
      <c r="P768" s="120">
        <v>42352</v>
      </c>
      <c r="Q768" s="120">
        <v>42354</v>
      </c>
      <c r="R768" s="120">
        <v>42391</v>
      </c>
      <c r="S768" t="s">
        <v>196</v>
      </c>
      <c r="T768">
        <v>3</v>
      </c>
      <c r="U768" t="s">
        <v>128</v>
      </c>
      <c r="V768">
        <v>3</v>
      </c>
      <c r="W768">
        <v>2</v>
      </c>
      <c r="X768">
        <v>2</v>
      </c>
      <c r="Y768">
        <v>2</v>
      </c>
      <c r="Z768" t="s">
        <v>2730</v>
      </c>
      <c r="AA768" t="s">
        <v>2730</v>
      </c>
      <c r="AB768" t="s">
        <v>2732</v>
      </c>
      <c r="AC768" t="s">
        <v>2730</v>
      </c>
      <c r="AD768" t="s">
        <v>2730</v>
      </c>
      <c r="AE768" t="s">
        <v>2730</v>
      </c>
      <c r="AF768" t="s">
        <v>2730</v>
      </c>
      <c r="AG768" t="s">
        <v>2730</v>
      </c>
      <c r="AH768" t="s">
        <v>2730</v>
      </c>
    </row>
    <row r="769" spans="1:34">
      <c r="A769" s="149" t="str">
        <f>HYPERLINK("http://www.ofsted.gov.uk/inspection-reports/find-inspection-report/provider/ELS/136263 ","Ofsted School Webpage")</f>
        <v>Ofsted School Webpage</v>
      </c>
      <c r="B769">
        <v>136263</v>
      </c>
      <c r="C769">
        <v>3026201</v>
      </c>
      <c r="D769" t="s">
        <v>1131</v>
      </c>
      <c r="E769" t="s">
        <v>38</v>
      </c>
      <c r="F769" t="s">
        <v>184</v>
      </c>
      <c r="G769" t="s">
        <v>184</v>
      </c>
      <c r="H769" t="s">
        <v>2729</v>
      </c>
      <c r="I769" t="s">
        <v>2730</v>
      </c>
      <c r="J769" t="s">
        <v>186</v>
      </c>
      <c r="K769" t="s">
        <v>232</v>
      </c>
      <c r="L769" t="s">
        <v>232</v>
      </c>
      <c r="M769" t="s">
        <v>311</v>
      </c>
      <c r="N769" t="s">
        <v>1132</v>
      </c>
      <c r="O769" t="s">
        <v>1133</v>
      </c>
      <c r="P769" s="120">
        <v>42017</v>
      </c>
      <c r="Q769" s="120">
        <v>42019</v>
      </c>
      <c r="R769" s="120">
        <v>42066</v>
      </c>
      <c r="S769" t="s">
        <v>196</v>
      </c>
      <c r="T769">
        <v>2</v>
      </c>
      <c r="U769" t="s">
        <v>2730</v>
      </c>
      <c r="V769">
        <v>2</v>
      </c>
      <c r="W769" t="s">
        <v>2730</v>
      </c>
      <c r="X769">
        <v>2</v>
      </c>
      <c r="Y769">
        <v>2</v>
      </c>
      <c r="Z769">
        <v>9</v>
      </c>
      <c r="AA769">
        <v>2</v>
      </c>
      <c r="AB769" t="s">
        <v>2730</v>
      </c>
      <c r="AC769" t="s">
        <v>2730</v>
      </c>
      <c r="AD769" t="s">
        <v>2730</v>
      </c>
      <c r="AE769" s="120" t="s">
        <v>2730</v>
      </c>
      <c r="AF769" t="s">
        <v>2730</v>
      </c>
      <c r="AG769" s="120" t="s">
        <v>2730</v>
      </c>
      <c r="AH769" t="s">
        <v>2730</v>
      </c>
    </row>
    <row r="770" spans="1:34">
      <c r="A770" s="149" t="str">
        <f>HYPERLINK("http://www.ofsted.gov.uk/inspection-reports/find-inspection-report/provider/ELS/135453 ","Ofsted School Webpage")</f>
        <v>Ofsted School Webpage</v>
      </c>
      <c r="B770">
        <v>135453</v>
      </c>
      <c r="C770">
        <v>3346010</v>
      </c>
      <c r="D770" t="s">
        <v>1854</v>
      </c>
      <c r="E770" t="s">
        <v>38</v>
      </c>
      <c r="F770" t="s">
        <v>184</v>
      </c>
      <c r="G770" t="s">
        <v>184</v>
      </c>
      <c r="H770" t="s">
        <v>2729</v>
      </c>
      <c r="I770" t="s">
        <v>2730</v>
      </c>
      <c r="J770" t="s">
        <v>186</v>
      </c>
      <c r="K770" t="s">
        <v>193</v>
      </c>
      <c r="L770" t="s">
        <v>193</v>
      </c>
      <c r="M770" t="s">
        <v>1740</v>
      </c>
      <c r="N770" t="s">
        <v>1855</v>
      </c>
      <c r="O770" t="s">
        <v>1856</v>
      </c>
      <c r="P770" s="120">
        <v>42024</v>
      </c>
      <c r="Q770" s="120">
        <v>42026</v>
      </c>
      <c r="R770" s="120">
        <v>42048</v>
      </c>
      <c r="S770" t="s">
        <v>196</v>
      </c>
      <c r="T770">
        <v>2</v>
      </c>
      <c r="U770" t="s">
        <v>2730</v>
      </c>
      <c r="V770">
        <v>2</v>
      </c>
      <c r="W770" t="s">
        <v>2730</v>
      </c>
      <c r="X770">
        <v>2</v>
      </c>
      <c r="Y770">
        <v>2</v>
      </c>
      <c r="Z770">
        <v>9</v>
      </c>
      <c r="AA770">
        <v>2</v>
      </c>
      <c r="AB770" t="s">
        <v>2730</v>
      </c>
      <c r="AC770" t="s">
        <v>2730</v>
      </c>
      <c r="AD770" t="s">
        <v>2730</v>
      </c>
      <c r="AE770" t="s">
        <v>2730</v>
      </c>
      <c r="AF770" t="s">
        <v>2730</v>
      </c>
      <c r="AG770" t="s">
        <v>2730</v>
      </c>
      <c r="AH770" t="s">
        <v>2730</v>
      </c>
    </row>
    <row r="771" spans="1:34">
      <c r="A771" s="149" t="str">
        <f>HYPERLINK("http://www.ofsted.gov.uk/inspection-reports/find-inspection-report/provider/ELS/131563 ","Ofsted School Webpage")</f>
        <v>Ofsted School Webpage</v>
      </c>
      <c r="B771">
        <v>131563</v>
      </c>
      <c r="C771">
        <v>8886093</v>
      </c>
      <c r="D771" t="s">
        <v>461</v>
      </c>
      <c r="E771" t="s">
        <v>38</v>
      </c>
      <c r="F771" t="s">
        <v>184</v>
      </c>
      <c r="G771" t="s">
        <v>184</v>
      </c>
      <c r="H771" t="s">
        <v>2729</v>
      </c>
      <c r="I771" t="s">
        <v>2730</v>
      </c>
      <c r="J771" t="s">
        <v>186</v>
      </c>
      <c r="K771" t="s">
        <v>205</v>
      </c>
      <c r="L771" t="s">
        <v>205</v>
      </c>
      <c r="M771" t="s">
        <v>206</v>
      </c>
      <c r="N771" t="s">
        <v>462</v>
      </c>
      <c r="O771">
        <v>10020824</v>
      </c>
      <c r="P771" s="120">
        <v>43025</v>
      </c>
      <c r="Q771" s="120">
        <v>43027</v>
      </c>
      <c r="R771" s="120">
        <v>43048</v>
      </c>
      <c r="S771" t="s">
        <v>196</v>
      </c>
      <c r="T771">
        <v>2</v>
      </c>
      <c r="U771" t="s">
        <v>128</v>
      </c>
      <c r="V771">
        <v>2</v>
      </c>
      <c r="W771">
        <v>2</v>
      </c>
      <c r="X771">
        <v>2</v>
      </c>
      <c r="Y771">
        <v>2</v>
      </c>
      <c r="Z771" t="s">
        <v>2730</v>
      </c>
      <c r="AA771" t="s">
        <v>2730</v>
      </c>
      <c r="AB771" t="s">
        <v>2732</v>
      </c>
      <c r="AC771" t="s">
        <v>2730</v>
      </c>
      <c r="AD771" t="s">
        <v>2730</v>
      </c>
      <c r="AE771" s="120" t="s">
        <v>2730</v>
      </c>
      <c r="AF771" t="s">
        <v>2730</v>
      </c>
      <c r="AG771" s="120" t="s">
        <v>2730</v>
      </c>
      <c r="AH771" t="s">
        <v>2730</v>
      </c>
    </row>
    <row r="772" spans="1:34">
      <c r="A772" s="149" t="str">
        <f>HYPERLINK("http://www.ofsted.gov.uk/inspection-reports/find-inspection-report/provider/ELS/141031 ","Ofsted School Webpage")</f>
        <v>Ofsted School Webpage</v>
      </c>
      <c r="B772">
        <v>141031</v>
      </c>
      <c r="C772">
        <v>2106005</v>
      </c>
      <c r="D772" t="s">
        <v>1861</v>
      </c>
      <c r="E772" t="s">
        <v>38</v>
      </c>
      <c r="F772" t="s">
        <v>184</v>
      </c>
      <c r="G772" t="s">
        <v>184</v>
      </c>
      <c r="H772" t="s">
        <v>2729</v>
      </c>
      <c r="I772" t="s">
        <v>2730</v>
      </c>
      <c r="J772" t="s">
        <v>186</v>
      </c>
      <c r="K772" t="s">
        <v>232</v>
      </c>
      <c r="L772" t="s">
        <v>232</v>
      </c>
      <c r="M772" t="s">
        <v>550</v>
      </c>
      <c r="N772" t="s">
        <v>1862</v>
      </c>
      <c r="O772" t="s">
        <v>1863</v>
      </c>
      <c r="P772" s="120">
        <v>42193</v>
      </c>
      <c r="Q772" s="120">
        <v>42195</v>
      </c>
      <c r="R772" s="120">
        <v>42258</v>
      </c>
      <c r="S772" t="s">
        <v>249</v>
      </c>
      <c r="T772">
        <v>2</v>
      </c>
      <c r="U772" t="s">
        <v>2730</v>
      </c>
      <c r="V772">
        <v>2</v>
      </c>
      <c r="W772" t="s">
        <v>2730</v>
      </c>
      <c r="X772">
        <v>2</v>
      </c>
      <c r="Y772">
        <v>2</v>
      </c>
      <c r="Z772">
        <v>9</v>
      </c>
      <c r="AA772">
        <v>2</v>
      </c>
      <c r="AB772" t="s">
        <v>2730</v>
      </c>
      <c r="AC772" t="s">
        <v>2730</v>
      </c>
      <c r="AD772" t="s">
        <v>2730</v>
      </c>
      <c r="AE772" s="120" t="s">
        <v>2730</v>
      </c>
      <c r="AF772" t="s">
        <v>2730</v>
      </c>
      <c r="AG772" s="120" t="s">
        <v>2730</v>
      </c>
      <c r="AH772" t="s">
        <v>2730</v>
      </c>
    </row>
    <row r="773" spans="1:34">
      <c r="A773" s="149" t="str">
        <f>HYPERLINK("http://www.ofsted.gov.uk/inspection-reports/find-inspection-report/provider/ELS/135218 ","Ofsted School Webpage")</f>
        <v>Ofsted School Webpage</v>
      </c>
      <c r="B773">
        <v>135218</v>
      </c>
      <c r="C773">
        <v>8556025</v>
      </c>
      <c r="D773" t="s">
        <v>1864</v>
      </c>
      <c r="E773" t="s">
        <v>38</v>
      </c>
      <c r="F773" t="s">
        <v>184</v>
      </c>
      <c r="G773" t="s">
        <v>184</v>
      </c>
      <c r="H773" t="s">
        <v>2729</v>
      </c>
      <c r="I773" t="s">
        <v>2730</v>
      </c>
      <c r="J773" t="s">
        <v>186</v>
      </c>
      <c r="K773" t="s">
        <v>214</v>
      </c>
      <c r="L773" t="s">
        <v>214</v>
      </c>
      <c r="M773" t="s">
        <v>281</v>
      </c>
      <c r="N773" t="s">
        <v>1865</v>
      </c>
      <c r="O773">
        <v>10026050</v>
      </c>
      <c r="P773" s="120">
        <v>42926</v>
      </c>
      <c r="Q773" s="120">
        <v>42928</v>
      </c>
      <c r="R773" s="120">
        <v>42991</v>
      </c>
      <c r="S773" t="s">
        <v>196</v>
      </c>
      <c r="T773">
        <v>2</v>
      </c>
      <c r="U773" t="s">
        <v>128</v>
      </c>
      <c r="V773">
        <v>2</v>
      </c>
      <c r="W773">
        <v>2</v>
      </c>
      <c r="X773">
        <v>2</v>
      </c>
      <c r="Y773">
        <v>2</v>
      </c>
      <c r="Z773" t="s">
        <v>2730</v>
      </c>
      <c r="AA773" t="s">
        <v>2730</v>
      </c>
      <c r="AB773" t="s">
        <v>2732</v>
      </c>
      <c r="AC773" t="s">
        <v>2730</v>
      </c>
      <c r="AD773" t="s">
        <v>2730</v>
      </c>
      <c r="AE773" t="s">
        <v>2730</v>
      </c>
      <c r="AF773" t="s">
        <v>2730</v>
      </c>
      <c r="AG773" t="s">
        <v>2730</v>
      </c>
      <c r="AH773" t="s">
        <v>2730</v>
      </c>
    </row>
    <row r="774" spans="1:34">
      <c r="A774" s="149" t="str">
        <f>HYPERLINK("http://www.ofsted.gov.uk/inspection-reports/find-inspection-report/provider/ELS/132097 ","Ofsted School Webpage")</f>
        <v>Ofsted School Webpage</v>
      </c>
      <c r="B774">
        <v>132097</v>
      </c>
      <c r="C774">
        <v>8876006</v>
      </c>
      <c r="D774" t="s">
        <v>1866</v>
      </c>
      <c r="E774" t="s">
        <v>38</v>
      </c>
      <c r="F774" t="s">
        <v>184</v>
      </c>
      <c r="G774" t="s">
        <v>184</v>
      </c>
      <c r="H774" t="s">
        <v>2729</v>
      </c>
      <c r="I774" t="s">
        <v>2730</v>
      </c>
      <c r="J774" t="s">
        <v>186</v>
      </c>
      <c r="K774" t="s">
        <v>181</v>
      </c>
      <c r="L774" t="s">
        <v>181</v>
      </c>
      <c r="M774" t="s">
        <v>272</v>
      </c>
      <c r="N774" t="s">
        <v>1867</v>
      </c>
      <c r="O774">
        <v>10026020</v>
      </c>
      <c r="P774" s="120">
        <v>42899</v>
      </c>
      <c r="Q774" s="120">
        <v>42901</v>
      </c>
      <c r="R774" s="120">
        <v>42928</v>
      </c>
      <c r="S774" t="s">
        <v>196</v>
      </c>
      <c r="T774">
        <v>2</v>
      </c>
      <c r="U774" t="s">
        <v>128</v>
      </c>
      <c r="V774">
        <v>2</v>
      </c>
      <c r="W774">
        <v>1</v>
      </c>
      <c r="X774">
        <v>2</v>
      </c>
      <c r="Y774">
        <v>2</v>
      </c>
      <c r="Z774" t="s">
        <v>2730</v>
      </c>
      <c r="AA774">
        <v>2</v>
      </c>
      <c r="AB774" t="s">
        <v>2732</v>
      </c>
      <c r="AC774" t="s">
        <v>2730</v>
      </c>
      <c r="AD774" t="s">
        <v>2730</v>
      </c>
      <c r="AE774" t="s">
        <v>2730</v>
      </c>
      <c r="AF774" t="s">
        <v>2730</v>
      </c>
      <c r="AG774" t="s">
        <v>2730</v>
      </c>
      <c r="AH774" t="s">
        <v>2730</v>
      </c>
    </row>
    <row r="775" spans="1:34">
      <c r="A775" s="149" t="str">
        <f>HYPERLINK("http://www.ofsted.gov.uk/inspection-reports/find-inspection-report/provider/ELS/135749 ","Ofsted School Webpage")</f>
        <v>Ofsted School Webpage</v>
      </c>
      <c r="B775">
        <v>135749</v>
      </c>
      <c r="C775">
        <v>8766013</v>
      </c>
      <c r="D775" t="s">
        <v>636</v>
      </c>
      <c r="E775" t="s">
        <v>38</v>
      </c>
      <c r="F775" t="s">
        <v>184</v>
      </c>
      <c r="G775" t="s">
        <v>184</v>
      </c>
      <c r="H775" t="s">
        <v>2729</v>
      </c>
      <c r="I775" t="s">
        <v>2730</v>
      </c>
      <c r="J775" t="s">
        <v>186</v>
      </c>
      <c r="K775" t="s">
        <v>205</v>
      </c>
      <c r="L775" t="s">
        <v>205</v>
      </c>
      <c r="M775" t="s">
        <v>637</v>
      </c>
      <c r="N775" t="s">
        <v>638</v>
      </c>
      <c r="O775">
        <v>10008531</v>
      </c>
      <c r="P775" s="120">
        <v>42864</v>
      </c>
      <c r="Q775" s="120">
        <v>42866</v>
      </c>
      <c r="R775" s="120">
        <v>42892</v>
      </c>
      <c r="S775" t="s">
        <v>196</v>
      </c>
      <c r="T775">
        <v>2</v>
      </c>
      <c r="U775" t="s">
        <v>128</v>
      </c>
      <c r="V775">
        <v>2</v>
      </c>
      <c r="W775">
        <v>2</v>
      </c>
      <c r="X775">
        <v>2</v>
      </c>
      <c r="Y775">
        <v>2</v>
      </c>
      <c r="Z775" t="s">
        <v>2730</v>
      </c>
      <c r="AA775" t="s">
        <v>2730</v>
      </c>
      <c r="AB775" t="s">
        <v>2732</v>
      </c>
      <c r="AC775" t="s">
        <v>2730</v>
      </c>
      <c r="AD775" t="s">
        <v>2730</v>
      </c>
      <c r="AE775" t="s">
        <v>2730</v>
      </c>
      <c r="AF775" t="s">
        <v>2730</v>
      </c>
      <c r="AG775" t="s">
        <v>2730</v>
      </c>
      <c r="AH775" t="s">
        <v>2730</v>
      </c>
    </row>
    <row r="776" spans="1:34">
      <c r="A776" s="149" t="str">
        <f>HYPERLINK("http://www.ofsted.gov.uk/inspection-reports/find-inspection-report/provider/ELS/136083 ","Ofsted School Webpage")</f>
        <v>Ofsted School Webpage</v>
      </c>
      <c r="B776">
        <v>136083</v>
      </c>
      <c r="C776">
        <v>8736049</v>
      </c>
      <c r="D776" t="s">
        <v>1872</v>
      </c>
      <c r="E776" t="s">
        <v>37</v>
      </c>
      <c r="F776" t="s">
        <v>184</v>
      </c>
      <c r="G776" t="s">
        <v>184</v>
      </c>
      <c r="H776" t="s">
        <v>2729</v>
      </c>
      <c r="I776" t="s">
        <v>2730</v>
      </c>
      <c r="J776" t="s">
        <v>186</v>
      </c>
      <c r="K776" t="s">
        <v>220</v>
      </c>
      <c r="L776" t="s">
        <v>220</v>
      </c>
      <c r="M776" t="s">
        <v>284</v>
      </c>
      <c r="N776" t="s">
        <v>1873</v>
      </c>
      <c r="O776">
        <v>10026072</v>
      </c>
      <c r="P776" s="120">
        <v>42794</v>
      </c>
      <c r="Q776" s="120">
        <v>42796</v>
      </c>
      <c r="R776" s="120">
        <v>42850</v>
      </c>
      <c r="S776" t="s">
        <v>196</v>
      </c>
      <c r="T776">
        <v>2</v>
      </c>
      <c r="U776" t="s">
        <v>128</v>
      </c>
      <c r="V776">
        <v>2</v>
      </c>
      <c r="W776">
        <v>1</v>
      </c>
      <c r="X776">
        <v>2</v>
      </c>
      <c r="Y776">
        <v>2</v>
      </c>
      <c r="Z776" t="s">
        <v>2730</v>
      </c>
      <c r="AA776">
        <v>2</v>
      </c>
      <c r="AB776" t="s">
        <v>2732</v>
      </c>
      <c r="AC776" t="s">
        <v>2730</v>
      </c>
      <c r="AD776" t="s">
        <v>2730</v>
      </c>
      <c r="AE776" t="s">
        <v>2730</v>
      </c>
      <c r="AF776" t="s">
        <v>2730</v>
      </c>
      <c r="AG776" t="s">
        <v>2730</v>
      </c>
      <c r="AH776" t="s">
        <v>2730</v>
      </c>
    </row>
    <row r="777" spans="1:34">
      <c r="A777" s="149" t="str">
        <f>HYPERLINK("http://www.ofsted.gov.uk/inspection-reports/find-inspection-report/provider/ELS/117035 ","Ofsted School Webpage")</f>
        <v>Ofsted School Webpage</v>
      </c>
      <c r="B777">
        <v>117035</v>
      </c>
      <c r="C777">
        <v>8856026</v>
      </c>
      <c r="D777" t="s">
        <v>1593</v>
      </c>
      <c r="E777" t="s">
        <v>37</v>
      </c>
      <c r="F777" t="s">
        <v>184</v>
      </c>
      <c r="G777" t="s">
        <v>184</v>
      </c>
      <c r="H777" t="s">
        <v>2729</v>
      </c>
      <c r="I777" t="s">
        <v>2730</v>
      </c>
      <c r="J777" t="s">
        <v>186</v>
      </c>
      <c r="K777" t="s">
        <v>193</v>
      </c>
      <c r="L777" t="s">
        <v>193</v>
      </c>
      <c r="M777" t="s">
        <v>891</v>
      </c>
      <c r="N777" t="s">
        <v>1594</v>
      </c>
      <c r="O777" t="s">
        <v>3086</v>
      </c>
      <c r="P777" s="120">
        <v>41241</v>
      </c>
      <c r="Q777" s="120">
        <v>41242</v>
      </c>
      <c r="R777" s="120">
        <v>41297</v>
      </c>
      <c r="S777" t="s">
        <v>267</v>
      </c>
      <c r="T777">
        <v>2</v>
      </c>
      <c r="U777" t="s">
        <v>2730</v>
      </c>
      <c r="V777" t="s">
        <v>2730</v>
      </c>
      <c r="W777" t="s">
        <v>2730</v>
      </c>
      <c r="X777">
        <v>2</v>
      </c>
      <c r="Y777">
        <v>2</v>
      </c>
      <c r="Z777">
        <v>8</v>
      </c>
      <c r="AA777" t="s">
        <v>2730</v>
      </c>
      <c r="AB777" t="s">
        <v>2730</v>
      </c>
      <c r="AC777" t="s">
        <v>2730</v>
      </c>
      <c r="AD777" t="s">
        <v>2730</v>
      </c>
      <c r="AE777" t="s">
        <v>2730</v>
      </c>
      <c r="AF777" t="s">
        <v>2730</v>
      </c>
      <c r="AG777" t="s">
        <v>2730</v>
      </c>
      <c r="AH777" t="s">
        <v>2730</v>
      </c>
    </row>
    <row r="778" spans="1:34">
      <c r="A778" s="149" t="str">
        <f>HYPERLINK("http://www.ofsted.gov.uk/inspection-reports/find-inspection-report/provider/ELS/106386 ","Ofsted School Webpage")</f>
        <v>Ofsted School Webpage</v>
      </c>
      <c r="B778">
        <v>106386</v>
      </c>
      <c r="C778">
        <v>3586012</v>
      </c>
      <c r="D778" t="s">
        <v>1595</v>
      </c>
      <c r="E778" t="s">
        <v>37</v>
      </c>
      <c r="F778" t="s">
        <v>184</v>
      </c>
      <c r="G778" t="s">
        <v>184</v>
      </c>
      <c r="H778" t="s">
        <v>2729</v>
      </c>
      <c r="I778" t="s">
        <v>2730</v>
      </c>
      <c r="J778" t="s">
        <v>186</v>
      </c>
      <c r="K778" t="s">
        <v>205</v>
      </c>
      <c r="L778" t="s">
        <v>205</v>
      </c>
      <c r="M778" t="s">
        <v>1390</v>
      </c>
      <c r="N778" t="s">
        <v>1596</v>
      </c>
      <c r="O778">
        <v>10034023</v>
      </c>
      <c r="P778" s="120">
        <v>42893</v>
      </c>
      <c r="Q778" s="120">
        <v>42895</v>
      </c>
      <c r="R778" s="120">
        <v>42936</v>
      </c>
      <c r="S778" t="s">
        <v>196</v>
      </c>
      <c r="T778">
        <v>1</v>
      </c>
      <c r="U778" t="s">
        <v>128</v>
      </c>
      <c r="V778">
        <v>1</v>
      </c>
      <c r="W778">
        <v>1</v>
      </c>
      <c r="X778">
        <v>1</v>
      </c>
      <c r="Y778">
        <v>1</v>
      </c>
      <c r="Z778">
        <v>1</v>
      </c>
      <c r="AA778" t="s">
        <v>2730</v>
      </c>
      <c r="AB778" t="s">
        <v>2732</v>
      </c>
      <c r="AC778" t="s">
        <v>2730</v>
      </c>
      <c r="AD778" t="s">
        <v>2730</v>
      </c>
      <c r="AE778" t="s">
        <v>2730</v>
      </c>
      <c r="AF778" t="s">
        <v>2730</v>
      </c>
      <c r="AG778" t="s">
        <v>2730</v>
      </c>
      <c r="AH778" t="s">
        <v>2730</v>
      </c>
    </row>
    <row r="779" spans="1:34">
      <c r="A779" s="149" t="str">
        <f>HYPERLINK("http://www.ofsted.gov.uk/inspection-reports/find-inspection-report/provider/ELS/135822 ","Ofsted School Webpage")</f>
        <v>Ofsted School Webpage</v>
      </c>
      <c r="B779">
        <v>135822</v>
      </c>
      <c r="C779">
        <v>8886109</v>
      </c>
      <c r="D779" t="s">
        <v>1597</v>
      </c>
      <c r="E779" t="s">
        <v>37</v>
      </c>
      <c r="F779" t="s">
        <v>184</v>
      </c>
      <c r="G779" t="s">
        <v>184</v>
      </c>
      <c r="H779" t="s">
        <v>2729</v>
      </c>
      <c r="I779" t="s">
        <v>2730</v>
      </c>
      <c r="J779" t="s">
        <v>186</v>
      </c>
      <c r="K779" t="s">
        <v>205</v>
      </c>
      <c r="L779" t="s">
        <v>205</v>
      </c>
      <c r="M779" t="s">
        <v>206</v>
      </c>
      <c r="N779" t="s">
        <v>1598</v>
      </c>
      <c r="O779">
        <v>10026012</v>
      </c>
      <c r="P779" s="120">
        <v>42703</v>
      </c>
      <c r="Q779" s="120">
        <v>42705</v>
      </c>
      <c r="R779" s="120">
        <v>42752</v>
      </c>
      <c r="S779" t="s">
        <v>267</v>
      </c>
      <c r="T779">
        <v>3</v>
      </c>
      <c r="U779" t="s">
        <v>128</v>
      </c>
      <c r="V779">
        <v>3</v>
      </c>
      <c r="W779">
        <v>2</v>
      </c>
      <c r="X779">
        <v>3</v>
      </c>
      <c r="Y779">
        <v>2</v>
      </c>
      <c r="Z779" t="s">
        <v>2730</v>
      </c>
      <c r="AA779">
        <v>2</v>
      </c>
      <c r="AB779" t="s">
        <v>2732</v>
      </c>
      <c r="AC779" t="s">
        <v>2730</v>
      </c>
      <c r="AD779" t="s">
        <v>2730</v>
      </c>
      <c r="AE779" t="s">
        <v>2730</v>
      </c>
      <c r="AF779" t="s">
        <v>2730</v>
      </c>
      <c r="AG779" t="s">
        <v>2730</v>
      </c>
      <c r="AH779" t="s">
        <v>2730</v>
      </c>
    </row>
    <row r="780" spans="1:34">
      <c r="A780" s="149" t="str">
        <f>HYPERLINK("http://www.ofsted.gov.uk/inspection-reports/find-inspection-report/provider/ELS/135975 ","Ofsted School Webpage")</f>
        <v>Ofsted School Webpage</v>
      </c>
      <c r="B780">
        <v>135975</v>
      </c>
      <c r="C780">
        <v>3576003</v>
      </c>
      <c r="D780" t="s">
        <v>1274</v>
      </c>
      <c r="E780" t="s">
        <v>37</v>
      </c>
      <c r="F780" t="s">
        <v>184</v>
      </c>
      <c r="G780" t="s">
        <v>184</v>
      </c>
      <c r="H780" t="s">
        <v>2729</v>
      </c>
      <c r="I780" t="s">
        <v>2730</v>
      </c>
      <c r="J780" t="s">
        <v>186</v>
      </c>
      <c r="K780" t="s">
        <v>205</v>
      </c>
      <c r="L780" t="s">
        <v>205</v>
      </c>
      <c r="M780" t="s">
        <v>857</v>
      </c>
      <c r="N780" t="s">
        <v>1275</v>
      </c>
      <c r="O780">
        <v>10020741</v>
      </c>
      <c r="P780" s="120">
        <v>42626</v>
      </c>
      <c r="Q780" s="120">
        <v>42628</v>
      </c>
      <c r="R780" s="120">
        <v>42661</v>
      </c>
      <c r="S780" t="s">
        <v>3119</v>
      </c>
      <c r="T780">
        <v>1</v>
      </c>
      <c r="U780" t="s">
        <v>128</v>
      </c>
      <c r="V780">
        <v>1</v>
      </c>
      <c r="W780">
        <v>1</v>
      </c>
      <c r="X780">
        <v>1</v>
      </c>
      <c r="Y780">
        <v>1</v>
      </c>
      <c r="Z780" t="s">
        <v>2730</v>
      </c>
      <c r="AA780" t="s">
        <v>2730</v>
      </c>
      <c r="AB780" t="s">
        <v>2732</v>
      </c>
      <c r="AC780" t="s">
        <v>2730</v>
      </c>
      <c r="AD780" t="s">
        <v>2730</v>
      </c>
      <c r="AE780" t="s">
        <v>2730</v>
      </c>
      <c r="AF780" t="s">
        <v>2730</v>
      </c>
      <c r="AG780" t="s">
        <v>2730</v>
      </c>
      <c r="AH780" t="s">
        <v>2730</v>
      </c>
    </row>
    <row r="781" spans="1:34">
      <c r="A781" s="149" t="str">
        <f>HYPERLINK("http://www.ofsted.gov.uk/inspection-reports/find-inspection-report/provider/ELS/138878 ","Ofsted School Webpage")</f>
        <v>Ofsted School Webpage</v>
      </c>
      <c r="B781">
        <v>138878</v>
      </c>
      <c r="C781">
        <v>3416003</v>
      </c>
      <c r="D781" t="s">
        <v>1276</v>
      </c>
      <c r="E781" t="s">
        <v>37</v>
      </c>
      <c r="F781" t="s">
        <v>184</v>
      </c>
      <c r="G781" t="s">
        <v>184</v>
      </c>
      <c r="H781" t="s">
        <v>2729</v>
      </c>
      <c r="I781" t="s">
        <v>2730</v>
      </c>
      <c r="J781" t="s">
        <v>186</v>
      </c>
      <c r="K781" t="s">
        <v>205</v>
      </c>
      <c r="L781" t="s">
        <v>205</v>
      </c>
      <c r="M781" t="s">
        <v>658</v>
      </c>
      <c r="N781" t="s">
        <v>1277</v>
      </c>
      <c r="O781">
        <v>10020909</v>
      </c>
      <c r="P781" s="120">
        <v>42626</v>
      </c>
      <c r="Q781" s="120">
        <v>42628</v>
      </c>
      <c r="R781" s="120">
        <v>42689</v>
      </c>
      <c r="S781" t="s">
        <v>196</v>
      </c>
      <c r="T781">
        <v>4</v>
      </c>
      <c r="U781" t="s">
        <v>129</v>
      </c>
      <c r="V781">
        <v>4</v>
      </c>
      <c r="W781">
        <v>4</v>
      </c>
      <c r="X781">
        <v>3</v>
      </c>
      <c r="Y781">
        <v>3</v>
      </c>
      <c r="Z781" t="s">
        <v>2730</v>
      </c>
      <c r="AA781" t="s">
        <v>2730</v>
      </c>
      <c r="AB781" t="s">
        <v>2733</v>
      </c>
      <c r="AC781">
        <v>10033850</v>
      </c>
      <c r="AD781" t="s">
        <v>187</v>
      </c>
      <c r="AE781" s="120">
        <v>42893</v>
      </c>
      <c r="AF781" t="s">
        <v>2769</v>
      </c>
      <c r="AG781" s="120">
        <v>42919</v>
      </c>
      <c r="AH781" t="s">
        <v>189</v>
      </c>
    </row>
    <row r="782" spans="1:34">
      <c r="A782" s="149" t="str">
        <f>HYPERLINK("http://www.ofsted.gov.uk/inspection-reports/find-inspection-report/provider/ELS/135988 ","Ofsted School Webpage")</f>
        <v>Ofsted School Webpage</v>
      </c>
      <c r="B782">
        <v>135988</v>
      </c>
      <c r="C782">
        <v>3096088</v>
      </c>
      <c r="D782" t="s">
        <v>1278</v>
      </c>
      <c r="E782" t="s">
        <v>37</v>
      </c>
      <c r="F782" t="s">
        <v>184</v>
      </c>
      <c r="G782" t="s">
        <v>184</v>
      </c>
      <c r="H782" t="s">
        <v>2729</v>
      </c>
      <c r="I782" t="s">
        <v>2730</v>
      </c>
      <c r="J782" t="s">
        <v>186</v>
      </c>
      <c r="K782" t="s">
        <v>232</v>
      </c>
      <c r="L782" t="s">
        <v>232</v>
      </c>
      <c r="M782" t="s">
        <v>697</v>
      </c>
      <c r="N782" t="s">
        <v>1279</v>
      </c>
      <c r="O782" t="s">
        <v>3087</v>
      </c>
      <c r="P782" s="120">
        <v>41443</v>
      </c>
      <c r="Q782" s="120">
        <v>41445</v>
      </c>
      <c r="R782" s="120">
        <v>41467</v>
      </c>
      <c r="S782" t="s">
        <v>196</v>
      </c>
      <c r="T782">
        <v>3</v>
      </c>
      <c r="U782" t="s">
        <v>2730</v>
      </c>
      <c r="V782">
        <v>3</v>
      </c>
      <c r="W782" t="s">
        <v>2730</v>
      </c>
      <c r="X782">
        <v>3</v>
      </c>
      <c r="Y782">
        <v>3</v>
      </c>
      <c r="Z782" t="s">
        <v>2730</v>
      </c>
      <c r="AA782" t="s">
        <v>2730</v>
      </c>
      <c r="AB782" t="s">
        <v>2730</v>
      </c>
      <c r="AC782" t="s">
        <v>2730</v>
      </c>
      <c r="AD782" t="s">
        <v>2730</v>
      </c>
      <c r="AE782" t="s">
        <v>2730</v>
      </c>
      <c r="AF782" t="s">
        <v>2730</v>
      </c>
      <c r="AG782" t="s">
        <v>2730</v>
      </c>
      <c r="AH782" t="s">
        <v>2730</v>
      </c>
    </row>
    <row r="783" spans="1:34">
      <c r="A783" s="149" t="str">
        <f>HYPERLINK("http://www.ofsted.gov.uk/inspection-reports/find-inspection-report/provider/ELS/138118 ","Ofsted School Webpage")</f>
        <v>Ofsted School Webpage</v>
      </c>
      <c r="B783">
        <v>138118</v>
      </c>
      <c r="C783">
        <v>3906000</v>
      </c>
      <c r="D783" t="s">
        <v>650</v>
      </c>
      <c r="E783" t="s">
        <v>37</v>
      </c>
      <c r="F783" t="s">
        <v>184</v>
      </c>
      <c r="G783" t="s">
        <v>318</v>
      </c>
      <c r="H783" t="s">
        <v>2729</v>
      </c>
      <c r="I783" t="s">
        <v>2730</v>
      </c>
      <c r="J783" t="s">
        <v>186</v>
      </c>
      <c r="K783" t="s">
        <v>245</v>
      </c>
      <c r="L783" t="s">
        <v>277</v>
      </c>
      <c r="M783" t="s">
        <v>651</v>
      </c>
      <c r="N783" t="s">
        <v>652</v>
      </c>
      <c r="O783">
        <v>10010408</v>
      </c>
      <c r="P783" s="120">
        <v>42528</v>
      </c>
      <c r="Q783" s="120">
        <v>42530</v>
      </c>
      <c r="R783" s="120">
        <v>42563</v>
      </c>
      <c r="S783" t="s">
        <v>196</v>
      </c>
      <c r="T783">
        <v>4</v>
      </c>
      <c r="U783" t="s">
        <v>128</v>
      </c>
      <c r="V783">
        <v>4</v>
      </c>
      <c r="W783">
        <v>3</v>
      </c>
      <c r="X783">
        <v>3</v>
      </c>
      <c r="Y783">
        <v>3</v>
      </c>
      <c r="Z783" t="s">
        <v>2730</v>
      </c>
      <c r="AA783" t="s">
        <v>2730</v>
      </c>
      <c r="AB783" t="s">
        <v>2733</v>
      </c>
      <c r="AC783">
        <v>10033620</v>
      </c>
      <c r="AD783" t="s">
        <v>187</v>
      </c>
      <c r="AE783" s="120">
        <v>42796</v>
      </c>
      <c r="AF783" t="s">
        <v>2769</v>
      </c>
      <c r="AG783" s="120">
        <v>42823</v>
      </c>
      <c r="AH783" t="s">
        <v>189</v>
      </c>
    </row>
    <row r="784" spans="1:34">
      <c r="A784" s="149" t="str">
        <f>HYPERLINK("http://www.ofsted.gov.uk/inspection-reports/find-inspection-report/provider/ELS/141411 ","Ofsted School Webpage")</f>
        <v>Ofsted School Webpage</v>
      </c>
      <c r="B784">
        <v>141411</v>
      </c>
      <c r="C784">
        <v>3206005</v>
      </c>
      <c r="D784" t="s">
        <v>1619</v>
      </c>
      <c r="E784" t="s">
        <v>37</v>
      </c>
      <c r="F784" t="s">
        <v>184</v>
      </c>
      <c r="G784" t="s">
        <v>184</v>
      </c>
      <c r="H784" t="s">
        <v>2729</v>
      </c>
      <c r="I784" t="s">
        <v>2730</v>
      </c>
      <c r="J784" t="s">
        <v>186</v>
      </c>
      <c r="K784" t="s">
        <v>232</v>
      </c>
      <c r="L784" t="s">
        <v>232</v>
      </c>
      <c r="M784" t="s">
        <v>709</v>
      </c>
      <c r="N784" t="s">
        <v>1620</v>
      </c>
      <c r="O784">
        <v>10006032</v>
      </c>
      <c r="P784" s="120">
        <v>42437</v>
      </c>
      <c r="Q784" s="120">
        <v>42439</v>
      </c>
      <c r="R784" s="120">
        <v>42478</v>
      </c>
      <c r="S784" t="s">
        <v>249</v>
      </c>
      <c r="T784">
        <v>2</v>
      </c>
      <c r="U784" t="s">
        <v>128</v>
      </c>
      <c r="V784">
        <v>2</v>
      </c>
      <c r="W784">
        <v>2</v>
      </c>
      <c r="X784">
        <v>2</v>
      </c>
      <c r="Y784">
        <v>2</v>
      </c>
      <c r="Z784" t="s">
        <v>2730</v>
      </c>
      <c r="AA784" t="s">
        <v>2730</v>
      </c>
      <c r="AB784" t="s">
        <v>2732</v>
      </c>
      <c r="AC784" t="s">
        <v>2730</v>
      </c>
      <c r="AD784" t="s">
        <v>2730</v>
      </c>
      <c r="AE784" t="s">
        <v>2730</v>
      </c>
      <c r="AF784" t="s">
        <v>2730</v>
      </c>
      <c r="AG784" t="s">
        <v>2730</v>
      </c>
      <c r="AH784" t="s">
        <v>2730</v>
      </c>
    </row>
    <row r="785" spans="1:34">
      <c r="A785" s="149" t="str">
        <f>HYPERLINK("http://www.ofsted.gov.uk/inspection-reports/find-inspection-report/provider/ELS/103591 ","Ofsted School Webpage")</f>
        <v>Ofsted School Webpage</v>
      </c>
      <c r="B785">
        <v>103591</v>
      </c>
      <c r="C785">
        <v>3306083</v>
      </c>
      <c r="D785" t="s">
        <v>1621</v>
      </c>
      <c r="E785" t="s">
        <v>37</v>
      </c>
      <c r="F785" t="s">
        <v>184</v>
      </c>
      <c r="G785" t="s">
        <v>223</v>
      </c>
      <c r="H785" t="s">
        <v>2729</v>
      </c>
      <c r="I785" t="s">
        <v>2730</v>
      </c>
      <c r="J785" t="s">
        <v>186</v>
      </c>
      <c r="K785" t="s">
        <v>193</v>
      </c>
      <c r="L785" t="s">
        <v>193</v>
      </c>
      <c r="M785" t="s">
        <v>210</v>
      </c>
      <c r="N785" t="s">
        <v>1622</v>
      </c>
      <c r="O785" t="s">
        <v>2730</v>
      </c>
      <c r="P785" s="120" t="s">
        <v>2730</v>
      </c>
      <c r="Q785" s="120" t="s">
        <v>2730</v>
      </c>
      <c r="R785" s="120" t="s">
        <v>2730</v>
      </c>
      <c r="S785" t="s">
        <v>2730</v>
      </c>
      <c r="T785" t="s">
        <v>2730</v>
      </c>
      <c r="U785" t="s">
        <v>2730</v>
      </c>
      <c r="V785" t="s">
        <v>2730</v>
      </c>
      <c r="W785" t="s">
        <v>2730</v>
      </c>
      <c r="X785" t="s">
        <v>2730</v>
      </c>
      <c r="Y785" t="s">
        <v>2730</v>
      </c>
      <c r="Z785" t="s">
        <v>2730</v>
      </c>
      <c r="AA785" t="s">
        <v>2730</v>
      </c>
      <c r="AB785" t="s">
        <v>2730</v>
      </c>
      <c r="AC785" t="s">
        <v>2730</v>
      </c>
      <c r="AD785" t="s">
        <v>2730</v>
      </c>
      <c r="AE785" s="120" t="s">
        <v>2730</v>
      </c>
      <c r="AF785" t="s">
        <v>2730</v>
      </c>
      <c r="AG785" s="120" t="s">
        <v>2730</v>
      </c>
      <c r="AH785" t="s">
        <v>2730</v>
      </c>
    </row>
    <row r="786" spans="1:34">
      <c r="A786" s="149" t="str">
        <f>HYPERLINK("http://www.ofsted.gov.uk/inspection-reports/find-inspection-report/provider/ELS/133521 ","Ofsted School Webpage")</f>
        <v>Ofsted School Webpage</v>
      </c>
      <c r="B786">
        <v>133521</v>
      </c>
      <c r="C786">
        <v>3306102</v>
      </c>
      <c r="D786" t="s">
        <v>308</v>
      </c>
      <c r="E786" t="s">
        <v>37</v>
      </c>
      <c r="F786" t="s">
        <v>184</v>
      </c>
      <c r="G786" t="s">
        <v>223</v>
      </c>
      <c r="H786" t="s">
        <v>2729</v>
      </c>
      <c r="I786" t="s">
        <v>2730</v>
      </c>
      <c r="J786" t="s">
        <v>186</v>
      </c>
      <c r="K786" t="s">
        <v>193</v>
      </c>
      <c r="L786" t="s">
        <v>193</v>
      </c>
      <c r="M786" t="s">
        <v>210</v>
      </c>
      <c r="N786" t="s">
        <v>309</v>
      </c>
      <c r="O786">
        <v>10040956</v>
      </c>
      <c r="P786" s="120">
        <v>43025</v>
      </c>
      <c r="Q786" s="120">
        <v>43027</v>
      </c>
      <c r="R786" s="120">
        <v>43062</v>
      </c>
      <c r="S786" t="s">
        <v>196</v>
      </c>
      <c r="T786">
        <v>4</v>
      </c>
      <c r="U786" t="s">
        <v>128</v>
      </c>
      <c r="V786">
        <v>4</v>
      </c>
      <c r="W786">
        <v>2</v>
      </c>
      <c r="X786">
        <v>3</v>
      </c>
      <c r="Y786">
        <v>3</v>
      </c>
      <c r="Z786">
        <v>2</v>
      </c>
      <c r="AA786" t="s">
        <v>2730</v>
      </c>
      <c r="AB786" t="s">
        <v>2733</v>
      </c>
      <c r="AC786" t="s">
        <v>2730</v>
      </c>
      <c r="AD786" t="s">
        <v>2730</v>
      </c>
      <c r="AE786" t="s">
        <v>2730</v>
      </c>
      <c r="AF786" t="s">
        <v>2730</v>
      </c>
      <c r="AG786" t="s">
        <v>2730</v>
      </c>
      <c r="AH786" t="s">
        <v>2730</v>
      </c>
    </row>
    <row r="787" spans="1:34">
      <c r="A787" s="149" t="str">
        <f>HYPERLINK("http://www.ofsted.gov.uk/inspection-reports/find-inspection-report/provider/ELS/136211 ","Ofsted School Webpage")</f>
        <v>Ofsted School Webpage</v>
      </c>
      <c r="B787">
        <v>136211</v>
      </c>
      <c r="C787">
        <v>8866136</v>
      </c>
      <c r="D787" t="s">
        <v>667</v>
      </c>
      <c r="E787" t="s">
        <v>37</v>
      </c>
      <c r="F787" t="s">
        <v>184</v>
      </c>
      <c r="G787" t="s">
        <v>184</v>
      </c>
      <c r="H787" t="s">
        <v>2729</v>
      </c>
      <c r="I787" t="s">
        <v>2730</v>
      </c>
      <c r="J787" t="s">
        <v>186</v>
      </c>
      <c r="K787" t="s">
        <v>181</v>
      </c>
      <c r="L787" t="s">
        <v>181</v>
      </c>
      <c r="M787" t="s">
        <v>182</v>
      </c>
      <c r="N787" t="s">
        <v>668</v>
      </c>
      <c r="O787" t="s">
        <v>669</v>
      </c>
      <c r="P787" s="120">
        <v>41723</v>
      </c>
      <c r="Q787" s="120">
        <v>41725</v>
      </c>
      <c r="R787" s="120">
        <v>41754</v>
      </c>
      <c r="S787" t="s">
        <v>196</v>
      </c>
      <c r="T787">
        <v>1</v>
      </c>
      <c r="U787" t="s">
        <v>2730</v>
      </c>
      <c r="V787">
        <v>1</v>
      </c>
      <c r="W787" t="s">
        <v>2730</v>
      </c>
      <c r="X787">
        <v>1</v>
      </c>
      <c r="Y787">
        <v>1</v>
      </c>
      <c r="Z787" t="s">
        <v>2730</v>
      </c>
      <c r="AA787" t="s">
        <v>2730</v>
      </c>
      <c r="AB787" t="s">
        <v>2730</v>
      </c>
      <c r="AC787" t="s">
        <v>2730</v>
      </c>
      <c r="AD787" t="s">
        <v>2730</v>
      </c>
      <c r="AE787" t="s">
        <v>2730</v>
      </c>
      <c r="AF787" t="s">
        <v>2730</v>
      </c>
      <c r="AG787" t="s">
        <v>2730</v>
      </c>
      <c r="AH787" t="s">
        <v>2730</v>
      </c>
    </row>
    <row r="788" spans="1:34">
      <c r="A788" s="149" t="str">
        <f>HYPERLINK("http://www.ofsted.gov.uk/inspection-reports/find-inspection-report/provider/ELS/137571 ","Ofsted School Webpage")</f>
        <v>Ofsted School Webpage</v>
      </c>
      <c r="B788">
        <v>137571</v>
      </c>
      <c r="C788">
        <v>3326007</v>
      </c>
      <c r="D788" t="s">
        <v>348</v>
      </c>
      <c r="E788" t="s">
        <v>37</v>
      </c>
      <c r="F788" t="s">
        <v>184</v>
      </c>
      <c r="G788" t="s">
        <v>184</v>
      </c>
      <c r="H788" t="s">
        <v>2729</v>
      </c>
      <c r="I788" t="s">
        <v>2730</v>
      </c>
      <c r="J788" t="s">
        <v>186</v>
      </c>
      <c r="K788" t="s">
        <v>193</v>
      </c>
      <c r="L788" t="s">
        <v>193</v>
      </c>
      <c r="M788" t="s">
        <v>349</v>
      </c>
      <c r="N788" t="s">
        <v>350</v>
      </c>
      <c r="O788">
        <v>10006094</v>
      </c>
      <c r="P788" s="120">
        <v>43046</v>
      </c>
      <c r="Q788" s="120">
        <v>43048</v>
      </c>
      <c r="R788" s="120">
        <v>43069</v>
      </c>
      <c r="S788" t="s">
        <v>196</v>
      </c>
      <c r="T788">
        <v>2</v>
      </c>
      <c r="U788" t="s">
        <v>128</v>
      </c>
      <c r="V788">
        <v>2</v>
      </c>
      <c r="W788">
        <v>2</v>
      </c>
      <c r="X788">
        <v>2</v>
      </c>
      <c r="Y788">
        <v>1</v>
      </c>
      <c r="Z788" t="s">
        <v>2730</v>
      </c>
      <c r="AA788" t="s">
        <v>2730</v>
      </c>
      <c r="AB788" t="s">
        <v>2732</v>
      </c>
      <c r="AC788" t="s">
        <v>2730</v>
      </c>
      <c r="AD788" t="s">
        <v>2730</v>
      </c>
      <c r="AE788" s="120" t="s">
        <v>2730</v>
      </c>
      <c r="AF788" t="s">
        <v>2730</v>
      </c>
      <c r="AG788" s="120" t="s">
        <v>2730</v>
      </c>
      <c r="AH788" t="s">
        <v>2730</v>
      </c>
    </row>
    <row r="789" spans="1:34">
      <c r="A789" s="149" t="str">
        <f>HYPERLINK("http://www.ofsted.gov.uk/inspection-reports/find-inspection-report/provider/ELS/134140 ","Ofsted School Webpage")</f>
        <v>Ofsted School Webpage</v>
      </c>
      <c r="B789">
        <v>134140</v>
      </c>
      <c r="C789">
        <v>3806114</v>
      </c>
      <c r="D789" t="s">
        <v>1713</v>
      </c>
      <c r="E789" t="s">
        <v>37</v>
      </c>
      <c r="F789" t="s">
        <v>304</v>
      </c>
      <c r="G789" t="s">
        <v>223</v>
      </c>
      <c r="H789" t="s">
        <v>2729</v>
      </c>
      <c r="I789" t="s">
        <v>2730</v>
      </c>
      <c r="J789" t="s">
        <v>186</v>
      </c>
      <c r="K789" t="s">
        <v>245</v>
      </c>
      <c r="L789" t="s">
        <v>246</v>
      </c>
      <c r="M789" t="s">
        <v>339</v>
      </c>
      <c r="N789" t="s">
        <v>1714</v>
      </c>
      <c r="O789">
        <v>10040142</v>
      </c>
      <c r="P789" s="120">
        <v>43060</v>
      </c>
      <c r="Q789" s="120">
        <v>43062</v>
      </c>
      <c r="R789" s="120">
        <v>43089</v>
      </c>
      <c r="S789" t="s">
        <v>196</v>
      </c>
      <c r="T789">
        <v>2</v>
      </c>
      <c r="U789" t="s">
        <v>128</v>
      </c>
      <c r="V789">
        <v>2</v>
      </c>
      <c r="W789">
        <v>2</v>
      </c>
      <c r="X789">
        <v>2</v>
      </c>
      <c r="Y789">
        <v>2</v>
      </c>
      <c r="Z789" t="s">
        <v>2730</v>
      </c>
      <c r="AA789">
        <v>2</v>
      </c>
      <c r="AB789" t="s">
        <v>2732</v>
      </c>
      <c r="AC789" t="s">
        <v>2730</v>
      </c>
      <c r="AD789" t="s">
        <v>2730</v>
      </c>
      <c r="AE789" t="s">
        <v>2730</v>
      </c>
      <c r="AF789" t="s">
        <v>2730</v>
      </c>
      <c r="AG789" t="s">
        <v>2730</v>
      </c>
      <c r="AH789" t="s">
        <v>2730</v>
      </c>
    </row>
    <row r="790" spans="1:34">
      <c r="A790" s="149" t="str">
        <f>HYPERLINK("http://www.ofsted.gov.uk/inspection-reports/find-inspection-report/provider/ELS/103586 ","Ofsted School Webpage")</f>
        <v>Ofsted School Webpage</v>
      </c>
      <c r="B790">
        <v>103586</v>
      </c>
      <c r="C790">
        <v>3306078</v>
      </c>
      <c r="D790" t="s">
        <v>403</v>
      </c>
      <c r="E790" t="s">
        <v>37</v>
      </c>
      <c r="F790" t="s">
        <v>184</v>
      </c>
      <c r="G790" t="s">
        <v>223</v>
      </c>
      <c r="H790" t="s">
        <v>2729</v>
      </c>
      <c r="I790" t="s">
        <v>2730</v>
      </c>
      <c r="J790" t="s">
        <v>186</v>
      </c>
      <c r="K790" t="s">
        <v>193</v>
      </c>
      <c r="L790" t="s">
        <v>193</v>
      </c>
      <c r="M790" t="s">
        <v>210</v>
      </c>
      <c r="N790" t="s">
        <v>404</v>
      </c>
      <c r="O790">
        <v>10038825</v>
      </c>
      <c r="P790" s="120">
        <v>42997</v>
      </c>
      <c r="Q790" s="120">
        <v>42999</v>
      </c>
      <c r="R790" s="120">
        <v>43040</v>
      </c>
      <c r="S790" t="s">
        <v>196</v>
      </c>
      <c r="T790">
        <v>2</v>
      </c>
      <c r="U790" t="s">
        <v>128</v>
      </c>
      <c r="V790">
        <v>2</v>
      </c>
      <c r="W790">
        <v>2</v>
      </c>
      <c r="X790">
        <v>2</v>
      </c>
      <c r="Y790">
        <v>2</v>
      </c>
      <c r="Z790" t="s">
        <v>2730</v>
      </c>
      <c r="AA790" t="s">
        <v>2730</v>
      </c>
      <c r="AB790" t="s">
        <v>2732</v>
      </c>
      <c r="AC790" t="s">
        <v>2730</v>
      </c>
      <c r="AD790" t="s">
        <v>2730</v>
      </c>
      <c r="AE790" t="s">
        <v>2730</v>
      </c>
      <c r="AF790" t="s">
        <v>2730</v>
      </c>
      <c r="AG790" t="s">
        <v>2730</v>
      </c>
      <c r="AH790" t="s">
        <v>2730</v>
      </c>
    </row>
    <row r="791" spans="1:34">
      <c r="A791" s="149" t="str">
        <f>HYPERLINK("http://www.ofsted.gov.uk/inspection-reports/find-inspection-report/provider/ELS/120345 ","Ofsted School Webpage")</f>
        <v>Ofsted School Webpage</v>
      </c>
      <c r="B791">
        <v>120345</v>
      </c>
      <c r="C791">
        <v>8566004</v>
      </c>
      <c r="D791" t="s">
        <v>2013</v>
      </c>
      <c r="E791" t="s">
        <v>37</v>
      </c>
      <c r="F791" t="s">
        <v>184</v>
      </c>
      <c r="G791" t="s">
        <v>223</v>
      </c>
      <c r="H791" t="s">
        <v>2729</v>
      </c>
      <c r="I791" t="s">
        <v>2730</v>
      </c>
      <c r="J791" t="s">
        <v>186</v>
      </c>
      <c r="K791" t="s">
        <v>214</v>
      </c>
      <c r="L791" t="s">
        <v>214</v>
      </c>
      <c r="M791" t="s">
        <v>330</v>
      </c>
      <c r="N791" t="s">
        <v>2014</v>
      </c>
      <c r="O791">
        <v>10007707</v>
      </c>
      <c r="P791" s="120">
        <v>42339</v>
      </c>
      <c r="Q791" s="120">
        <v>42341</v>
      </c>
      <c r="R791" s="120">
        <v>42401</v>
      </c>
      <c r="S791" t="s">
        <v>267</v>
      </c>
      <c r="T791">
        <v>4</v>
      </c>
      <c r="U791" t="s">
        <v>129</v>
      </c>
      <c r="V791">
        <v>4</v>
      </c>
      <c r="W791">
        <v>4</v>
      </c>
      <c r="X791">
        <v>4</v>
      </c>
      <c r="Y791">
        <v>4</v>
      </c>
      <c r="Z791" t="s">
        <v>2730</v>
      </c>
      <c r="AA791">
        <v>4</v>
      </c>
      <c r="AB791" t="s">
        <v>2733</v>
      </c>
      <c r="AC791">
        <v>10025791</v>
      </c>
      <c r="AD791" t="s">
        <v>2770</v>
      </c>
      <c r="AE791" s="120">
        <v>42684</v>
      </c>
      <c r="AF791" t="s">
        <v>2769</v>
      </c>
      <c r="AG791" s="120">
        <v>42706</v>
      </c>
      <c r="AH791" t="s">
        <v>189</v>
      </c>
    </row>
    <row r="792" spans="1:34">
      <c r="A792" s="149" t="str">
        <f>HYPERLINK("http://www.ofsted.gov.uk/inspection-reports/find-inspection-report/provider/ELS/101695 ","Ofsted School Webpage")</f>
        <v>Ofsted School Webpage</v>
      </c>
      <c r="B792">
        <v>101695</v>
      </c>
      <c r="C792">
        <v>3056077</v>
      </c>
      <c r="D792" t="s">
        <v>2015</v>
      </c>
      <c r="E792" t="s">
        <v>37</v>
      </c>
      <c r="F792" t="s">
        <v>184</v>
      </c>
      <c r="G792" t="s">
        <v>223</v>
      </c>
      <c r="H792" t="s">
        <v>2729</v>
      </c>
      <c r="I792" t="s">
        <v>2730</v>
      </c>
      <c r="J792" t="s">
        <v>186</v>
      </c>
      <c r="K792" t="s">
        <v>232</v>
      </c>
      <c r="L792" t="s">
        <v>232</v>
      </c>
      <c r="M792" t="s">
        <v>587</v>
      </c>
      <c r="N792" t="s">
        <v>2016</v>
      </c>
      <c r="O792">
        <v>10034171</v>
      </c>
      <c r="P792" s="120">
        <v>42864</v>
      </c>
      <c r="Q792" s="120">
        <v>42866</v>
      </c>
      <c r="R792" s="120">
        <v>42937</v>
      </c>
      <c r="S792" t="s">
        <v>267</v>
      </c>
      <c r="T792">
        <v>4</v>
      </c>
      <c r="U792" t="s">
        <v>129</v>
      </c>
      <c r="V792">
        <v>4</v>
      </c>
      <c r="W792">
        <v>4</v>
      </c>
      <c r="X792">
        <v>3</v>
      </c>
      <c r="Y792">
        <v>3</v>
      </c>
      <c r="Z792" t="s">
        <v>2730</v>
      </c>
      <c r="AA792">
        <v>4</v>
      </c>
      <c r="AB792" t="s">
        <v>2733</v>
      </c>
      <c r="AC792" t="s">
        <v>2730</v>
      </c>
      <c r="AD792" t="s">
        <v>2730</v>
      </c>
      <c r="AE792" s="120" t="s">
        <v>2730</v>
      </c>
      <c r="AF792" t="s">
        <v>2730</v>
      </c>
      <c r="AG792" s="120" t="s">
        <v>2730</v>
      </c>
      <c r="AH792" t="s">
        <v>2730</v>
      </c>
    </row>
    <row r="793" spans="1:34">
      <c r="A793" s="149" t="str">
        <f>HYPERLINK("http://www.ofsted.gov.uk/inspection-reports/find-inspection-report/provider/ELS/118123 ","Ofsted School Webpage")</f>
        <v>Ofsted School Webpage</v>
      </c>
      <c r="B793">
        <v>118123</v>
      </c>
      <c r="C793">
        <v>8106000</v>
      </c>
      <c r="D793" t="s">
        <v>253</v>
      </c>
      <c r="E793" t="s">
        <v>37</v>
      </c>
      <c r="F793" t="s">
        <v>184</v>
      </c>
      <c r="G793" t="s">
        <v>184</v>
      </c>
      <c r="H793" t="s">
        <v>2729</v>
      </c>
      <c r="I793" t="s">
        <v>2730</v>
      </c>
      <c r="J793" t="s">
        <v>186</v>
      </c>
      <c r="K793" t="s">
        <v>245</v>
      </c>
      <c r="L793" t="s">
        <v>246</v>
      </c>
      <c r="M793" t="s">
        <v>254</v>
      </c>
      <c r="N793" t="s">
        <v>255</v>
      </c>
      <c r="O793">
        <v>10040141</v>
      </c>
      <c r="P793" s="120">
        <v>43025</v>
      </c>
      <c r="Q793" s="120">
        <v>43027</v>
      </c>
      <c r="R793" s="120">
        <v>43066</v>
      </c>
      <c r="S793" t="s">
        <v>196</v>
      </c>
      <c r="T793">
        <v>3</v>
      </c>
      <c r="U793" t="s">
        <v>128</v>
      </c>
      <c r="V793">
        <v>3</v>
      </c>
      <c r="W793">
        <v>2</v>
      </c>
      <c r="X793">
        <v>2</v>
      </c>
      <c r="Y793">
        <v>2</v>
      </c>
      <c r="Z793">
        <v>3</v>
      </c>
      <c r="AA793" t="s">
        <v>2730</v>
      </c>
      <c r="AB793" t="s">
        <v>2733</v>
      </c>
      <c r="AC793" t="s">
        <v>2730</v>
      </c>
      <c r="AD793" t="s">
        <v>2730</v>
      </c>
      <c r="AE793" t="s">
        <v>2730</v>
      </c>
      <c r="AF793" t="s">
        <v>2730</v>
      </c>
      <c r="AG793" t="s">
        <v>2730</v>
      </c>
      <c r="AH793" t="s">
        <v>2730</v>
      </c>
    </row>
    <row r="794" spans="1:34">
      <c r="A794" s="149" t="str">
        <f>HYPERLINK("http://www.ofsted.gov.uk/inspection-reports/find-inspection-report/provider/ELS/140226 ","Ofsted School Webpage")</f>
        <v>Ofsted School Webpage</v>
      </c>
      <c r="B794">
        <v>140226</v>
      </c>
      <c r="C794">
        <v>2036002</v>
      </c>
      <c r="D794" t="s">
        <v>2336</v>
      </c>
      <c r="E794" t="s">
        <v>37</v>
      </c>
      <c r="F794" t="s">
        <v>184</v>
      </c>
      <c r="G794" t="s">
        <v>184</v>
      </c>
      <c r="H794" t="s">
        <v>2729</v>
      </c>
      <c r="I794" t="s">
        <v>2730</v>
      </c>
      <c r="J794" t="s">
        <v>186</v>
      </c>
      <c r="K794" t="s">
        <v>232</v>
      </c>
      <c r="L794" t="s">
        <v>232</v>
      </c>
      <c r="M794" t="s">
        <v>482</v>
      </c>
      <c r="N794" t="s">
        <v>2337</v>
      </c>
      <c r="O794" t="s">
        <v>2338</v>
      </c>
      <c r="P794" s="120">
        <v>41793</v>
      </c>
      <c r="Q794" s="120">
        <v>41795</v>
      </c>
      <c r="R794" s="120">
        <v>41814</v>
      </c>
      <c r="S794" t="s">
        <v>249</v>
      </c>
      <c r="T794">
        <v>2</v>
      </c>
      <c r="U794" t="s">
        <v>2730</v>
      </c>
      <c r="V794">
        <v>2</v>
      </c>
      <c r="W794" t="s">
        <v>2730</v>
      </c>
      <c r="X794">
        <v>2</v>
      </c>
      <c r="Y794">
        <v>2</v>
      </c>
      <c r="Z794" t="s">
        <v>2730</v>
      </c>
      <c r="AA794" t="s">
        <v>2730</v>
      </c>
      <c r="AB794" t="s">
        <v>2730</v>
      </c>
      <c r="AC794" t="s">
        <v>2730</v>
      </c>
      <c r="AD794" t="s">
        <v>2730</v>
      </c>
      <c r="AE794" t="s">
        <v>2730</v>
      </c>
      <c r="AF794" t="s">
        <v>2730</v>
      </c>
      <c r="AG794" t="s">
        <v>2730</v>
      </c>
      <c r="AH794" t="s">
        <v>2730</v>
      </c>
    </row>
    <row r="795" spans="1:34">
      <c r="A795" s="149" t="str">
        <f>HYPERLINK("http://www.ofsted.gov.uk/inspection-reports/find-inspection-report/provider/ELS/135422 ","Ofsted School Webpage")</f>
        <v>Ofsted School Webpage</v>
      </c>
      <c r="B795">
        <v>135422</v>
      </c>
      <c r="C795">
        <v>3306121</v>
      </c>
      <c r="D795" t="s">
        <v>2339</v>
      </c>
      <c r="E795" t="s">
        <v>37</v>
      </c>
      <c r="F795" t="s">
        <v>184</v>
      </c>
      <c r="G795" t="s">
        <v>184</v>
      </c>
      <c r="H795" t="s">
        <v>2729</v>
      </c>
      <c r="I795" t="s">
        <v>2730</v>
      </c>
      <c r="J795" t="s">
        <v>186</v>
      </c>
      <c r="K795" t="s">
        <v>193</v>
      </c>
      <c r="L795" t="s">
        <v>193</v>
      </c>
      <c r="M795" t="s">
        <v>210</v>
      </c>
      <c r="N795" t="s">
        <v>2340</v>
      </c>
      <c r="O795">
        <v>10020740</v>
      </c>
      <c r="P795" s="120">
        <v>43060</v>
      </c>
      <c r="Q795" s="120">
        <v>43062</v>
      </c>
      <c r="R795" s="120">
        <v>43084</v>
      </c>
      <c r="S795" t="s">
        <v>196</v>
      </c>
      <c r="T795">
        <v>2</v>
      </c>
      <c r="U795" t="s">
        <v>128</v>
      </c>
      <c r="V795">
        <v>2</v>
      </c>
      <c r="W795">
        <v>2</v>
      </c>
      <c r="X795">
        <v>2</v>
      </c>
      <c r="Y795">
        <v>2</v>
      </c>
      <c r="Z795" t="s">
        <v>2730</v>
      </c>
      <c r="AA795" t="s">
        <v>2730</v>
      </c>
      <c r="AB795" t="s">
        <v>2732</v>
      </c>
      <c r="AC795" t="s">
        <v>2730</v>
      </c>
      <c r="AD795" t="s">
        <v>2730</v>
      </c>
      <c r="AE795" t="s">
        <v>2730</v>
      </c>
      <c r="AF795" t="s">
        <v>2730</v>
      </c>
      <c r="AG795" t="s">
        <v>2730</v>
      </c>
      <c r="AH795" t="s">
        <v>2730</v>
      </c>
    </row>
    <row r="796" spans="1:34">
      <c r="A796" s="149" t="str">
        <f>HYPERLINK("http://www.ofsted.gov.uk/inspection-reports/find-inspection-report/provider/ELS/108414 ","Ofsted School Webpage")</f>
        <v>Ofsted School Webpage</v>
      </c>
      <c r="B796">
        <v>108414</v>
      </c>
      <c r="C796">
        <v>3906002</v>
      </c>
      <c r="D796" t="s">
        <v>2341</v>
      </c>
      <c r="E796" t="s">
        <v>37</v>
      </c>
      <c r="F796" t="s">
        <v>184</v>
      </c>
      <c r="G796" t="s">
        <v>318</v>
      </c>
      <c r="H796" t="s">
        <v>2729</v>
      </c>
      <c r="I796" t="s">
        <v>2730</v>
      </c>
      <c r="J796" t="s">
        <v>186</v>
      </c>
      <c r="K796" t="s">
        <v>245</v>
      </c>
      <c r="L796" t="s">
        <v>277</v>
      </c>
      <c r="M796" t="s">
        <v>651</v>
      </c>
      <c r="N796" t="s">
        <v>2342</v>
      </c>
      <c r="O796">
        <v>10008556</v>
      </c>
      <c r="P796" s="120">
        <v>42556</v>
      </c>
      <c r="Q796" s="120">
        <v>42558</v>
      </c>
      <c r="R796" s="120">
        <v>42639</v>
      </c>
      <c r="S796" t="s">
        <v>196</v>
      </c>
      <c r="T796">
        <v>4</v>
      </c>
      <c r="U796" t="s">
        <v>128</v>
      </c>
      <c r="V796">
        <v>4</v>
      </c>
      <c r="W796">
        <v>3</v>
      </c>
      <c r="X796">
        <v>3</v>
      </c>
      <c r="Y796">
        <v>3</v>
      </c>
      <c r="Z796" t="s">
        <v>2730</v>
      </c>
      <c r="AA796" t="s">
        <v>2730</v>
      </c>
      <c r="AB796" t="s">
        <v>2733</v>
      </c>
      <c r="AC796">
        <v>10034201</v>
      </c>
      <c r="AD796" t="s">
        <v>187</v>
      </c>
      <c r="AE796" s="120">
        <v>42850</v>
      </c>
      <c r="AF796" t="s">
        <v>2769</v>
      </c>
      <c r="AG796" s="120">
        <v>42898</v>
      </c>
      <c r="AH796" t="s">
        <v>189</v>
      </c>
    </row>
    <row r="797" spans="1:34">
      <c r="A797" s="149" t="str">
        <f>HYPERLINK("http://www.ofsted.gov.uk/inspection-reports/find-inspection-report/provider/ELS/138119 ","Ofsted School Webpage")</f>
        <v>Ofsted School Webpage</v>
      </c>
      <c r="B797">
        <v>138119</v>
      </c>
      <c r="C797">
        <v>9316006</v>
      </c>
      <c r="D797" t="s">
        <v>241</v>
      </c>
      <c r="E797" t="s">
        <v>37</v>
      </c>
      <c r="F797" t="s">
        <v>184</v>
      </c>
      <c r="G797" t="s">
        <v>184</v>
      </c>
      <c r="H797" t="s">
        <v>2729</v>
      </c>
      <c r="I797" t="s">
        <v>2730</v>
      </c>
      <c r="J797" t="s">
        <v>186</v>
      </c>
      <c r="K797" t="s">
        <v>181</v>
      </c>
      <c r="L797" t="s">
        <v>181</v>
      </c>
      <c r="M797" t="s">
        <v>242</v>
      </c>
      <c r="N797" t="s">
        <v>243</v>
      </c>
      <c r="O797">
        <v>10033956</v>
      </c>
      <c r="P797" s="120">
        <v>42997</v>
      </c>
      <c r="Q797" s="120">
        <v>42999</v>
      </c>
      <c r="R797" s="120">
        <v>43026</v>
      </c>
      <c r="S797" t="s">
        <v>196</v>
      </c>
      <c r="T797">
        <v>3</v>
      </c>
      <c r="U797" t="s">
        <v>128</v>
      </c>
      <c r="V797">
        <v>2</v>
      </c>
      <c r="W797">
        <v>2</v>
      </c>
      <c r="X797">
        <v>3</v>
      </c>
      <c r="Y797">
        <v>3</v>
      </c>
      <c r="Z797" t="s">
        <v>2730</v>
      </c>
      <c r="AA797" t="s">
        <v>2730</v>
      </c>
      <c r="AB797" t="s">
        <v>2732</v>
      </c>
      <c r="AC797" t="s">
        <v>2730</v>
      </c>
      <c r="AD797" t="s">
        <v>2730</v>
      </c>
      <c r="AE797" t="s">
        <v>2730</v>
      </c>
      <c r="AF797" t="s">
        <v>2730</v>
      </c>
      <c r="AG797" t="s">
        <v>2730</v>
      </c>
      <c r="AH797" t="s">
        <v>2730</v>
      </c>
    </row>
    <row r="798" spans="1:34">
      <c r="A798" s="149" t="str">
        <f>HYPERLINK("http://www.ofsted.gov.uk/inspection-reports/find-inspection-report/provider/ELS/134441 ","Ofsted School Webpage")</f>
        <v>Ofsted School Webpage</v>
      </c>
      <c r="B798">
        <v>134441</v>
      </c>
      <c r="C798">
        <v>8016023</v>
      </c>
      <c r="D798" t="s">
        <v>2042</v>
      </c>
      <c r="E798" t="s">
        <v>37</v>
      </c>
      <c r="F798" t="s">
        <v>184</v>
      </c>
      <c r="G798" t="s">
        <v>184</v>
      </c>
      <c r="H798" t="s">
        <v>2729</v>
      </c>
      <c r="I798" t="s">
        <v>2730</v>
      </c>
      <c r="J798" t="s">
        <v>186</v>
      </c>
      <c r="K798" t="s">
        <v>225</v>
      </c>
      <c r="L798" t="s">
        <v>225</v>
      </c>
      <c r="M798" t="s">
        <v>361</v>
      </c>
      <c r="N798" t="s">
        <v>2043</v>
      </c>
      <c r="O798">
        <v>10017614</v>
      </c>
      <c r="P798" s="120">
        <v>42486</v>
      </c>
      <c r="Q798" s="120">
        <v>42488</v>
      </c>
      <c r="R798" s="120">
        <v>42534</v>
      </c>
      <c r="S798" t="s">
        <v>196</v>
      </c>
      <c r="T798">
        <v>2</v>
      </c>
      <c r="U798" t="s">
        <v>128</v>
      </c>
      <c r="V798">
        <v>2</v>
      </c>
      <c r="W798">
        <v>2</v>
      </c>
      <c r="X798">
        <v>2</v>
      </c>
      <c r="Y798">
        <v>2</v>
      </c>
      <c r="Z798" t="s">
        <v>2730</v>
      </c>
      <c r="AA798">
        <v>2</v>
      </c>
      <c r="AB798" t="s">
        <v>2732</v>
      </c>
      <c r="AC798" t="s">
        <v>2730</v>
      </c>
      <c r="AD798" t="s">
        <v>2730</v>
      </c>
      <c r="AE798" t="s">
        <v>2730</v>
      </c>
      <c r="AF798" t="s">
        <v>2730</v>
      </c>
      <c r="AG798" t="s">
        <v>2730</v>
      </c>
      <c r="AH798" t="s">
        <v>2730</v>
      </c>
    </row>
    <row r="799" spans="1:34">
      <c r="A799" s="149" t="str">
        <f>HYPERLINK("http://www.ofsted.gov.uk/inspection-reports/find-inspection-report/provider/ELS/134440 ","Ofsted School Webpage")</f>
        <v>Ofsted School Webpage</v>
      </c>
      <c r="B799">
        <v>134440</v>
      </c>
      <c r="C799">
        <v>9266150</v>
      </c>
      <c r="D799" t="s">
        <v>2044</v>
      </c>
      <c r="E799" t="s">
        <v>37</v>
      </c>
      <c r="F799" t="s">
        <v>184</v>
      </c>
      <c r="G799" t="s">
        <v>184</v>
      </c>
      <c r="H799" t="s">
        <v>2729</v>
      </c>
      <c r="I799" t="s">
        <v>2730</v>
      </c>
      <c r="J799" t="s">
        <v>186</v>
      </c>
      <c r="K799" t="s">
        <v>220</v>
      </c>
      <c r="L799" t="s">
        <v>220</v>
      </c>
      <c r="M799" t="s">
        <v>445</v>
      </c>
      <c r="N799" t="s">
        <v>2045</v>
      </c>
      <c r="O799">
        <v>10020816</v>
      </c>
      <c r="P799" s="120">
        <v>42864</v>
      </c>
      <c r="Q799" s="120">
        <v>42866</v>
      </c>
      <c r="R799" s="120">
        <v>42907</v>
      </c>
      <c r="S799" t="s">
        <v>196</v>
      </c>
      <c r="T799">
        <v>3</v>
      </c>
      <c r="U799" t="s">
        <v>128</v>
      </c>
      <c r="V799">
        <v>3</v>
      </c>
      <c r="W799">
        <v>3</v>
      </c>
      <c r="X799">
        <v>3</v>
      </c>
      <c r="Y799">
        <v>3</v>
      </c>
      <c r="Z799" t="s">
        <v>2730</v>
      </c>
      <c r="AA799" t="s">
        <v>2730</v>
      </c>
      <c r="AB799" t="s">
        <v>2733</v>
      </c>
      <c r="AC799" t="s">
        <v>2730</v>
      </c>
      <c r="AD799" t="s">
        <v>2730</v>
      </c>
      <c r="AE799" t="s">
        <v>2730</v>
      </c>
      <c r="AF799" t="s">
        <v>2730</v>
      </c>
      <c r="AG799" t="s">
        <v>2730</v>
      </c>
      <c r="AH799" t="s">
        <v>2730</v>
      </c>
    </row>
    <row r="800" spans="1:34">
      <c r="A800" s="149" t="str">
        <f>HYPERLINK("http://www.ofsted.gov.uk/inspection-reports/find-inspection-report/provider/ELS/138877 ","Ofsted School Webpage")</f>
        <v>Ofsted School Webpage</v>
      </c>
      <c r="B800">
        <v>138877</v>
      </c>
      <c r="C800">
        <v>9356002</v>
      </c>
      <c r="D800" t="s">
        <v>2046</v>
      </c>
      <c r="E800" t="s">
        <v>37</v>
      </c>
      <c r="F800" t="s">
        <v>184</v>
      </c>
      <c r="G800" t="s">
        <v>184</v>
      </c>
      <c r="H800" t="s">
        <v>2729</v>
      </c>
      <c r="I800" t="s">
        <v>2730</v>
      </c>
      <c r="J800" t="s">
        <v>186</v>
      </c>
      <c r="K800" t="s">
        <v>220</v>
      </c>
      <c r="L800" t="s">
        <v>220</v>
      </c>
      <c r="M800" t="s">
        <v>297</v>
      </c>
      <c r="N800" t="s">
        <v>2047</v>
      </c>
      <c r="O800">
        <v>10020806</v>
      </c>
      <c r="P800" s="120">
        <v>42808</v>
      </c>
      <c r="Q800" s="120">
        <v>42810</v>
      </c>
      <c r="R800" s="120">
        <v>42850</v>
      </c>
      <c r="S800" t="s">
        <v>196</v>
      </c>
      <c r="T800">
        <v>3</v>
      </c>
      <c r="U800" t="s">
        <v>128</v>
      </c>
      <c r="V800">
        <v>3</v>
      </c>
      <c r="W800">
        <v>2</v>
      </c>
      <c r="X800">
        <v>3</v>
      </c>
      <c r="Y800">
        <v>3</v>
      </c>
      <c r="Z800" t="s">
        <v>2730</v>
      </c>
      <c r="AA800" t="s">
        <v>2730</v>
      </c>
      <c r="AB800" t="s">
        <v>2733</v>
      </c>
      <c r="AC800">
        <v>10041239</v>
      </c>
      <c r="AD800" t="s">
        <v>187</v>
      </c>
      <c r="AE800" s="120">
        <v>43012</v>
      </c>
      <c r="AF800" t="s">
        <v>2771</v>
      </c>
      <c r="AG800" s="120">
        <v>43070</v>
      </c>
      <c r="AH800" t="s">
        <v>189</v>
      </c>
    </row>
    <row r="801" spans="1:34">
      <c r="A801" s="149" t="str">
        <f>HYPERLINK("http://www.ofsted.gov.uk/inspection-reports/find-inspection-report/provider/ELS/141128 ","Ofsted School Webpage")</f>
        <v>Ofsted School Webpage</v>
      </c>
      <c r="B801">
        <v>141128</v>
      </c>
      <c r="C801">
        <v>8616012</v>
      </c>
      <c r="D801" t="s">
        <v>2558</v>
      </c>
      <c r="E801" t="s">
        <v>37</v>
      </c>
      <c r="F801" t="s">
        <v>184</v>
      </c>
      <c r="G801" t="s">
        <v>184</v>
      </c>
      <c r="H801" t="s">
        <v>2729</v>
      </c>
      <c r="I801" t="s">
        <v>2730</v>
      </c>
      <c r="J801" t="s">
        <v>186</v>
      </c>
      <c r="K801" t="s">
        <v>193</v>
      </c>
      <c r="L801" t="s">
        <v>193</v>
      </c>
      <c r="M801" t="s">
        <v>492</v>
      </c>
      <c r="N801" t="s">
        <v>2559</v>
      </c>
      <c r="O801" t="s">
        <v>2560</v>
      </c>
      <c r="P801" s="120">
        <v>42122</v>
      </c>
      <c r="Q801" s="120">
        <v>42124</v>
      </c>
      <c r="R801" s="120">
        <v>42167</v>
      </c>
      <c r="S801" t="s">
        <v>249</v>
      </c>
      <c r="T801">
        <v>1</v>
      </c>
      <c r="U801" t="s">
        <v>2730</v>
      </c>
      <c r="V801">
        <v>1</v>
      </c>
      <c r="W801" t="s">
        <v>2730</v>
      </c>
      <c r="X801">
        <v>1</v>
      </c>
      <c r="Y801">
        <v>1</v>
      </c>
      <c r="Z801">
        <v>9</v>
      </c>
      <c r="AA801">
        <v>9</v>
      </c>
      <c r="AB801" t="s">
        <v>2730</v>
      </c>
      <c r="AC801" t="s">
        <v>2730</v>
      </c>
      <c r="AD801" t="s">
        <v>2730</v>
      </c>
      <c r="AE801" s="120" t="s">
        <v>2730</v>
      </c>
      <c r="AF801" t="s">
        <v>2730</v>
      </c>
      <c r="AG801" s="120" t="s">
        <v>2730</v>
      </c>
      <c r="AH801" t="s">
        <v>2730</v>
      </c>
    </row>
    <row r="802" spans="1:34">
      <c r="A802" s="149" t="str">
        <f>HYPERLINK("http://www.ofsted.gov.uk/inspection-reports/find-inspection-report/provider/ELS/134087 ","Ofsted School Webpage")</f>
        <v>Ofsted School Webpage</v>
      </c>
      <c r="B802">
        <v>134087</v>
      </c>
      <c r="C802">
        <v>9196243</v>
      </c>
      <c r="D802" t="s">
        <v>2142</v>
      </c>
      <c r="E802" t="s">
        <v>37</v>
      </c>
      <c r="F802" t="s">
        <v>184</v>
      </c>
      <c r="G802" t="s">
        <v>184</v>
      </c>
      <c r="H802" t="s">
        <v>2729</v>
      </c>
      <c r="I802" t="s">
        <v>2730</v>
      </c>
      <c r="J802" t="s">
        <v>186</v>
      </c>
      <c r="K802" t="s">
        <v>220</v>
      </c>
      <c r="L802" t="s">
        <v>220</v>
      </c>
      <c r="M802" t="s">
        <v>822</v>
      </c>
      <c r="N802" t="s">
        <v>2143</v>
      </c>
      <c r="O802">
        <v>10033603</v>
      </c>
      <c r="P802" s="120">
        <v>42871</v>
      </c>
      <c r="Q802" s="120">
        <v>42873</v>
      </c>
      <c r="R802" s="120">
        <v>42912</v>
      </c>
      <c r="S802" t="s">
        <v>196</v>
      </c>
      <c r="T802">
        <v>2</v>
      </c>
      <c r="U802" t="s">
        <v>128</v>
      </c>
      <c r="V802">
        <v>2</v>
      </c>
      <c r="W802">
        <v>1</v>
      </c>
      <c r="X802">
        <v>2</v>
      </c>
      <c r="Y802">
        <v>2</v>
      </c>
      <c r="Z802" t="s">
        <v>2730</v>
      </c>
      <c r="AA802">
        <v>2</v>
      </c>
      <c r="AB802" t="s">
        <v>2732</v>
      </c>
      <c r="AC802" t="s">
        <v>2730</v>
      </c>
      <c r="AD802" t="s">
        <v>2730</v>
      </c>
      <c r="AE802" t="s">
        <v>2730</v>
      </c>
      <c r="AF802" t="s">
        <v>2730</v>
      </c>
      <c r="AG802" t="s">
        <v>2730</v>
      </c>
      <c r="AH802" t="s">
        <v>2730</v>
      </c>
    </row>
    <row r="803" spans="1:34">
      <c r="A803" s="149" t="str">
        <f>HYPERLINK("http://www.ofsted.gov.uk/inspection-reports/find-inspection-report/provider/ELS/135785 ","Ofsted School Webpage")</f>
        <v>Ofsted School Webpage</v>
      </c>
      <c r="B803">
        <v>135785</v>
      </c>
      <c r="C803">
        <v>9286071</v>
      </c>
      <c r="D803" t="s">
        <v>2144</v>
      </c>
      <c r="E803" t="s">
        <v>37</v>
      </c>
      <c r="F803" t="s">
        <v>184</v>
      </c>
      <c r="G803" t="s">
        <v>184</v>
      </c>
      <c r="H803" t="s">
        <v>2729</v>
      </c>
      <c r="I803" t="s">
        <v>2730</v>
      </c>
      <c r="J803" t="s">
        <v>186</v>
      </c>
      <c r="K803" t="s">
        <v>214</v>
      </c>
      <c r="L803" t="s">
        <v>214</v>
      </c>
      <c r="M803" t="s">
        <v>215</v>
      </c>
      <c r="N803" t="s">
        <v>2145</v>
      </c>
      <c r="O803">
        <v>10020808</v>
      </c>
      <c r="P803" s="120">
        <v>42696</v>
      </c>
      <c r="Q803" s="120">
        <v>42698</v>
      </c>
      <c r="R803" s="120">
        <v>42748</v>
      </c>
      <c r="S803" t="s">
        <v>196</v>
      </c>
      <c r="T803">
        <v>1</v>
      </c>
      <c r="U803" t="s">
        <v>128</v>
      </c>
      <c r="V803">
        <v>1</v>
      </c>
      <c r="W803">
        <v>1</v>
      </c>
      <c r="X803">
        <v>1</v>
      </c>
      <c r="Y803">
        <v>1</v>
      </c>
      <c r="Z803" t="s">
        <v>2730</v>
      </c>
      <c r="AA803">
        <v>1</v>
      </c>
      <c r="AB803" t="s">
        <v>2732</v>
      </c>
      <c r="AC803" t="s">
        <v>2730</v>
      </c>
      <c r="AD803" t="s">
        <v>2730</v>
      </c>
      <c r="AE803" s="120" t="s">
        <v>2730</v>
      </c>
      <c r="AF803" t="s">
        <v>2730</v>
      </c>
      <c r="AG803" s="120" t="s">
        <v>2730</v>
      </c>
      <c r="AH803" t="s">
        <v>2730</v>
      </c>
    </row>
    <row r="804" spans="1:34">
      <c r="A804" s="149" t="str">
        <f>HYPERLINK("http://www.ofsted.gov.uk/inspection-reports/find-inspection-report/provider/ELS/118997 ","Ofsted School Webpage")</f>
        <v>Ofsted School Webpage</v>
      </c>
      <c r="B804">
        <v>118997</v>
      </c>
      <c r="C804">
        <v>8866049</v>
      </c>
      <c r="D804" t="s">
        <v>2146</v>
      </c>
      <c r="E804" t="s">
        <v>37</v>
      </c>
      <c r="F804" t="s">
        <v>184</v>
      </c>
      <c r="G804" t="s">
        <v>184</v>
      </c>
      <c r="H804" t="s">
        <v>2729</v>
      </c>
      <c r="I804" t="s">
        <v>2730</v>
      </c>
      <c r="J804" t="s">
        <v>186</v>
      </c>
      <c r="K804" t="s">
        <v>181</v>
      </c>
      <c r="L804" t="s">
        <v>181</v>
      </c>
      <c r="M804" t="s">
        <v>182</v>
      </c>
      <c r="N804" t="s">
        <v>2147</v>
      </c>
      <c r="O804" t="s">
        <v>2148</v>
      </c>
      <c r="P804" s="120">
        <v>41926</v>
      </c>
      <c r="Q804" s="120">
        <v>41928</v>
      </c>
      <c r="R804" s="120">
        <v>41977</v>
      </c>
      <c r="S804" t="s">
        <v>196</v>
      </c>
      <c r="T804">
        <v>4</v>
      </c>
      <c r="U804" t="s">
        <v>2730</v>
      </c>
      <c r="V804">
        <v>4</v>
      </c>
      <c r="W804" t="s">
        <v>2730</v>
      </c>
      <c r="X804">
        <v>2</v>
      </c>
      <c r="Y804">
        <v>2</v>
      </c>
      <c r="Z804">
        <v>4</v>
      </c>
      <c r="AA804">
        <v>9</v>
      </c>
      <c r="AB804" t="s">
        <v>2730</v>
      </c>
      <c r="AC804">
        <v>10021336</v>
      </c>
      <c r="AD804" t="s">
        <v>187</v>
      </c>
      <c r="AE804" s="120">
        <v>42662</v>
      </c>
      <c r="AF804" t="s">
        <v>2769</v>
      </c>
      <c r="AG804" s="120">
        <v>42689</v>
      </c>
      <c r="AH804" t="s">
        <v>189</v>
      </c>
    </row>
    <row r="805" spans="1:34">
      <c r="A805" s="149" t="str">
        <f>HYPERLINK("http://www.ofsted.gov.uk/inspection-reports/find-inspection-report/provider/ELS/110932 ","Ofsted School Webpage")</f>
        <v>Ofsted School Webpage</v>
      </c>
      <c r="B805">
        <v>110932</v>
      </c>
      <c r="C805">
        <v>8736019</v>
      </c>
      <c r="D805" t="s">
        <v>2215</v>
      </c>
      <c r="E805" t="s">
        <v>37</v>
      </c>
      <c r="F805" t="s">
        <v>184</v>
      </c>
      <c r="G805" t="s">
        <v>184</v>
      </c>
      <c r="H805" t="s">
        <v>2729</v>
      </c>
      <c r="I805" t="s">
        <v>2730</v>
      </c>
      <c r="J805" t="s">
        <v>186</v>
      </c>
      <c r="K805" t="s">
        <v>220</v>
      </c>
      <c r="L805" t="s">
        <v>220</v>
      </c>
      <c r="M805" t="s">
        <v>284</v>
      </c>
      <c r="N805" t="s">
        <v>2216</v>
      </c>
      <c r="O805" t="s">
        <v>2217</v>
      </c>
      <c r="P805" s="120">
        <v>42045</v>
      </c>
      <c r="Q805" s="120">
        <v>42047</v>
      </c>
      <c r="R805" s="120">
        <v>42072</v>
      </c>
      <c r="S805" t="s">
        <v>196</v>
      </c>
      <c r="T805">
        <v>2</v>
      </c>
      <c r="U805" t="s">
        <v>2730</v>
      </c>
      <c r="V805">
        <v>2</v>
      </c>
      <c r="W805" t="s">
        <v>2730</v>
      </c>
      <c r="X805">
        <v>2</v>
      </c>
      <c r="Y805">
        <v>2</v>
      </c>
      <c r="Z805">
        <v>9</v>
      </c>
      <c r="AA805">
        <v>2</v>
      </c>
      <c r="AB805" t="s">
        <v>2730</v>
      </c>
      <c r="AC805" t="s">
        <v>2730</v>
      </c>
      <c r="AD805" t="s">
        <v>2730</v>
      </c>
      <c r="AE805" t="s">
        <v>2730</v>
      </c>
      <c r="AF805" t="s">
        <v>2730</v>
      </c>
      <c r="AG805" t="s">
        <v>2730</v>
      </c>
      <c r="AH805" t="s">
        <v>2730</v>
      </c>
    </row>
    <row r="806" spans="1:34">
      <c r="A806" s="149" t="str">
        <f>HYPERLINK("http://www.ofsted.gov.uk/inspection-reports/find-inspection-report/provider/ELS/135596 ","Ofsted School Webpage")</f>
        <v>Ofsted School Webpage</v>
      </c>
      <c r="B806">
        <v>135596</v>
      </c>
      <c r="C806">
        <v>9196261</v>
      </c>
      <c r="D806" t="s">
        <v>2218</v>
      </c>
      <c r="E806" t="s">
        <v>37</v>
      </c>
      <c r="F806" t="s">
        <v>184</v>
      </c>
      <c r="G806" t="s">
        <v>691</v>
      </c>
      <c r="H806" t="s">
        <v>2729</v>
      </c>
      <c r="I806" t="s">
        <v>2730</v>
      </c>
      <c r="J806" t="s">
        <v>186</v>
      </c>
      <c r="K806" t="s">
        <v>220</v>
      </c>
      <c r="L806" t="s">
        <v>220</v>
      </c>
      <c r="M806" t="s">
        <v>822</v>
      </c>
      <c r="N806" t="s">
        <v>2219</v>
      </c>
      <c r="O806">
        <v>10026071</v>
      </c>
      <c r="P806" s="120">
        <v>42892</v>
      </c>
      <c r="Q806" s="120">
        <v>42894</v>
      </c>
      <c r="R806" s="120">
        <v>43013</v>
      </c>
      <c r="S806" t="s">
        <v>196</v>
      </c>
      <c r="T806">
        <v>3</v>
      </c>
      <c r="U806" t="s">
        <v>128</v>
      </c>
      <c r="V806">
        <v>3</v>
      </c>
      <c r="W806">
        <v>3</v>
      </c>
      <c r="X806">
        <v>3</v>
      </c>
      <c r="Y806">
        <v>3</v>
      </c>
      <c r="Z806">
        <v>2</v>
      </c>
      <c r="AA806" t="s">
        <v>2730</v>
      </c>
      <c r="AB806" t="s">
        <v>2733</v>
      </c>
      <c r="AC806" t="s">
        <v>2730</v>
      </c>
      <c r="AD806" t="s">
        <v>2730</v>
      </c>
      <c r="AE806" t="s">
        <v>2730</v>
      </c>
      <c r="AF806" t="s">
        <v>2730</v>
      </c>
      <c r="AG806" t="s">
        <v>2730</v>
      </c>
      <c r="AH806" t="s">
        <v>2730</v>
      </c>
    </row>
    <row r="807" spans="1:34">
      <c r="A807" s="149" t="str">
        <f>HYPERLINK("http://www.ofsted.gov.uk/inspection-reports/find-inspection-report/provider/ELS/106154 ","Ofsted School Webpage")</f>
        <v>Ofsted School Webpage</v>
      </c>
      <c r="B807">
        <v>106154</v>
      </c>
      <c r="C807">
        <v>3566016</v>
      </c>
      <c r="D807" t="s">
        <v>753</v>
      </c>
      <c r="E807" t="s">
        <v>37</v>
      </c>
      <c r="F807" t="s">
        <v>184</v>
      </c>
      <c r="G807" t="s">
        <v>413</v>
      </c>
      <c r="H807" t="s">
        <v>2729</v>
      </c>
      <c r="I807" t="s">
        <v>2730</v>
      </c>
      <c r="J807" t="s">
        <v>186</v>
      </c>
      <c r="K807" t="s">
        <v>205</v>
      </c>
      <c r="L807" t="s">
        <v>205</v>
      </c>
      <c r="M807" t="s">
        <v>346</v>
      </c>
      <c r="N807" t="s">
        <v>754</v>
      </c>
      <c r="O807">
        <v>10026003</v>
      </c>
      <c r="P807" s="120">
        <v>42703</v>
      </c>
      <c r="Q807" s="120">
        <v>42705</v>
      </c>
      <c r="R807" s="120">
        <v>42746</v>
      </c>
      <c r="S807" t="s">
        <v>196</v>
      </c>
      <c r="T807">
        <v>2</v>
      </c>
      <c r="U807" t="s">
        <v>128</v>
      </c>
      <c r="V807">
        <v>2</v>
      </c>
      <c r="W807">
        <v>2</v>
      </c>
      <c r="X807">
        <v>2</v>
      </c>
      <c r="Y807">
        <v>2</v>
      </c>
      <c r="Z807">
        <v>2</v>
      </c>
      <c r="AA807" t="s">
        <v>2730</v>
      </c>
      <c r="AB807" t="s">
        <v>2732</v>
      </c>
      <c r="AC807" t="s">
        <v>2730</v>
      </c>
      <c r="AD807" t="s">
        <v>2730</v>
      </c>
      <c r="AE807" t="s">
        <v>2730</v>
      </c>
      <c r="AF807" t="s">
        <v>2730</v>
      </c>
      <c r="AG807" t="s">
        <v>2730</v>
      </c>
      <c r="AH807" t="s">
        <v>2730</v>
      </c>
    </row>
    <row r="808" spans="1:34">
      <c r="A808" s="149" t="str">
        <f>HYPERLINK("http://www.ofsted.gov.uk/inspection-reports/find-inspection-report/provider/ELS/120325 ","Ofsted School Webpage")</f>
        <v>Ofsted School Webpage</v>
      </c>
      <c r="B808">
        <v>120325</v>
      </c>
      <c r="C808">
        <v>8556002</v>
      </c>
      <c r="D808" t="s">
        <v>755</v>
      </c>
      <c r="E808" t="s">
        <v>37</v>
      </c>
      <c r="F808" t="s">
        <v>184</v>
      </c>
      <c r="G808" t="s">
        <v>184</v>
      </c>
      <c r="H808" t="s">
        <v>2729</v>
      </c>
      <c r="I808" t="s">
        <v>2730</v>
      </c>
      <c r="J808" t="s">
        <v>186</v>
      </c>
      <c r="K808" t="s">
        <v>214</v>
      </c>
      <c r="L808" t="s">
        <v>214</v>
      </c>
      <c r="M808" t="s">
        <v>281</v>
      </c>
      <c r="N808" t="s">
        <v>756</v>
      </c>
      <c r="O808">
        <v>10026045</v>
      </c>
      <c r="P808" s="120">
        <v>42766</v>
      </c>
      <c r="Q808" s="120">
        <v>42768</v>
      </c>
      <c r="R808" s="120">
        <v>42786</v>
      </c>
      <c r="S808" t="s">
        <v>196</v>
      </c>
      <c r="T808">
        <v>2</v>
      </c>
      <c r="U808" t="s">
        <v>128</v>
      </c>
      <c r="V808">
        <v>2</v>
      </c>
      <c r="W808">
        <v>1</v>
      </c>
      <c r="X808">
        <v>2</v>
      </c>
      <c r="Y808">
        <v>2</v>
      </c>
      <c r="Z808">
        <v>2</v>
      </c>
      <c r="AA808" t="s">
        <v>2730</v>
      </c>
      <c r="AB808" t="s">
        <v>2732</v>
      </c>
      <c r="AC808" t="s">
        <v>2730</v>
      </c>
      <c r="AD808" t="s">
        <v>2730</v>
      </c>
      <c r="AE808" t="s">
        <v>2730</v>
      </c>
      <c r="AF808" t="s">
        <v>2730</v>
      </c>
      <c r="AG808" t="s">
        <v>2730</v>
      </c>
      <c r="AH808" t="s">
        <v>2730</v>
      </c>
    </row>
    <row r="809" spans="1:34">
      <c r="A809" s="149" t="str">
        <f>HYPERLINK("http://www.ofsted.gov.uk/inspection-reports/find-inspection-report/provider/ELS/101964 ","Ofsted School Webpage")</f>
        <v>Ofsted School Webpage</v>
      </c>
      <c r="B809">
        <v>101964</v>
      </c>
      <c r="C809">
        <v>3136003</v>
      </c>
      <c r="D809" t="s">
        <v>2220</v>
      </c>
      <c r="E809" t="s">
        <v>37</v>
      </c>
      <c r="F809" t="s">
        <v>184</v>
      </c>
      <c r="G809" t="s">
        <v>691</v>
      </c>
      <c r="H809" t="s">
        <v>2729</v>
      </c>
      <c r="I809" t="s">
        <v>2730</v>
      </c>
      <c r="J809" t="s">
        <v>186</v>
      </c>
      <c r="K809" t="s">
        <v>232</v>
      </c>
      <c r="L809" t="s">
        <v>232</v>
      </c>
      <c r="M809" t="s">
        <v>269</v>
      </c>
      <c r="N809" t="s">
        <v>2221</v>
      </c>
      <c r="O809">
        <v>10026278</v>
      </c>
      <c r="P809" s="120">
        <v>43053</v>
      </c>
      <c r="Q809" s="120">
        <v>43055</v>
      </c>
      <c r="R809" s="120">
        <v>43077</v>
      </c>
      <c r="S809" t="s">
        <v>196</v>
      </c>
      <c r="T809">
        <v>3</v>
      </c>
      <c r="U809" t="s">
        <v>128</v>
      </c>
      <c r="V809">
        <v>3</v>
      </c>
      <c r="W809">
        <v>3</v>
      </c>
      <c r="X809">
        <v>3</v>
      </c>
      <c r="Y809">
        <v>3</v>
      </c>
      <c r="Z809">
        <v>3</v>
      </c>
      <c r="AA809" t="s">
        <v>2730</v>
      </c>
      <c r="AB809" t="s">
        <v>2732</v>
      </c>
      <c r="AC809" t="s">
        <v>2730</v>
      </c>
      <c r="AD809" t="s">
        <v>2730</v>
      </c>
      <c r="AE809" t="s">
        <v>2730</v>
      </c>
      <c r="AF809" t="s">
        <v>2730</v>
      </c>
      <c r="AG809" t="s">
        <v>2730</v>
      </c>
      <c r="AH809" t="s">
        <v>2730</v>
      </c>
    </row>
    <row r="810" spans="1:34">
      <c r="A810" s="149" t="str">
        <f>HYPERLINK("http://www.ofsted.gov.uk/inspection-reports/find-inspection-report/provider/ELS/134587 ","Ofsted School Webpage")</f>
        <v>Ofsted School Webpage</v>
      </c>
      <c r="B810">
        <v>134587</v>
      </c>
      <c r="C810">
        <v>3806116</v>
      </c>
      <c r="D810" t="s">
        <v>2222</v>
      </c>
      <c r="E810" t="s">
        <v>37</v>
      </c>
      <c r="F810" t="s">
        <v>184</v>
      </c>
      <c r="G810" t="s">
        <v>223</v>
      </c>
      <c r="H810" t="s">
        <v>2729</v>
      </c>
      <c r="I810" t="s">
        <v>2730</v>
      </c>
      <c r="J810" t="s">
        <v>186</v>
      </c>
      <c r="K810" t="s">
        <v>245</v>
      </c>
      <c r="L810" t="s">
        <v>246</v>
      </c>
      <c r="M810" t="s">
        <v>339</v>
      </c>
      <c r="N810" t="s">
        <v>2223</v>
      </c>
      <c r="O810">
        <v>10026034</v>
      </c>
      <c r="P810" s="120">
        <v>42752</v>
      </c>
      <c r="Q810" s="120">
        <v>42754</v>
      </c>
      <c r="R810" s="120">
        <v>42781</v>
      </c>
      <c r="S810" t="s">
        <v>196</v>
      </c>
      <c r="T810">
        <v>3</v>
      </c>
      <c r="U810" t="s">
        <v>128</v>
      </c>
      <c r="V810">
        <v>3</v>
      </c>
      <c r="W810">
        <v>3</v>
      </c>
      <c r="X810">
        <v>3</v>
      </c>
      <c r="Y810">
        <v>3</v>
      </c>
      <c r="Z810" t="s">
        <v>2730</v>
      </c>
      <c r="AA810" t="s">
        <v>2730</v>
      </c>
      <c r="AB810" t="s">
        <v>2733</v>
      </c>
      <c r="AC810" t="s">
        <v>2730</v>
      </c>
      <c r="AD810" t="s">
        <v>2730</v>
      </c>
      <c r="AE810" t="s">
        <v>2730</v>
      </c>
      <c r="AF810" t="s">
        <v>2730</v>
      </c>
      <c r="AG810" t="s">
        <v>2730</v>
      </c>
      <c r="AH810" t="s">
        <v>2730</v>
      </c>
    </row>
    <row r="811" spans="1:34">
      <c r="A811" s="149" t="str">
        <f>HYPERLINK("http://www.ofsted.gov.uk/inspection-reports/find-inspection-report/provider/ELS/134573 ","Ofsted School Webpage")</f>
        <v>Ofsted School Webpage</v>
      </c>
      <c r="B811">
        <v>134573</v>
      </c>
      <c r="C811">
        <v>2106394</v>
      </c>
      <c r="D811" t="s">
        <v>2224</v>
      </c>
      <c r="E811" t="s">
        <v>37</v>
      </c>
      <c r="F811" t="s">
        <v>184</v>
      </c>
      <c r="G811" t="s">
        <v>184</v>
      </c>
      <c r="H811" t="s">
        <v>2729</v>
      </c>
      <c r="I811" t="s">
        <v>2730</v>
      </c>
      <c r="J811" t="s">
        <v>186</v>
      </c>
      <c r="K811" t="s">
        <v>232</v>
      </c>
      <c r="L811" t="s">
        <v>232</v>
      </c>
      <c r="M811" t="s">
        <v>550</v>
      </c>
      <c r="N811" t="s">
        <v>2225</v>
      </c>
      <c r="O811" t="s">
        <v>2226</v>
      </c>
      <c r="P811" s="120">
        <v>40862</v>
      </c>
      <c r="Q811" s="120">
        <v>40863</v>
      </c>
      <c r="R811" s="120">
        <v>40886</v>
      </c>
      <c r="S811" t="s">
        <v>196</v>
      </c>
      <c r="T811">
        <v>2</v>
      </c>
      <c r="U811" t="s">
        <v>2730</v>
      </c>
      <c r="V811" t="s">
        <v>2730</v>
      </c>
      <c r="W811" t="s">
        <v>2730</v>
      </c>
      <c r="X811">
        <v>2</v>
      </c>
      <c r="Y811">
        <v>2</v>
      </c>
      <c r="Z811">
        <v>8</v>
      </c>
      <c r="AA811" t="s">
        <v>2730</v>
      </c>
      <c r="AB811" t="s">
        <v>2730</v>
      </c>
      <c r="AC811" t="s">
        <v>2730</v>
      </c>
      <c r="AD811" t="s">
        <v>2730</v>
      </c>
      <c r="AE811" t="s">
        <v>2730</v>
      </c>
      <c r="AF811" t="s">
        <v>2730</v>
      </c>
      <c r="AG811" t="s">
        <v>2730</v>
      </c>
      <c r="AH811" t="s">
        <v>2730</v>
      </c>
    </row>
    <row r="812" spans="1:34">
      <c r="A812" s="149" t="str">
        <f>HYPERLINK("http://www.ofsted.gov.uk/inspection-reports/find-inspection-report/provider/ELS/131165 ","Ofsted School Webpage")</f>
        <v>Ofsted School Webpage</v>
      </c>
      <c r="B812">
        <v>131165</v>
      </c>
      <c r="C812">
        <v>2056390</v>
      </c>
      <c r="D812" t="s">
        <v>428</v>
      </c>
      <c r="E812" t="s">
        <v>37</v>
      </c>
      <c r="F812" t="s">
        <v>184</v>
      </c>
      <c r="G812" t="s">
        <v>184</v>
      </c>
      <c r="H812" t="s">
        <v>2729</v>
      </c>
      <c r="I812" t="s">
        <v>2730</v>
      </c>
      <c r="J812" t="s">
        <v>186</v>
      </c>
      <c r="K812" t="s">
        <v>232</v>
      </c>
      <c r="L812" t="s">
        <v>232</v>
      </c>
      <c r="M812" t="s">
        <v>300</v>
      </c>
      <c r="N812" t="s">
        <v>429</v>
      </c>
      <c r="O812">
        <v>10035790</v>
      </c>
      <c r="P812" s="120">
        <v>42997</v>
      </c>
      <c r="Q812" s="120">
        <v>42999</v>
      </c>
      <c r="R812" s="120">
        <v>43026</v>
      </c>
      <c r="S812" t="s">
        <v>196</v>
      </c>
      <c r="T812">
        <v>2</v>
      </c>
      <c r="U812" t="s">
        <v>128</v>
      </c>
      <c r="V812">
        <v>2</v>
      </c>
      <c r="W812">
        <v>1</v>
      </c>
      <c r="X812">
        <v>2</v>
      </c>
      <c r="Y812">
        <v>2</v>
      </c>
      <c r="Z812">
        <v>2</v>
      </c>
      <c r="AA812" t="s">
        <v>2730</v>
      </c>
      <c r="AB812" t="s">
        <v>2732</v>
      </c>
      <c r="AC812" t="s">
        <v>2730</v>
      </c>
      <c r="AD812" t="s">
        <v>2730</v>
      </c>
      <c r="AE812" t="s">
        <v>2730</v>
      </c>
      <c r="AF812" t="s">
        <v>2730</v>
      </c>
      <c r="AG812" t="s">
        <v>2730</v>
      </c>
      <c r="AH812" t="s">
        <v>2730</v>
      </c>
    </row>
    <row r="813" spans="1:34">
      <c r="A813" s="149" t="str">
        <f>HYPERLINK("http://www.ofsted.gov.uk/inspection-reports/find-inspection-report/provider/ELS/132788 ","Ofsted School Webpage")</f>
        <v>Ofsted School Webpage</v>
      </c>
      <c r="B813">
        <v>132788</v>
      </c>
      <c r="C813">
        <v>2076399</v>
      </c>
      <c r="D813" t="s">
        <v>293</v>
      </c>
      <c r="E813" t="s">
        <v>37</v>
      </c>
      <c r="F813" t="s">
        <v>184</v>
      </c>
      <c r="G813" t="s">
        <v>184</v>
      </c>
      <c r="H813" t="s">
        <v>2729</v>
      </c>
      <c r="I813" t="s">
        <v>2730</v>
      </c>
      <c r="J813" t="s">
        <v>186</v>
      </c>
      <c r="K813" t="s">
        <v>232</v>
      </c>
      <c r="L813" t="s">
        <v>232</v>
      </c>
      <c r="M813" t="s">
        <v>294</v>
      </c>
      <c r="N813" t="s">
        <v>295</v>
      </c>
      <c r="O813">
        <v>10026288</v>
      </c>
      <c r="P813" s="120">
        <v>43039</v>
      </c>
      <c r="Q813" s="120">
        <v>43041</v>
      </c>
      <c r="R813" s="120">
        <v>43067</v>
      </c>
      <c r="S813" t="s">
        <v>196</v>
      </c>
      <c r="T813">
        <v>2</v>
      </c>
      <c r="U813" t="s">
        <v>128</v>
      </c>
      <c r="V813">
        <v>2</v>
      </c>
      <c r="W813">
        <v>2</v>
      </c>
      <c r="X813">
        <v>2</v>
      </c>
      <c r="Y813">
        <v>2</v>
      </c>
      <c r="Z813" t="s">
        <v>2730</v>
      </c>
      <c r="AA813" t="s">
        <v>2730</v>
      </c>
      <c r="AB813" t="s">
        <v>2732</v>
      </c>
      <c r="AC813" t="s">
        <v>2730</v>
      </c>
      <c r="AD813" t="s">
        <v>2730</v>
      </c>
      <c r="AE813" t="s">
        <v>2730</v>
      </c>
      <c r="AF813" t="s">
        <v>2730</v>
      </c>
      <c r="AG813" t="s">
        <v>2730</v>
      </c>
      <c r="AH813" t="s">
        <v>2730</v>
      </c>
    </row>
    <row r="814" spans="1:34">
      <c r="A814" s="149" t="str">
        <f>HYPERLINK("http://www.ofsted.gov.uk/inspection-reports/find-inspection-report/provider/ELS/139417 ","Ofsted School Webpage")</f>
        <v>Ofsted School Webpage</v>
      </c>
      <c r="B814">
        <v>139417</v>
      </c>
      <c r="C814">
        <v>3156001</v>
      </c>
      <c r="D814" t="s">
        <v>2166</v>
      </c>
      <c r="E814" t="s">
        <v>37</v>
      </c>
      <c r="F814" t="s">
        <v>184</v>
      </c>
      <c r="G814" t="s">
        <v>184</v>
      </c>
      <c r="H814" t="s">
        <v>2729</v>
      </c>
      <c r="I814" t="s">
        <v>2730</v>
      </c>
      <c r="J814" t="s">
        <v>186</v>
      </c>
      <c r="K814" t="s">
        <v>232</v>
      </c>
      <c r="L814" t="s">
        <v>232</v>
      </c>
      <c r="M814" t="s">
        <v>236</v>
      </c>
      <c r="N814" t="s">
        <v>2167</v>
      </c>
      <c r="O814" t="s">
        <v>3088</v>
      </c>
      <c r="P814" s="120">
        <v>41667</v>
      </c>
      <c r="Q814" s="120">
        <v>41669</v>
      </c>
      <c r="R814" s="120">
        <v>41703</v>
      </c>
      <c r="S814" t="s">
        <v>249</v>
      </c>
      <c r="T814">
        <v>1</v>
      </c>
      <c r="U814" t="s">
        <v>2730</v>
      </c>
      <c r="V814">
        <v>2</v>
      </c>
      <c r="W814" t="s">
        <v>2730</v>
      </c>
      <c r="X814">
        <v>1</v>
      </c>
      <c r="Y814">
        <v>1</v>
      </c>
      <c r="Z814" t="s">
        <v>2730</v>
      </c>
      <c r="AA814" t="s">
        <v>2730</v>
      </c>
      <c r="AB814" t="s">
        <v>2730</v>
      </c>
      <c r="AC814" t="s">
        <v>2730</v>
      </c>
      <c r="AD814" t="s">
        <v>2730</v>
      </c>
      <c r="AE814" s="120" t="s">
        <v>2730</v>
      </c>
      <c r="AF814" t="s">
        <v>2730</v>
      </c>
      <c r="AG814" s="120" t="s">
        <v>2730</v>
      </c>
      <c r="AH814" t="s">
        <v>2730</v>
      </c>
    </row>
    <row r="815" spans="1:34">
      <c r="A815" s="149" t="str">
        <f>HYPERLINK("http://www.ofsted.gov.uk/inspection-reports/find-inspection-report/provider/ELS/135689 ","Ofsted School Webpage")</f>
        <v>Ofsted School Webpage</v>
      </c>
      <c r="B815">
        <v>135689</v>
      </c>
      <c r="C815">
        <v>9356226</v>
      </c>
      <c r="D815" t="s">
        <v>765</v>
      </c>
      <c r="E815" t="s">
        <v>37</v>
      </c>
      <c r="F815" t="s">
        <v>184</v>
      </c>
      <c r="G815" t="s">
        <v>184</v>
      </c>
      <c r="H815" t="s">
        <v>2729</v>
      </c>
      <c r="I815" t="s">
        <v>2730</v>
      </c>
      <c r="J815" t="s">
        <v>186</v>
      </c>
      <c r="K815" t="s">
        <v>220</v>
      </c>
      <c r="L815" t="s">
        <v>220</v>
      </c>
      <c r="M815" t="s">
        <v>297</v>
      </c>
      <c r="N815" t="s">
        <v>766</v>
      </c>
      <c r="O815">
        <v>10008596</v>
      </c>
      <c r="P815" s="120">
        <v>42626</v>
      </c>
      <c r="Q815" s="120">
        <v>42628</v>
      </c>
      <c r="R815" s="120">
        <v>42675</v>
      </c>
      <c r="S815" t="s">
        <v>196</v>
      </c>
      <c r="T815">
        <v>2</v>
      </c>
      <c r="U815" t="s">
        <v>128</v>
      </c>
      <c r="V815">
        <v>2</v>
      </c>
      <c r="W815">
        <v>1</v>
      </c>
      <c r="X815">
        <v>2</v>
      </c>
      <c r="Y815">
        <v>2</v>
      </c>
      <c r="Z815">
        <v>2</v>
      </c>
      <c r="AA815" t="s">
        <v>2730</v>
      </c>
      <c r="AB815" t="s">
        <v>2732</v>
      </c>
      <c r="AC815" t="s">
        <v>2730</v>
      </c>
      <c r="AD815" t="s">
        <v>2730</v>
      </c>
      <c r="AE815" t="s">
        <v>2730</v>
      </c>
      <c r="AF815" t="s">
        <v>2730</v>
      </c>
      <c r="AG815" t="s">
        <v>2730</v>
      </c>
      <c r="AH815" t="s">
        <v>2730</v>
      </c>
    </row>
    <row r="816" spans="1:34">
      <c r="A816" s="149" t="str">
        <f>HYPERLINK("http://www.ofsted.gov.uk/inspection-reports/find-inspection-report/provider/ELS/136947 ","Ofsted School Webpage")</f>
        <v>Ofsted School Webpage</v>
      </c>
      <c r="B816">
        <v>136947</v>
      </c>
      <c r="C816">
        <v>8466018</v>
      </c>
      <c r="D816" t="s">
        <v>408</v>
      </c>
      <c r="E816" t="s">
        <v>37</v>
      </c>
      <c r="F816" t="s">
        <v>184</v>
      </c>
      <c r="G816" t="s">
        <v>184</v>
      </c>
      <c r="H816" t="s">
        <v>2729</v>
      </c>
      <c r="I816" t="s">
        <v>2730</v>
      </c>
      <c r="J816" t="s">
        <v>186</v>
      </c>
      <c r="K816" t="s">
        <v>181</v>
      </c>
      <c r="L816" t="s">
        <v>181</v>
      </c>
      <c r="M816" t="s">
        <v>409</v>
      </c>
      <c r="N816" t="s">
        <v>410</v>
      </c>
      <c r="O816">
        <v>10012927</v>
      </c>
      <c r="P816" s="120">
        <v>42997</v>
      </c>
      <c r="Q816" s="120">
        <v>42999</v>
      </c>
      <c r="R816" s="120">
        <v>43042</v>
      </c>
      <c r="S816" t="s">
        <v>196</v>
      </c>
      <c r="T816">
        <v>1</v>
      </c>
      <c r="U816" t="s">
        <v>128</v>
      </c>
      <c r="V816">
        <v>1</v>
      </c>
      <c r="W816">
        <v>1</v>
      </c>
      <c r="X816">
        <v>1</v>
      </c>
      <c r="Y816">
        <v>1</v>
      </c>
      <c r="Z816">
        <v>1</v>
      </c>
      <c r="AA816" t="s">
        <v>2730</v>
      </c>
      <c r="AB816" t="s">
        <v>2732</v>
      </c>
      <c r="AC816" t="s">
        <v>2730</v>
      </c>
      <c r="AD816" t="s">
        <v>2730</v>
      </c>
      <c r="AE816" t="s">
        <v>2730</v>
      </c>
      <c r="AF816" t="s">
        <v>2730</v>
      </c>
      <c r="AG816" t="s">
        <v>2730</v>
      </c>
      <c r="AH816" t="s">
        <v>2730</v>
      </c>
    </row>
    <row r="817" spans="1:34">
      <c r="A817" s="149" t="str">
        <f>HYPERLINK("http://www.ofsted.gov.uk/inspection-reports/find-inspection-report/provider/ELS/113612 ","Ofsted School Webpage")</f>
        <v>Ofsted School Webpage</v>
      </c>
      <c r="B817">
        <v>113612</v>
      </c>
      <c r="C817">
        <v>8806004</v>
      </c>
      <c r="D817" t="s">
        <v>2099</v>
      </c>
      <c r="E817" t="s">
        <v>37</v>
      </c>
      <c r="F817" t="s">
        <v>184</v>
      </c>
      <c r="G817" t="s">
        <v>184</v>
      </c>
      <c r="H817" t="s">
        <v>2729</v>
      </c>
      <c r="I817" t="s">
        <v>2730</v>
      </c>
      <c r="J817" t="s">
        <v>186</v>
      </c>
      <c r="K817" t="s">
        <v>225</v>
      </c>
      <c r="L817" t="s">
        <v>225</v>
      </c>
      <c r="M817" t="s">
        <v>2100</v>
      </c>
      <c r="N817" t="s">
        <v>2101</v>
      </c>
      <c r="O817">
        <v>10012941</v>
      </c>
      <c r="P817" s="120">
        <v>42535</v>
      </c>
      <c r="Q817" s="120">
        <v>42537</v>
      </c>
      <c r="R817" s="120">
        <v>42562</v>
      </c>
      <c r="S817" t="s">
        <v>196</v>
      </c>
      <c r="T817">
        <v>2</v>
      </c>
      <c r="U817" t="s">
        <v>128</v>
      </c>
      <c r="V817">
        <v>2</v>
      </c>
      <c r="W817">
        <v>1</v>
      </c>
      <c r="X817">
        <v>2</v>
      </c>
      <c r="Y817">
        <v>2</v>
      </c>
      <c r="Z817">
        <v>2</v>
      </c>
      <c r="AA817" t="s">
        <v>2730</v>
      </c>
      <c r="AB817" t="s">
        <v>2732</v>
      </c>
      <c r="AC817" t="s">
        <v>2730</v>
      </c>
      <c r="AD817" t="s">
        <v>2730</v>
      </c>
      <c r="AE817" t="s">
        <v>2730</v>
      </c>
      <c r="AF817" t="s">
        <v>2730</v>
      </c>
      <c r="AG817" t="s">
        <v>2730</v>
      </c>
      <c r="AH817" t="s">
        <v>2730</v>
      </c>
    </row>
    <row r="818" spans="1:34">
      <c r="A818" s="149" t="str">
        <f>HYPERLINK("http://www.ofsted.gov.uk/inspection-reports/find-inspection-report/provider/ELS/138101 ","Ofsted School Webpage")</f>
        <v>Ofsted School Webpage</v>
      </c>
      <c r="B818">
        <v>138101</v>
      </c>
      <c r="C818">
        <v>2046005</v>
      </c>
      <c r="D818" t="s">
        <v>2102</v>
      </c>
      <c r="E818" t="s">
        <v>37</v>
      </c>
      <c r="F818" t="s">
        <v>184</v>
      </c>
      <c r="G818" t="s">
        <v>318</v>
      </c>
      <c r="H818" t="s">
        <v>2729</v>
      </c>
      <c r="I818" t="s">
        <v>2730</v>
      </c>
      <c r="J818" t="s">
        <v>186</v>
      </c>
      <c r="K818" t="s">
        <v>232</v>
      </c>
      <c r="L818" t="s">
        <v>232</v>
      </c>
      <c r="M818" t="s">
        <v>479</v>
      </c>
      <c r="N818" t="s">
        <v>2103</v>
      </c>
      <c r="O818">
        <v>10007769</v>
      </c>
      <c r="P818" s="120">
        <v>42339</v>
      </c>
      <c r="Q818" s="120">
        <v>42341</v>
      </c>
      <c r="R818" s="120">
        <v>42430</v>
      </c>
      <c r="S818" t="s">
        <v>196</v>
      </c>
      <c r="T818">
        <v>4</v>
      </c>
      <c r="U818" t="s">
        <v>129</v>
      </c>
      <c r="V818">
        <v>4</v>
      </c>
      <c r="W818">
        <v>4</v>
      </c>
      <c r="X818">
        <v>4</v>
      </c>
      <c r="Y818">
        <v>4</v>
      </c>
      <c r="Z818">
        <v>4</v>
      </c>
      <c r="AA818" t="s">
        <v>2730</v>
      </c>
      <c r="AB818" t="s">
        <v>2732</v>
      </c>
      <c r="AC818">
        <v>10030986</v>
      </c>
      <c r="AD818" t="s">
        <v>187</v>
      </c>
      <c r="AE818" s="120">
        <v>42815</v>
      </c>
      <c r="AF818" t="s">
        <v>2769</v>
      </c>
      <c r="AG818" s="120">
        <v>42857</v>
      </c>
      <c r="AH818" t="s">
        <v>217</v>
      </c>
    </row>
    <row r="819" spans="1:34">
      <c r="A819" s="149" t="str">
        <f>HYPERLINK("http://www.ofsted.gov.uk/inspection-reports/find-inspection-report/provider/ELS/120336 ","Ofsted School Webpage")</f>
        <v>Ofsted School Webpage</v>
      </c>
      <c r="B819">
        <v>120336</v>
      </c>
      <c r="C819">
        <v>8556014</v>
      </c>
      <c r="D819" t="s">
        <v>2104</v>
      </c>
      <c r="E819" t="s">
        <v>37</v>
      </c>
      <c r="F819" t="s">
        <v>184</v>
      </c>
      <c r="G819" t="s">
        <v>184</v>
      </c>
      <c r="H819" t="s">
        <v>2729</v>
      </c>
      <c r="I819" t="s">
        <v>2730</v>
      </c>
      <c r="J819" t="s">
        <v>186</v>
      </c>
      <c r="K819" t="s">
        <v>214</v>
      </c>
      <c r="L819" t="s">
        <v>214</v>
      </c>
      <c r="M819" t="s">
        <v>281</v>
      </c>
      <c r="N819" t="s">
        <v>2105</v>
      </c>
      <c r="O819" t="s">
        <v>2106</v>
      </c>
      <c r="P819" s="120">
        <v>41814</v>
      </c>
      <c r="Q819" s="120">
        <v>41816</v>
      </c>
      <c r="R819" s="120">
        <v>41848</v>
      </c>
      <c r="S819" t="s">
        <v>196</v>
      </c>
      <c r="T819">
        <v>1</v>
      </c>
      <c r="U819" t="s">
        <v>2730</v>
      </c>
      <c r="V819">
        <v>1</v>
      </c>
      <c r="W819" t="s">
        <v>2730</v>
      </c>
      <c r="X819">
        <v>1</v>
      </c>
      <c r="Y819">
        <v>1</v>
      </c>
      <c r="Z819" t="s">
        <v>2730</v>
      </c>
      <c r="AA819" t="s">
        <v>2730</v>
      </c>
      <c r="AB819" t="s">
        <v>2730</v>
      </c>
      <c r="AC819" t="s">
        <v>2730</v>
      </c>
      <c r="AD819" t="s">
        <v>2730</v>
      </c>
      <c r="AE819" t="s">
        <v>2730</v>
      </c>
      <c r="AF819" t="s">
        <v>2730</v>
      </c>
      <c r="AG819" t="s">
        <v>2730</v>
      </c>
      <c r="AH819" t="s">
        <v>2730</v>
      </c>
    </row>
    <row r="820" spans="1:34">
      <c r="A820" s="149" t="str">
        <f>HYPERLINK("http://www.ofsted.gov.uk/inspection-reports/find-inspection-report/provider/ELS/120331 ","Ofsted School Webpage")</f>
        <v>Ofsted School Webpage</v>
      </c>
      <c r="B820">
        <v>120331</v>
      </c>
      <c r="C820">
        <v>8556006</v>
      </c>
      <c r="D820" t="s">
        <v>785</v>
      </c>
      <c r="E820" t="s">
        <v>37</v>
      </c>
      <c r="F820" t="s">
        <v>184</v>
      </c>
      <c r="G820" t="s">
        <v>184</v>
      </c>
      <c r="H820" t="s">
        <v>2729</v>
      </c>
      <c r="I820" t="s">
        <v>2730</v>
      </c>
      <c r="J820" t="s">
        <v>186</v>
      </c>
      <c r="K820" t="s">
        <v>214</v>
      </c>
      <c r="L820" t="s">
        <v>214</v>
      </c>
      <c r="M820" t="s">
        <v>281</v>
      </c>
      <c r="N820" t="s">
        <v>786</v>
      </c>
      <c r="O820">
        <v>10026046</v>
      </c>
      <c r="P820" s="120">
        <v>42892</v>
      </c>
      <c r="Q820" s="120">
        <v>42894</v>
      </c>
      <c r="R820" s="120">
        <v>42989</v>
      </c>
      <c r="S820" t="s">
        <v>196</v>
      </c>
      <c r="T820">
        <v>1</v>
      </c>
      <c r="U820" t="s">
        <v>128</v>
      </c>
      <c r="V820">
        <v>1</v>
      </c>
      <c r="W820">
        <v>1</v>
      </c>
      <c r="X820">
        <v>1</v>
      </c>
      <c r="Y820">
        <v>1</v>
      </c>
      <c r="Z820" t="s">
        <v>2730</v>
      </c>
      <c r="AA820">
        <v>1</v>
      </c>
      <c r="AB820" t="s">
        <v>2732</v>
      </c>
      <c r="AC820" t="s">
        <v>2730</v>
      </c>
      <c r="AD820" t="s">
        <v>2730</v>
      </c>
      <c r="AE820" s="120" t="s">
        <v>2730</v>
      </c>
      <c r="AF820" t="s">
        <v>2730</v>
      </c>
      <c r="AG820" s="120" t="s">
        <v>2730</v>
      </c>
      <c r="AH820" t="s">
        <v>2730</v>
      </c>
    </row>
    <row r="821" spans="1:34">
      <c r="A821" s="149" t="str">
        <f>HYPERLINK("http://www.ofsted.gov.uk/inspection-reports/find-inspection-report/provider/ELS/101573 ","Ofsted School Webpage")</f>
        <v>Ofsted School Webpage</v>
      </c>
      <c r="B821">
        <v>101573</v>
      </c>
      <c r="C821">
        <v>3076007</v>
      </c>
      <c r="D821" t="s">
        <v>2595</v>
      </c>
      <c r="E821" t="s">
        <v>37</v>
      </c>
      <c r="F821" t="s">
        <v>184</v>
      </c>
      <c r="G821" t="s">
        <v>184</v>
      </c>
      <c r="H821" t="s">
        <v>2729</v>
      </c>
      <c r="I821" t="s">
        <v>2730</v>
      </c>
      <c r="J821" t="s">
        <v>186</v>
      </c>
      <c r="K821" t="s">
        <v>232</v>
      </c>
      <c r="L821" t="s">
        <v>232</v>
      </c>
      <c r="M821" t="s">
        <v>631</v>
      </c>
      <c r="N821" t="s">
        <v>2596</v>
      </c>
      <c r="O821">
        <v>10006125</v>
      </c>
      <c r="P821" s="120">
        <v>42703</v>
      </c>
      <c r="Q821" s="120">
        <v>42705</v>
      </c>
      <c r="R821" s="120">
        <v>42745</v>
      </c>
      <c r="S821" t="s">
        <v>196</v>
      </c>
      <c r="T821">
        <v>3</v>
      </c>
      <c r="U821" t="s">
        <v>128</v>
      </c>
      <c r="V821">
        <v>3</v>
      </c>
      <c r="W821">
        <v>2</v>
      </c>
      <c r="X821">
        <v>3</v>
      </c>
      <c r="Y821">
        <v>3</v>
      </c>
      <c r="Z821">
        <v>2</v>
      </c>
      <c r="AA821" t="s">
        <v>2730</v>
      </c>
      <c r="AB821" t="s">
        <v>2733</v>
      </c>
      <c r="AC821">
        <v>10037573</v>
      </c>
      <c r="AD821" t="s">
        <v>187</v>
      </c>
      <c r="AE821" s="120">
        <v>42894</v>
      </c>
      <c r="AF821" t="s">
        <v>2769</v>
      </c>
      <c r="AG821" s="120">
        <v>42934</v>
      </c>
      <c r="AH821" t="s">
        <v>189</v>
      </c>
    </row>
    <row r="822" spans="1:34">
      <c r="A822" s="149" t="str">
        <f>HYPERLINK("http://www.ofsted.gov.uk/inspection-reports/find-inspection-report/provider/ELS/107792 ","Ofsted School Webpage")</f>
        <v>Ofsted School Webpage</v>
      </c>
      <c r="B822">
        <v>107792</v>
      </c>
      <c r="C822">
        <v>3826015</v>
      </c>
      <c r="D822" t="s">
        <v>2597</v>
      </c>
      <c r="E822" t="s">
        <v>37</v>
      </c>
      <c r="F822" t="s">
        <v>184</v>
      </c>
      <c r="G822" t="s">
        <v>223</v>
      </c>
      <c r="H822" t="s">
        <v>2729</v>
      </c>
      <c r="I822" t="s">
        <v>2730</v>
      </c>
      <c r="J822" t="s">
        <v>186</v>
      </c>
      <c r="K822" t="s">
        <v>245</v>
      </c>
      <c r="L822" t="s">
        <v>246</v>
      </c>
      <c r="M822" t="s">
        <v>768</v>
      </c>
      <c r="N822" t="s">
        <v>2598</v>
      </c>
      <c r="O822">
        <v>10020761</v>
      </c>
      <c r="P822" s="120">
        <v>42640</v>
      </c>
      <c r="Q822" s="120">
        <v>42642</v>
      </c>
      <c r="R822" s="120">
        <v>42690</v>
      </c>
      <c r="S822" t="s">
        <v>196</v>
      </c>
      <c r="T822">
        <v>3</v>
      </c>
      <c r="U822" t="s">
        <v>128</v>
      </c>
      <c r="V822">
        <v>3</v>
      </c>
      <c r="W822">
        <v>2</v>
      </c>
      <c r="X822">
        <v>3</v>
      </c>
      <c r="Y822">
        <v>3</v>
      </c>
      <c r="Z822" t="s">
        <v>2730</v>
      </c>
      <c r="AA822" t="s">
        <v>2730</v>
      </c>
      <c r="AB822" t="s">
        <v>2733</v>
      </c>
      <c r="AC822" t="s">
        <v>2730</v>
      </c>
      <c r="AD822" t="s">
        <v>2730</v>
      </c>
      <c r="AE822" s="120" t="s">
        <v>2730</v>
      </c>
      <c r="AF822" t="s">
        <v>2730</v>
      </c>
      <c r="AG822" s="120" t="s">
        <v>2730</v>
      </c>
      <c r="AH822" t="s">
        <v>2730</v>
      </c>
    </row>
    <row r="823" spans="1:34">
      <c r="A823" s="149" t="str">
        <f>HYPERLINK("http://www.ofsted.gov.uk/inspection-reports/find-inspection-report/provider/ELS/142115 ","Ofsted School Webpage")</f>
        <v>Ofsted School Webpage</v>
      </c>
      <c r="B823">
        <v>142115</v>
      </c>
      <c r="C823">
        <v>3306018</v>
      </c>
      <c r="D823" t="s">
        <v>2181</v>
      </c>
      <c r="E823" t="s">
        <v>37</v>
      </c>
      <c r="F823" t="s">
        <v>184</v>
      </c>
      <c r="G823" t="s">
        <v>184</v>
      </c>
      <c r="H823" t="s">
        <v>2729</v>
      </c>
      <c r="I823" t="s">
        <v>2730</v>
      </c>
      <c r="J823" t="s">
        <v>186</v>
      </c>
      <c r="K823" t="s">
        <v>193</v>
      </c>
      <c r="L823" t="s">
        <v>193</v>
      </c>
      <c r="M823" t="s">
        <v>210</v>
      </c>
      <c r="N823" t="s">
        <v>2182</v>
      </c>
      <c r="O823">
        <v>10012881</v>
      </c>
      <c r="P823" s="120">
        <v>42906</v>
      </c>
      <c r="Q823" s="120">
        <v>42908</v>
      </c>
      <c r="R823" s="120">
        <v>42937</v>
      </c>
      <c r="S823" t="s">
        <v>249</v>
      </c>
      <c r="T823">
        <v>2</v>
      </c>
      <c r="U823" t="s">
        <v>128</v>
      </c>
      <c r="V823">
        <v>2</v>
      </c>
      <c r="W823">
        <v>2</v>
      </c>
      <c r="X823">
        <v>2</v>
      </c>
      <c r="Y823">
        <v>2</v>
      </c>
      <c r="Z823" t="s">
        <v>2730</v>
      </c>
      <c r="AA823" t="s">
        <v>2730</v>
      </c>
      <c r="AB823" t="s">
        <v>2732</v>
      </c>
      <c r="AC823" t="s">
        <v>2730</v>
      </c>
      <c r="AD823" t="s">
        <v>2730</v>
      </c>
      <c r="AE823" t="s">
        <v>2730</v>
      </c>
      <c r="AF823" t="s">
        <v>2730</v>
      </c>
      <c r="AG823" t="s">
        <v>2730</v>
      </c>
      <c r="AH823" t="s">
        <v>2730</v>
      </c>
    </row>
    <row r="824" spans="1:34">
      <c r="A824" s="149" t="str">
        <f>HYPERLINK("http://www.ofsted.gov.uk/inspection-reports/find-inspection-report/provider/ELS/142224 ","Ofsted School Webpage")</f>
        <v>Ofsted School Webpage</v>
      </c>
      <c r="B824">
        <v>142224</v>
      </c>
      <c r="C824">
        <v>3526011</v>
      </c>
      <c r="D824" t="s">
        <v>2183</v>
      </c>
      <c r="E824" t="s">
        <v>37</v>
      </c>
      <c r="F824" t="s">
        <v>184</v>
      </c>
      <c r="G824" t="s">
        <v>184</v>
      </c>
      <c r="H824" t="s">
        <v>2729</v>
      </c>
      <c r="I824" t="s">
        <v>2730</v>
      </c>
      <c r="J824" t="s">
        <v>186</v>
      </c>
      <c r="K824" t="s">
        <v>205</v>
      </c>
      <c r="L824" t="s">
        <v>205</v>
      </c>
      <c r="M824" t="s">
        <v>306</v>
      </c>
      <c r="N824" t="s">
        <v>2184</v>
      </c>
      <c r="O824">
        <v>10012848</v>
      </c>
      <c r="P824" s="120">
        <v>42501</v>
      </c>
      <c r="Q824" s="120">
        <v>42502</v>
      </c>
      <c r="R824" s="120">
        <v>42534</v>
      </c>
      <c r="S824" t="s">
        <v>249</v>
      </c>
      <c r="T824">
        <v>3</v>
      </c>
      <c r="U824" t="s">
        <v>128</v>
      </c>
      <c r="V824">
        <v>3</v>
      </c>
      <c r="W824">
        <v>3</v>
      </c>
      <c r="X824">
        <v>3</v>
      </c>
      <c r="Y824">
        <v>3</v>
      </c>
      <c r="Z824" t="s">
        <v>2730</v>
      </c>
      <c r="AA824" t="s">
        <v>2730</v>
      </c>
      <c r="AB824" t="s">
        <v>2733</v>
      </c>
      <c r="AC824" t="s">
        <v>2730</v>
      </c>
      <c r="AD824" t="s">
        <v>2730</v>
      </c>
      <c r="AE824" s="120" t="s">
        <v>2730</v>
      </c>
      <c r="AF824" t="s">
        <v>2730</v>
      </c>
      <c r="AG824" s="120" t="s">
        <v>2730</v>
      </c>
      <c r="AH824" t="s">
        <v>2730</v>
      </c>
    </row>
    <row r="825" spans="1:34">
      <c r="A825" s="149" t="str">
        <f>HYPERLINK("http://www.ofsted.gov.uk/inspection-reports/find-inspection-report/provider/ELS/142535 ","Ofsted School Webpage")</f>
        <v>Ofsted School Webpage</v>
      </c>
      <c r="B825">
        <v>142535</v>
      </c>
      <c r="C825">
        <v>3506003</v>
      </c>
      <c r="D825" t="s">
        <v>2256</v>
      </c>
      <c r="E825" t="s">
        <v>37</v>
      </c>
      <c r="F825" t="s">
        <v>184</v>
      </c>
      <c r="G825" t="s">
        <v>212</v>
      </c>
      <c r="H825" t="s">
        <v>2729</v>
      </c>
      <c r="I825" t="s">
        <v>2730</v>
      </c>
      <c r="J825" t="s">
        <v>186</v>
      </c>
      <c r="K825" t="s">
        <v>205</v>
      </c>
      <c r="L825" t="s">
        <v>205</v>
      </c>
      <c r="M825" t="s">
        <v>1265</v>
      </c>
      <c r="N825" t="s">
        <v>2257</v>
      </c>
      <c r="O825">
        <v>10034040</v>
      </c>
      <c r="P825" s="120">
        <v>42871</v>
      </c>
      <c r="Q825" s="120">
        <v>42872</v>
      </c>
      <c r="R825" s="120">
        <v>42996</v>
      </c>
      <c r="S825" t="s">
        <v>249</v>
      </c>
      <c r="T825">
        <v>4</v>
      </c>
      <c r="U825" t="s">
        <v>129</v>
      </c>
      <c r="V825">
        <v>4</v>
      </c>
      <c r="W825">
        <v>4</v>
      </c>
      <c r="X825">
        <v>3</v>
      </c>
      <c r="Y825">
        <v>3</v>
      </c>
      <c r="Z825" t="s">
        <v>2730</v>
      </c>
      <c r="AA825" t="s">
        <v>2730</v>
      </c>
      <c r="AB825" t="s">
        <v>2733</v>
      </c>
      <c r="AC825" t="s">
        <v>2730</v>
      </c>
      <c r="AD825" t="s">
        <v>2730</v>
      </c>
      <c r="AE825" s="120" t="s">
        <v>2730</v>
      </c>
      <c r="AF825" t="s">
        <v>2730</v>
      </c>
      <c r="AG825" s="120" t="s">
        <v>2730</v>
      </c>
      <c r="AH825" t="s">
        <v>2730</v>
      </c>
    </row>
    <row r="826" spans="1:34">
      <c r="A826" s="149" t="str">
        <f>HYPERLINK("http://www.ofsted.gov.uk/inspection-reports/find-inspection-report/provider/ELS/142536 ","Ofsted School Webpage")</f>
        <v>Ofsted School Webpage</v>
      </c>
      <c r="B826">
        <v>142536</v>
      </c>
      <c r="C826">
        <v>3566012</v>
      </c>
      <c r="D826" t="s">
        <v>2107</v>
      </c>
      <c r="E826" t="s">
        <v>38</v>
      </c>
      <c r="F826" t="s">
        <v>184</v>
      </c>
      <c r="G826" t="s">
        <v>184</v>
      </c>
      <c r="H826" t="s">
        <v>2729</v>
      </c>
      <c r="I826" t="s">
        <v>2730</v>
      </c>
      <c r="J826" t="s">
        <v>186</v>
      </c>
      <c r="K826" t="s">
        <v>205</v>
      </c>
      <c r="L826" t="s">
        <v>205</v>
      </c>
      <c r="M826" t="s">
        <v>346</v>
      </c>
      <c r="N826" t="s">
        <v>2108</v>
      </c>
      <c r="O826">
        <v>10020876</v>
      </c>
      <c r="P826" s="120">
        <v>42696</v>
      </c>
      <c r="Q826" s="120">
        <v>42698</v>
      </c>
      <c r="R826" s="120">
        <v>42752</v>
      </c>
      <c r="S826" t="s">
        <v>249</v>
      </c>
      <c r="T826">
        <v>1</v>
      </c>
      <c r="U826" t="s">
        <v>128</v>
      </c>
      <c r="V826">
        <v>1</v>
      </c>
      <c r="W826">
        <v>1</v>
      </c>
      <c r="X826">
        <v>1</v>
      </c>
      <c r="Y826">
        <v>1</v>
      </c>
      <c r="Z826" t="s">
        <v>2730</v>
      </c>
      <c r="AA826" t="s">
        <v>2730</v>
      </c>
      <c r="AB826" t="s">
        <v>2732</v>
      </c>
      <c r="AC826" t="s">
        <v>2730</v>
      </c>
      <c r="AD826" t="s">
        <v>2730</v>
      </c>
      <c r="AE826" s="120" t="s">
        <v>2730</v>
      </c>
      <c r="AF826" t="s">
        <v>2730</v>
      </c>
      <c r="AG826" s="120" t="s">
        <v>2730</v>
      </c>
      <c r="AH826" t="s">
        <v>2730</v>
      </c>
    </row>
    <row r="827" spans="1:34">
      <c r="A827" s="149" t="str">
        <f>HYPERLINK("http://www.ofsted.gov.uk/inspection-reports/find-inspection-report/provider/ELS/142537 ","Ofsted School Webpage")</f>
        <v>Ofsted School Webpage</v>
      </c>
      <c r="B827">
        <v>142537</v>
      </c>
      <c r="C827">
        <v>8816065</v>
      </c>
      <c r="D827" t="s">
        <v>2109</v>
      </c>
      <c r="E827" t="s">
        <v>37</v>
      </c>
      <c r="F827" t="s">
        <v>184</v>
      </c>
      <c r="G827" t="s">
        <v>184</v>
      </c>
      <c r="H827" t="s">
        <v>2729</v>
      </c>
      <c r="I827" t="s">
        <v>2730</v>
      </c>
      <c r="J827" t="s">
        <v>186</v>
      </c>
      <c r="K827" t="s">
        <v>220</v>
      </c>
      <c r="L827" t="s">
        <v>220</v>
      </c>
      <c r="M827" t="s">
        <v>323</v>
      </c>
      <c r="N827" t="s">
        <v>2110</v>
      </c>
      <c r="O827">
        <v>10026075</v>
      </c>
      <c r="P827" s="120">
        <v>42801</v>
      </c>
      <c r="Q827" s="120">
        <v>42803</v>
      </c>
      <c r="R827" s="120">
        <v>42849</v>
      </c>
      <c r="S827" t="s">
        <v>249</v>
      </c>
      <c r="T827">
        <v>1</v>
      </c>
      <c r="U827" t="s">
        <v>128</v>
      </c>
      <c r="V827">
        <v>1</v>
      </c>
      <c r="W827">
        <v>1</v>
      </c>
      <c r="X827">
        <v>1</v>
      </c>
      <c r="Y827">
        <v>1</v>
      </c>
      <c r="Z827" t="s">
        <v>2730</v>
      </c>
      <c r="AA827">
        <v>1</v>
      </c>
      <c r="AB827" t="s">
        <v>2732</v>
      </c>
      <c r="AC827" t="s">
        <v>2730</v>
      </c>
      <c r="AD827" t="s">
        <v>2730</v>
      </c>
      <c r="AE827" t="s">
        <v>2730</v>
      </c>
      <c r="AF827" t="s">
        <v>2730</v>
      </c>
      <c r="AG827" t="s">
        <v>2730</v>
      </c>
      <c r="AH827" t="s">
        <v>2730</v>
      </c>
    </row>
    <row r="828" spans="1:34">
      <c r="A828" s="149" t="str">
        <f>HYPERLINK("http://www.ofsted.gov.uk/inspection-reports/find-inspection-report/provider/ELS/142538 ","Ofsted School Webpage")</f>
        <v>Ofsted School Webpage</v>
      </c>
      <c r="B828">
        <v>142538</v>
      </c>
      <c r="C828">
        <v>8916037</v>
      </c>
      <c r="D828" t="s">
        <v>2111</v>
      </c>
      <c r="E828" t="s">
        <v>38</v>
      </c>
      <c r="F828" t="s">
        <v>184</v>
      </c>
      <c r="G828" t="s">
        <v>184</v>
      </c>
      <c r="H828" t="s">
        <v>2729</v>
      </c>
      <c r="I828" t="s">
        <v>2730</v>
      </c>
      <c r="J828" t="s">
        <v>186</v>
      </c>
      <c r="K828" t="s">
        <v>214</v>
      </c>
      <c r="L828" t="s">
        <v>214</v>
      </c>
      <c r="M828" t="s">
        <v>320</v>
      </c>
      <c r="N828" t="s">
        <v>2112</v>
      </c>
      <c r="O828">
        <v>10020879</v>
      </c>
      <c r="P828" s="120">
        <v>42675</v>
      </c>
      <c r="Q828" s="120">
        <v>42677</v>
      </c>
      <c r="R828" s="120">
        <v>42717</v>
      </c>
      <c r="S828" t="s">
        <v>249</v>
      </c>
      <c r="T828">
        <v>2</v>
      </c>
      <c r="U828" t="s">
        <v>128</v>
      </c>
      <c r="V828">
        <v>2</v>
      </c>
      <c r="W828">
        <v>2</v>
      </c>
      <c r="X828">
        <v>2</v>
      </c>
      <c r="Y828">
        <v>2</v>
      </c>
      <c r="Z828" t="s">
        <v>2730</v>
      </c>
      <c r="AA828">
        <v>2</v>
      </c>
      <c r="AB828" t="s">
        <v>2732</v>
      </c>
      <c r="AC828" t="s">
        <v>2730</v>
      </c>
      <c r="AD828" t="s">
        <v>2730</v>
      </c>
      <c r="AE828" t="s">
        <v>2730</v>
      </c>
      <c r="AF828" t="s">
        <v>2730</v>
      </c>
      <c r="AG828" t="s">
        <v>2730</v>
      </c>
      <c r="AH828" t="s">
        <v>2730</v>
      </c>
    </row>
    <row r="829" spans="1:34">
      <c r="A829" s="149" t="str">
        <f>HYPERLINK("http://www.ofsted.gov.uk/inspection-reports/find-inspection-report/provider/ELS/142828 ","Ofsted School Webpage")</f>
        <v>Ofsted School Webpage</v>
      </c>
      <c r="B829">
        <v>142828</v>
      </c>
      <c r="C829">
        <v>8126004</v>
      </c>
      <c r="D829" t="s">
        <v>244</v>
      </c>
      <c r="E829" t="s">
        <v>38</v>
      </c>
      <c r="F829" t="s">
        <v>184</v>
      </c>
      <c r="G829" t="s">
        <v>184</v>
      </c>
      <c r="H829" t="s">
        <v>2729</v>
      </c>
      <c r="I829" t="s">
        <v>2730</v>
      </c>
      <c r="J829" t="s">
        <v>186</v>
      </c>
      <c r="K829" t="s">
        <v>245</v>
      </c>
      <c r="L829" t="s">
        <v>246</v>
      </c>
      <c r="M829" t="s">
        <v>247</v>
      </c>
      <c r="N829" t="s">
        <v>248</v>
      </c>
      <c r="O829">
        <v>10040148</v>
      </c>
      <c r="P829" s="120">
        <v>43018</v>
      </c>
      <c r="Q829" s="120">
        <v>43019</v>
      </c>
      <c r="R829" s="120">
        <v>43063</v>
      </c>
      <c r="S829" t="s">
        <v>249</v>
      </c>
      <c r="T829">
        <v>3</v>
      </c>
      <c r="U829" t="s">
        <v>128</v>
      </c>
      <c r="V829">
        <v>3</v>
      </c>
      <c r="W829">
        <v>3</v>
      </c>
      <c r="X829">
        <v>3</v>
      </c>
      <c r="Y829">
        <v>3</v>
      </c>
      <c r="Z829" t="s">
        <v>2730</v>
      </c>
      <c r="AA829" t="s">
        <v>2730</v>
      </c>
      <c r="AB829" t="s">
        <v>2733</v>
      </c>
      <c r="AC829" t="s">
        <v>2730</v>
      </c>
      <c r="AD829" t="s">
        <v>2730</v>
      </c>
      <c r="AE829" t="s">
        <v>2730</v>
      </c>
      <c r="AF829" t="s">
        <v>2730</v>
      </c>
      <c r="AG829" t="s">
        <v>2730</v>
      </c>
      <c r="AH829" t="s">
        <v>2730</v>
      </c>
    </row>
    <row r="830" spans="1:34">
      <c r="A830" s="149" t="str">
        <f>HYPERLINK("http://www.ofsted.gov.uk/inspection-reports/find-inspection-report/provider/ELS/142829 ","Ofsted School Webpage")</f>
        <v>Ofsted School Webpage</v>
      </c>
      <c r="B830">
        <v>142829</v>
      </c>
      <c r="C830">
        <v>8116014</v>
      </c>
      <c r="D830" t="s">
        <v>2192</v>
      </c>
      <c r="E830" t="s">
        <v>38</v>
      </c>
      <c r="F830" t="s">
        <v>184</v>
      </c>
      <c r="G830" t="s">
        <v>184</v>
      </c>
      <c r="H830" t="s">
        <v>2729</v>
      </c>
      <c r="I830" t="s">
        <v>2730</v>
      </c>
      <c r="J830" t="s">
        <v>186</v>
      </c>
      <c r="K830" t="s">
        <v>245</v>
      </c>
      <c r="L830" t="s">
        <v>246</v>
      </c>
      <c r="M830" t="s">
        <v>704</v>
      </c>
      <c r="N830" t="s">
        <v>2193</v>
      </c>
      <c r="O830">
        <v>10033926</v>
      </c>
      <c r="P830" s="120">
        <v>42906</v>
      </c>
      <c r="Q830" s="120">
        <v>42908</v>
      </c>
      <c r="R830" s="120">
        <v>43000</v>
      </c>
      <c r="S830" t="s">
        <v>249</v>
      </c>
      <c r="T830">
        <v>4</v>
      </c>
      <c r="U830" t="s">
        <v>128</v>
      </c>
      <c r="V830">
        <v>4</v>
      </c>
      <c r="W830">
        <v>3</v>
      </c>
      <c r="X830">
        <v>4</v>
      </c>
      <c r="Y830">
        <v>4</v>
      </c>
      <c r="Z830" t="s">
        <v>2730</v>
      </c>
      <c r="AA830" t="s">
        <v>2730</v>
      </c>
      <c r="AB830" t="s">
        <v>2733</v>
      </c>
      <c r="AC830" t="s">
        <v>2730</v>
      </c>
      <c r="AD830" t="s">
        <v>2730</v>
      </c>
      <c r="AE830" t="s">
        <v>2730</v>
      </c>
      <c r="AF830" t="s">
        <v>2730</v>
      </c>
      <c r="AG830" t="s">
        <v>2730</v>
      </c>
      <c r="AH830" t="s">
        <v>2730</v>
      </c>
    </row>
    <row r="831" spans="1:34">
      <c r="A831" s="149" t="str">
        <f>HYPERLINK("http://www.ofsted.gov.uk/inspection-reports/find-inspection-report/provider/ELS/142832 ","Ofsted School Webpage")</f>
        <v>Ofsted School Webpage</v>
      </c>
      <c r="B831">
        <v>142832</v>
      </c>
      <c r="C831">
        <v>3046003</v>
      </c>
      <c r="D831" t="s">
        <v>2194</v>
      </c>
      <c r="E831" t="s">
        <v>37</v>
      </c>
      <c r="F831" t="s">
        <v>184</v>
      </c>
      <c r="G831" t="s">
        <v>212</v>
      </c>
      <c r="H831" t="s">
        <v>2729</v>
      </c>
      <c r="I831" t="s">
        <v>2730</v>
      </c>
      <c r="J831" t="s">
        <v>186</v>
      </c>
      <c r="K831" t="s">
        <v>232</v>
      </c>
      <c r="L831" t="s">
        <v>232</v>
      </c>
      <c r="M831" t="s">
        <v>749</v>
      </c>
      <c r="N831" t="s">
        <v>2195</v>
      </c>
      <c r="O831" t="s">
        <v>2730</v>
      </c>
      <c r="P831" s="120" t="s">
        <v>2730</v>
      </c>
      <c r="Q831" s="120" t="s">
        <v>2730</v>
      </c>
      <c r="R831" s="120" t="s">
        <v>2730</v>
      </c>
      <c r="S831" t="s">
        <v>2730</v>
      </c>
      <c r="T831" t="s">
        <v>2730</v>
      </c>
      <c r="U831" t="s">
        <v>2730</v>
      </c>
      <c r="V831" t="s">
        <v>2730</v>
      </c>
      <c r="W831" t="s">
        <v>2730</v>
      </c>
      <c r="X831" t="s">
        <v>2730</v>
      </c>
      <c r="Y831" t="s">
        <v>2730</v>
      </c>
      <c r="Z831" t="s">
        <v>2730</v>
      </c>
      <c r="AA831" t="s">
        <v>2730</v>
      </c>
      <c r="AB831" t="s">
        <v>2730</v>
      </c>
      <c r="AC831" t="s">
        <v>2730</v>
      </c>
      <c r="AD831" t="s">
        <v>2730</v>
      </c>
      <c r="AE831" s="120" t="s">
        <v>2730</v>
      </c>
      <c r="AF831" t="s">
        <v>2730</v>
      </c>
      <c r="AG831" s="120" t="s">
        <v>2730</v>
      </c>
      <c r="AH831" t="s">
        <v>2730</v>
      </c>
    </row>
    <row r="832" spans="1:34">
      <c r="A832" s="149" t="str">
        <f>HYPERLINK("http://www.ofsted.gov.uk/inspection-reports/find-inspection-report/provider/ELS/142833 ","Ofsted School Webpage")</f>
        <v>Ofsted School Webpage</v>
      </c>
      <c r="B832">
        <v>142833</v>
      </c>
      <c r="C832">
        <v>8856044</v>
      </c>
      <c r="D832" t="s">
        <v>2196</v>
      </c>
      <c r="E832" t="s">
        <v>37</v>
      </c>
      <c r="F832" t="s">
        <v>184</v>
      </c>
      <c r="G832" t="s">
        <v>184</v>
      </c>
      <c r="H832" t="s">
        <v>2729</v>
      </c>
      <c r="I832" t="s">
        <v>2730</v>
      </c>
      <c r="J832" t="s">
        <v>186</v>
      </c>
      <c r="K832" t="s">
        <v>193</v>
      </c>
      <c r="L832" t="s">
        <v>193</v>
      </c>
      <c r="M832" t="s">
        <v>891</v>
      </c>
      <c r="N832" t="s">
        <v>2197</v>
      </c>
      <c r="O832">
        <v>10033586</v>
      </c>
      <c r="P832" s="120">
        <v>42899</v>
      </c>
      <c r="Q832" s="120">
        <v>42901</v>
      </c>
      <c r="R832" s="120">
        <v>42950</v>
      </c>
      <c r="S832" t="s">
        <v>249</v>
      </c>
      <c r="T832">
        <v>1</v>
      </c>
      <c r="U832" t="s">
        <v>128</v>
      </c>
      <c r="V832">
        <v>1</v>
      </c>
      <c r="W832">
        <v>1</v>
      </c>
      <c r="X832">
        <v>1</v>
      </c>
      <c r="Y832">
        <v>1</v>
      </c>
      <c r="Z832" t="s">
        <v>2730</v>
      </c>
      <c r="AA832">
        <v>1</v>
      </c>
      <c r="AB832" t="s">
        <v>2732</v>
      </c>
      <c r="AC832" t="s">
        <v>2730</v>
      </c>
      <c r="AD832" t="s">
        <v>2730</v>
      </c>
      <c r="AE832" t="s">
        <v>2730</v>
      </c>
      <c r="AF832" t="s">
        <v>2730</v>
      </c>
      <c r="AG832" t="s">
        <v>2730</v>
      </c>
      <c r="AH832" t="s">
        <v>2730</v>
      </c>
    </row>
    <row r="833" spans="1:34">
      <c r="A833" s="149" t="str">
        <f>HYPERLINK("http://www.ofsted.gov.uk/inspection-reports/find-inspection-report/provider/ELS/142859 ","Ofsted School Webpage")</f>
        <v>Ofsted School Webpage</v>
      </c>
      <c r="B833">
        <v>142859</v>
      </c>
      <c r="C833">
        <v>8866143</v>
      </c>
      <c r="D833" t="s">
        <v>2652</v>
      </c>
      <c r="E833" t="s">
        <v>38</v>
      </c>
      <c r="F833" t="s">
        <v>184</v>
      </c>
      <c r="G833" t="s">
        <v>184</v>
      </c>
      <c r="H833" t="s">
        <v>2729</v>
      </c>
      <c r="I833" t="s">
        <v>2730</v>
      </c>
      <c r="J833" t="s">
        <v>186</v>
      </c>
      <c r="K833" t="s">
        <v>181</v>
      </c>
      <c r="L833" t="s">
        <v>181</v>
      </c>
      <c r="M833" t="s">
        <v>182</v>
      </c>
      <c r="N833" t="s">
        <v>2653</v>
      </c>
      <c r="O833" t="s">
        <v>2730</v>
      </c>
      <c r="P833" s="120" t="s">
        <v>2730</v>
      </c>
      <c r="Q833" s="120" t="s">
        <v>2730</v>
      </c>
      <c r="R833" s="120" t="s">
        <v>2730</v>
      </c>
      <c r="S833" t="s">
        <v>2730</v>
      </c>
      <c r="T833" t="s">
        <v>2730</v>
      </c>
      <c r="U833" t="s">
        <v>2730</v>
      </c>
      <c r="V833" t="s">
        <v>2730</v>
      </c>
      <c r="W833" t="s">
        <v>2730</v>
      </c>
      <c r="X833" t="s">
        <v>2730</v>
      </c>
      <c r="Y833" t="s">
        <v>2730</v>
      </c>
      <c r="Z833" t="s">
        <v>2730</v>
      </c>
      <c r="AA833" t="s">
        <v>2730</v>
      </c>
      <c r="AB833" t="s">
        <v>2730</v>
      </c>
      <c r="AC833" t="s">
        <v>2730</v>
      </c>
      <c r="AD833" t="s">
        <v>2730</v>
      </c>
      <c r="AE833" t="s">
        <v>2730</v>
      </c>
      <c r="AF833" t="s">
        <v>2730</v>
      </c>
      <c r="AG833" t="s">
        <v>2730</v>
      </c>
      <c r="AH833" t="s">
        <v>2730</v>
      </c>
    </row>
    <row r="834" spans="1:34">
      <c r="A834" s="149" t="str">
        <f>HYPERLINK("http://www.ofsted.gov.uk/inspection-reports/find-inspection-report/provider/ELS/139962 ","Ofsted School Webpage")</f>
        <v>Ofsted School Webpage</v>
      </c>
      <c r="B834">
        <v>139962</v>
      </c>
      <c r="C834">
        <v>3306015</v>
      </c>
      <c r="D834" t="s">
        <v>2175</v>
      </c>
      <c r="E834" t="s">
        <v>37</v>
      </c>
      <c r="F834" t="s">
        <v>184</v>
      </c>
      <c r="G834" t="s">
        <v>557</v>
      </c>
      <c r="H834" t="s">
        <v>2729</v>
      </c>
      <c r="I834" t="s">
        <v>2730</v>
      </c>
      <c r="J834" t="s">
        <v>186</v>
      </c>
      <c r="K834" t="s">
        <v>193</v>
      </c>
      <c r="L834" t="s">
        <v>193</v>
      </c>
      <c r="M834" t="s">
        <v>210</v>
      </c>
      <c r="N834" t="s">
        <v>2176</v>
      </c>
      <c r="O834" t="s">
        <v>2177</v>
      </c>
      <c r="P834" s="120">
        <v>41835</v>
      </c>
      <c r="Q834" s="120">
        <v>41837</v>
      </c>
      <c r="R834" s="120">
        <v>41898</v>
      </c>
      <c r="S834" t="s">
        <v>249</v>
      </c>
      <c r="T834">
        <v>2</v>
      </c>
      <c r="U834" t="s">
        <v>2730</v>
      </c>
      <c r="V834">
        <v>2</v>
      </c>
      <c r="W834" t="s">
        <v>2730</v>
      </c>
      <c r="X834">
        <v>2</v>
      </c>
      <c r="Y834">
        <v>2</v>
      </c>
      <c r="Z834" t="s">
        <v>2730</v>
      </c>
      <c r="AA834" t="s">
        <v>2730</v>
      </c>
      <c r="AB834" t="s">
        <v>2730</v>
      </c>
      <c r="AC834" t="s">
        <v>2730</v>
      </c>
      <c r="AD834" t="s">
        <v>2730</v>
      </c>
      <c r="AE834" t="s">
        <v>2730</v>
      </c>
      <c r="AF834" t="s">
        <v>2730</v>
      </c>
      <c r="AG834" t="s">
        <v>2730</v>
      </c>
      <c r="AH834" t="s">
        <v>2730</v>
      </c>
    </row>
    <row r="835" spans="1:34">
      <c r="A835" s="149" t="str">
        <f>HYPERLINK("http://www.ofsted.gov.uk/inspection-reports/find-inspection-report/provider/ELS/136242 ","Ofsted School Webpage")</f>
        <v>Ofsted School Webpage</v>
      </c>
      <c r="B835">
        <v>136242</v>
      </c>
      <c r="C835">
        <v>3526070</v>
      </c>
      <c r="D835" t="s">
        <v>2178</v>
      </c>
      <c r="E835" t="s">
        <v>37</v>
      </c>
      <c r="F835" t="s">
        <v>184</v>
      </c>
      <c r="G835" t="s">
        <v>212</v>
      </c>
      <c r="H835" t="s">
        <v>2729</v>
      </c>
      <c r="I835" t="s">
        <v>2730</v>
      </c>
      <c r="J835" t="s">
        <v>186</v>
      </c>
      <c r="K835" t="s">
        <v>205</v>
      </c>
      <c r="L835" t="s">
        <v>205</v>
      </c>
      <c r="M835" t="s">
        <v>306</v>
      </c>
      <c r="N835" t="s">
        <v>2179</v>
      </c>
      <c r="O835" t="s">
        <v>2180</v>
      </c>
      <c r="P835" s="120">
        <v>42073</v>
      </c>
      <c r="Q835" s="120">
        <v>42075</v>
      </c>
      <c r="R835" s="120">
        <v>42118</v>
      </c>
      <c r="S835" t="s">
        <v>196</v>
      </c>
      <c r="T835">
        <v>2</v>
      </c>
      <c r="U835" t="s">
        <v>2730</v>
      </c>
      <c r="V835">
        <v>2</v>
      </c>
      <c r="W835" t="s">
        <v>2730</v>
      </c>
      <c r="X835">
        <v>2</v>
      </c>
      <c r="Y835">
        <v>2</v>
      </c>
      <c r="Z835">
        <v>9</v>
      </c>
      <c r="AA835">
        <v>9</v>
      </c>
      <c r="AB835" t="s">
        <v>2730</v>
      </c>
      <c r="AC835" t="s">
        <v>2730</v>
      </c>
      <c r="AD835" t="s">
        <v>2730</v>
      </c>
      <c r="AE835" s="120" t="s">
        <v>2730</v>
      </c>
      <c r="AF835" t="s">
        <v>2730</v>
      </c>
      <c r="AG835" s="120" t="s">
        <v>2730</v>
      </c>
      <c r="AH835" t="s">
        <v>2730</v>
      </c>
    </row>
    <row r="836" spans="1:34">
      <c r="A836" s="149" t="str">
        <f>HYPERLINK("http://www.ofsted.gov.uk/inspection-reports/find-inspection-report/provider/ELS/134427 ","Ofsted School Webpage")</f>
        <v>Ofsted School Webpage</v>
      </c>
      <c r="B836">
        <v>134427</v>
      </c>
      <c r="C836">
        <v>3806118</v>
      </c>
      <c r="D836" t="s">
        <v>3089</v>
      </c>
      <c r="E836" t="s">
        <v>37</v>
      </c>
      <c r="F836" t="s">
        <v>184</v>
      </c>
      <c r="G836" t="s">
        <v>212</v>
      </c>
      <c r="H836" t="s">
        <v>2729</v>
      </c>
      <c r="I836" t="s">
        <v>2730</v>
      </c>
      <c r="J836" t="s">
        <v>186</v>
      </c>
      <c r="K836" t="s">
        <v>245</v>
      </c>
      <c r="L836" t="s">
        <v>246</v>
      </c>
      <c r="M836" t="s">
        <v>339</v>
      </c>
      <c r="N836" t="s">
        <v>776</v>
      </c>
      <c r="O836">
        <v>10008553</v>
      </c>
      <c r="P836" s="120">
        <v>42451</v>
      </c>
      <c r="Q836" s="120">
        <v>42453</v>
      </c>
      <c r="R836" s="120">
        <v>42489</v>
      </c>
      <c r="S836" t="s">
        <v>196</v>
      </c>
      <c r="T836">
        <v>2</v>
      </c>
      <c r="U836" t="s">
        <v>128</v>
      </c>
      <c r="V836">
        <v>2</v>
      </c>
      <c r="W836">
        <v>2</v>
      </c>
      <c r="X836">
        <v>2</v>
      </c>
      <c r="Y836">
        <v>2</v>
      </c>
      <c r="Z836" t="s">
        <v>2730</v>
      </c>
      <c r="AA836" t="s">
        <v>2730</v>
      </c>
      <c r="AB836" t="s">
        <v>2732</v>
      </c>
      <c r="AC836" t="s">
        <v>2730</v>
      </c>
      <c r="AD836" t="s">
        <v>2730</v>
      </c>
      <c r="AE836" t="s">
        <v>2730</v>
      </c>
      <c r="AF836" t="s">
        <v>2730</v>
      </c>
      <c r="AG836" t="s">
        <v>2730</v>
      </c>
      <c r="AH836" t="s">
        <v>2730</v>
      </c>
    </row>
    <row r="837" spans="1:34">
      <c r="A837" s="149" t="str">
        <f>HYPERLINK("http://www.ofsted.gov.uk/inspection-reports/find-inspection-report/provider/ELS/137822 ","Ofsted School Webpage")</f>
        <v>Ofsted School Webpage</v>
      </c>
      <c r="B837">
        <v>137822</v>
      </c>
      <c r="C837">
        <v>3536000</v>
      </c>
      <c r="D837" t="s">
        <v>2246</v>
      </c>
      <c r="E837" t="s">
        <v>37</v>
      </c>
      <c r="F837" t="s">
        <v>304</v>
      </c>
      <c r="G837" t="s">
        <v>223</v>
      </c>
      <c r="H837" t="s">
        <v>2729</v>
      </c>
      <c r="I837" t="s">
        <v>2730</v>
      </c>
      <c r="J837" t="s">
        <v>186</v>
      </c>
      <c r="K837" t="s">
        <v>205</v>
      </c>
      <c r="L837" t="s">
        <v>205</v>
      </c>
      <c r="M837" t="s">
        <v>468</v>
      </c>
      <c r="N837" t="s">
        <v>2247</v>
      </c>
      <c r="O837">
        <v>10006095</v>
      </c>
      <c r="P837" s="120">
        <v>42494</v>
      </c>
      <c r="Q837" s="120">
        <v>42496</v>
      </c>
      <c r="R837" s="120">
        <v>42524</v>
      </c>
      <c r="S837" t="s">
        <v>196</v>
      </c>
      <c r="T837">
        <v>2</v>
      </c>
      <c r="U837" t="s">
        <v>128</v>
      </c>
      <c r="V837">
        <v>1</v>
      </c>
      <c r="W837">
        <v>1</v>
      </c>
      <c r="X837">
        <v>2</v>
      </c>
      <c r="Y837">
        <v>2</v>
      </c>
      <c r="Z837">
        <v>2</v>
      </c>
      <c r="AA837" t="s">
        <v>2730</v>
      </c>
      <c r="AB837" t="s">
        <v>2732</v>
      </c>
      <c r="AC837" t="s">
        <v>2730</v>
      </c>
      <c r="AD837" t="s">
        <v>2730</v>
      </c>
      <c r="AE837" t="s">
        <v>2730</v>
      </c>
      <c r="AF837" t="s">
        <v>2730</v>
      </c>
      <c r="AG837" t="s">
        <v>2730</v>
      </c>
      <c r="AH837" t="s">
        <v>2730</v>
      </c>
    </row>
    <row r="838" spans="1:34">
      <c r="A838" s="149" t="str">
        <f>HYPERLINK("http://www.ofsted.gov.uk/inspection-reports/find-inspection-report/provider/ELS/121763 ","Ofsted School Webpage")</f>
        <v>Ofsted School Webpage</v>
      </c>
      <c r="B838">
        <v>121763</v>
      </c>
      <c r="C838">
        <v>8156032</v>
      </c>
      <c r="D838" t="s">
        <v>1983</v>
      </c>
      <c r="E838" t="s">
        <v>37</v>
      </c>
      <c r="F838" t="s">
        <v>184</v>
      </c>
      <c r="G838" t="s">
        <v>212</v>
      </c>
      <c r="H838" t="s">
        <v>2729</v>
      </c>
      <c r="I838" t="s">
        <v>2730</v>
      </c>
      <c r="J838" t="s">
        <v>186</v>
      </c>
      <c r="K838" t="s">
        <v>245</v>
      </c>
      <c r="L838" t="s">
        <v>246</v>
      </c>
      <c r="M838" t="s">
        <v>554</v>
      </c>
      <c r="N838" t="s">
        <v>1984</v>
      </c>
      <c r="O838">
        <v>10033914</v>
      </c>
      <c r="P838" s="120">
        <v>42892</v>
      </c>
      <c r="Q838" s="120">
        <v>42894</v>
      </c>
      <c r="R838" s="120">
        <v>42920</v>
      </c>
      <c r="S838" t="s">
        <v>196</v>
      </c>
      <c r="T838">
        <v>1</v>
      </c>
      <c r="U838" t="s">
        <v>128</v>
      </c>
      <c r="V838">
        <v>1</v>
      </c>
      <c r="W838">
        <v>1</v>
      </c>
      <c r="X838">
        <v>1</v>
      </c>
      <c r="Y838">
        <v>1</v>
      </c>
      <c r="Z838">
        <v>1</v>
      </c>
      <c r="AA838" t="s">
        <v>2730</v>
      </c>
      <c r="AB838" t="s">
        <v>2732</v>
      </c>
      <c r="AC838" t="s">
        <v>2730</v>
      </c>
      <c r="AD838" t="s">
        <v>2730</v>
      </c>
      <c r="AE838" t="s">
        <v>2730</v>
      </c>
      <c r="AF838" t="s">
        <v>2730</v>
      </c>
      <c r="AG838" t="s">
        <v>2730</v>
      </c>
      <c r="AH838" t="s">
        <v>2730</v>
      </c>
    </row>
    <row r="839" spans="1:34">
      <c r="A839" s="149" t="str">
        <f>HYPERLINK("http://www.ofsted.gov.uk/inspection-reports/find-inspection-report/provider/ELS/134175 ","Ofsted School Webpage")</f>
        <v>Ofsted School Webpage</v>
      </c>
      <c r="B839">
        <v>134175</v>
      </c>
      <c r="C839">
        <v>3056079</v>
      </c>
      <c r="D839" t="s">
        <v>1985</v>
      </c>
      <c r="E839" t="s">
        <v>37</v>
      </c>
      <c r="F839" t="s">
        <v>184</v>
      </c>
      <c r="G839" t="s">
        <v>292</v>
      </c>
      <c r="H839" t="s">
        <v>2729</v>
      </c>
      <c r="I839" t="s">
        <v>2730</v>
      </c>
      <c r="J839" t="s">
        <v>186</v>
      </c>
      <c r="K839" t="s">
        <v>232</v>
      </c>
      <c r="L839" t="s">
        <v>232</v>
      </c>
      <c r="M839" t="s">
        <v>587</v>
      </c>
      <c r="N839" t="s">
        <v>1986</v>
      </c>
      <c r="O839">
        <v>10026292</v>
      </c>
      <c r="P839" s="120">
        <v>42864</v>
      </c>
      <c r="Q839" s="120">
        <v>42866</v>
      </c>
      <c r="R839" s="120">
        <v>42922</v>
      </c>
      <c r="S839" t="s">
        <v>196</v>
      </c>
      <c r="T839">
        <v>2</v>
      </c>
      <c r="U839" t="s">
        <v>128</v>
      </c>
      <c r="V839">
        <v>2</v>
      </c>
      <c r="W839">
        <v>2</v>
      </c>
      <c r="X839">
        <v>2</v>
      </c>
      <c r="Y839">
        <v>2</v>
      </c>
      <c r="Z839">
        <v>2</v>
      </c>
      <c r="AA839" t="s">
        <v>2730</v>
      </c>
      <c r="AB839" t="s">
        <v>2732</v>
      </c>
      <c r="AC839" t="s">
        <v>2730</v>
      </c>
      <c r="AD839" t="s">
        <v>2730</v>
      </c>
      <c r="AE839" t="s">
        <v>2730</v>
      </c>
      <c r="AF839" t="s">
        <v>2730</v>
      </c>
      <c r="AG839" t="s">
        <v>2730</v>
      </c>
      <c r="AH839" t="s">
        <v>2730</v>
      </c>
    </row>
    <row r="840" spans="1:34">
      <c r="A840" s="149" t="str">
        <f>HYPERLINK("http://www.ofsted.gov.uk/inspection-reports/find-inspection-report/provider/ELS/114618 ","Ofsted School Webpage")</f>
        <v>Ofsted School Webpage</v>
      </c>
      <c r="B840">
        <v>114618</v>
      </c>
      <c r="C840">
        <v>8466013</v>
      </c>
      <c r="D840" t="s">
        <v>3090</v>
      </c>
      <c r="E840" t="s">
        <v>37</v>
      </c>
      <c r="F840" t="s">
        <v>184</v>
      </c>
      <c r="G840" t="s">
        <v>212</v>
      </c>
      <c r="H840" t="s">
        <v>2729</v>
      </c>
      <c r="I840" t="s">
        <v>2730</v>
      </c>
      <c r="J840" t="s">
        <v>186</v>
      </c>
      <c r="K840" t="s">
        <v>181</v>
      </c>
      <c r="L840" t="s">
        <v>181</v>
      </c>
      <c r="M840" t="s">
        <v>409</v>
      </c>
      <c r="N840" t="s">
        <v>3091</v>
      </c>
      <c r="O840" t="s">
        <v>3092</v>
      </c>
      <c r="P840" s="120">
        <v>41801</v>
      </c>
      <c r="Q840" s="120">
        <v>41803</v>
      </c>
      <c r="R840" s="120">
        <v>41822</v>
      </c>
      <c r="S840" t="s">
        <v>196</v>
      </c>
      <c r="T840">
        <v>2</v>
      </c>
      <c r="U840" t="s">
        <v>2730</v>
      </c>
      <c r="V840">
        <v>2</v>
      </c>
      <c r="W840" t="s">
        <v>2730</v>
      </c>
      <c r="X840">
        <v>2</v>
      </c>
      <c r="Y840">
        <v>2</v>
      </c>
      <c r="Z840" t="s">
        <v>2730</v>
      </c>
      <c r="AA840" t="s">
        <v>2730</v>
      </c>
      <c r="AB840" t="s">
        <v>2730</v>
      </c>
      <c r="AC840" t="s">
        <v>2730</v>
      </c>
      <c r="AD840" t="s">
        <v>2730</v>
      </c>
      <c r="AE840" t="s">
        <v>2730</v>
      </c>
      <c r="AF840" t="s">
        <v>2730</v>
      </c>
      <c r="AG840" t="s">
        <v>2730</v>
      </c>
      <c r="AH840" t="s">
        <v>2730</v>
      </c>
    </row>
    <row r="841" spans="1:34">
      <c r="A841" s="149" t="str">
        <f>HYPERLINK("http://www.ofsted.gov.uk/inspection-reports/find-inspection-report/provider/ELS/142516 ","Ofsted School Webpage")</f>
        <v>Ofsted School Webpage</v>
      </c>
      <c r="B841">
        <v>142516</v>
      </c>
      <c r="C841">
        <v>8606042</v>
      </c>
      <c r="D841" t="s">
        <v>2248</v>
      </c>
      <c r="E841" t="s">
        <v>38</v>
      </c>
      <c r="F841" t="s">
        <v>184</v>
      </c>
      <c r="G841" t="s">
        <v>184</v>
      </c>
      <c r="H841" t="s">
        <v>2729</v>
      </c>
      <c r="I841" t="s">
        <v>2730</v>
      </c>
      <c r="J841" t="s">
        <v>186</v>
      </c>
      <c r="K841" t="s">
        <v>193</v>
      </c>
      <c r="L841" t="s">
        <v>193</v>
      </c>
      <c r="M841" t="s">
        <v>314</v>
      </c>
      <c r="N841" t="s">
        <v>2249</v>
      </c>
      <c r="O841">
        <v>10033585</v>
      </c>
      <c r="P841" s="120">
        <v>42878</v>
      </c>
      <c r="Q841" s="120">
        <v>42879</v>
      </c>
      <c r="R841" s="120">
        <v>42912</v>
      </c>
      <c r="S841" t="s">
        <v>249</v>
      </c>
      <c r="T841">
        <v>2</v>
      </c>
      <c r="U841" t="s">
        <v>128</v>
      </c>
      <c r="V841">
        <v>2</v>
      </c>
      <c r="W841">
        <v>2</v>
      </c>
      <c r="X841">
        <v>2</v>
      </c>
      <c r="Y841">
        <v>2</v>
      </c>
      <c r="Z841" t="s">
        <v>2730</v>
      </c>
      <c r="AA841">
        <v>2</v>
      </c>
      <c r="AB841" t="s">
        <v>2732</v>
      </c>
      <c r="AC841" t="s">
        <v>2730</v>
      </c>
      <c r="AD841" t="s">
        <v>2730</v>
      </c>
      <c r="AE841" t="s">
        <v>2730</v>
      </c>
      <c r="AF841" t="s">
        <v>2730</v>
      </c>
      <c r="AG841" t="s">
        <v>2730</v>
      </c>
      <c r="AH841" t="s">
        <v>2730</v>
      </c>
    </row>
    <row r="842" spans="1:34">
      <c r="A842" s="149" t="str">
        <f>HYPERLINK("http://www.ofsted.gov.uk/inspection-reports/find-inspection-report/provider/ELS/142524 ","Ofsted School Webpage")</f>
        <v>Ofsted School Webpage</v>
      </c>
      <c r="B842">
        <v>142524</v>
      </c>
      <c r="C842">
        <v>3566006</v>
      </c>
      <c r="D842" t="s">
        <v>2250</v>
      </c>
      <c r="E842" t="s">
        <v>37</v>
      </c>
      <c r="F842" t="s">
        <v>184</v>
      </c>
      <c r="G842" t="s">
        <v>184</v>
      </c>
      <c r="H842" t="s">
        <v>2729</v>
      </c>
      <c r="I842" t="s">
        <v>2730</v>
      </c>
      <c r="J842" t="s">
        <v>186</v>
      </c>
      <c r="K842" t="s">
        <v>205</v>
      </c>
      <c r="L842" t="s">
        <v>205</v>
      </c>
      <c r="M842" t="s">
        <v>346</v>
      </c>
      <c r="N842" t="s">
        <v>2251</v>
      </c>
      <c r="O842">
        <v>10020877</v>
      </c>
      <c r="P842" s="120">
        <v>42654</v>
      </c>
      <c r="Q842" s="120">
        <v>42656</v>
      </c>
      <c r="R842" s="120">
        <v>42696</v>
      </c>
      <c r="S842" t="s">
        <v>249</v>
      </c>
      <c r="T842">
        <v>2</v>
      </c>
      <c r="U842" t="s">
        <v>128</v>
      </c>
      <c r="V842">
        <v>2</v>
      </c>
      <c r="W842">
        <v>2</v>
      </c>
      <c r="X842">
        <v>2</v>
      </c>
      <c r="Y842">
        <v>2</v>
      </c>
      <c r="Z842" t="s">
        <v>2730</v>
      </c>
      <c r="AA842" t="s">
        <v>2730</v>
      </c>
      <c r="AB842" t="s">
        <v>2732</v>
      </c>
      <c r="AC842" t="s">
        <v>2730</v>
      </c>
      <c r="AD842" t="s">
        <v>2730</v>
      </c>
      <c r="AE842" t="s">
        <v>2730</v>
      </c>
      <c r="AF842" t="s">
        <v>2730</v>
      </c>
      <c r="AG842" t="s">
        <v>2730</v>
      </c>
      <c r="AH842" t="s">
        <v>2730</v>
      </c>
    </row>
    <row r="843" spans="1:34">
      <c r="A843" s="149" t="str">
        <f>HYPERLINK("http://www.ofsted.gov.uk/inspection-reports/find-inspection-report/provider/ELS/142531 ","Ofsted School Webpage")</f>
        <v>Ofsted School Webpage</v>
      </c>
      <c r="B843">
        <v>142531</v>
      </c>
      <c r="C843">
        <v>8896014</v>
      </c>
      <c r="D843" t="s">
        <v>2252</v>
      </c>
      <c r="E843" t="s">
        <v>38</v>
      </c>
      <c r="F843" t="s">
        <v>184</v>
      </c>
      <c r="G843" t="s">
        <v>184</v>
      </c>
      <c r="H843" t="s">
        <v>2729</v>
      </c>
      <c r="I843" t="s">
        <v>2730</v>
      </c>
      <c r="J843" t="s">
        <v>186</v>
      </c>
      <c r="K843" t="s">
        <v>205</v>
      </c>
      <c r="L843" t="s">
        <v>205</v>
      </c>
      <c r="M843" t="s">
        <v>485</v>
      </c>
      <c r="N843" t="s">
        <v>2253</v>
      </c>
      <c r="O843">
        <v>10020878</v>
      </c>
      <c r="P843" s="120">
        <v>42647</v>
      </c>
      <c r="Q843" s="120">
        <v>42649</v>
      </c>
      <c r="R843" s="120">
        <v>42689</v>
      </c>
      <c r="S843" t="s">
        <v>249</v>
      </c>
      <c r="T843">
        <v>3</v>
      </c>
      <c r="U843" t="s">
        <v>128</v>
      </c>
      <c r="V843">
        <v>3</v>
      </c>
      <c r="W843">
        <v>2</v>
      </c>
      <c r="X843">
        <v>3</v>
      </c>
      <c r="Y843">
        <v>3</v>
      </c>
      <c r="Z843" t="s">
        <v>2730</v>
      </c>
      <c r="AA843" t="s">
        <v>2730</v>
      </c>
      <c r="AB843" t="s">
        <v>2732</v>
      </c>
      <c r="AC843" t="s">
        <v>2730</v>
      </c>
      <c r="AD843" t="s">
        <v>2730</v>
      </c>
      <c r="AE843" t="s">
        <v>2730</v>
      </c>
      <c r="AF843" t="s">
        <v>2730</v>
      </c>
      <c r="AG843" t="s">
        <v>2730</v>
      </c>
      <c r="AH843" t="s">
        <v>2730</v>
      </c>
    </row>
    <row r="844" spans="1:34">
      <c r="A844" s="149" t="str">
        <f>HYPERLINK("http://www.ofsted.gov.uk/inspection-reports/find-inspection-report/provider/ELS/142534 ","Ofsted School Webpage")</f>
        <v>Ofsted School Webpage</v>
      </c>
      <c r="B844">
        <v>142534</v>
      </c>
      <c r="C844">
        <v>3086005</v>
      </c>
      <c r="D844" t="s">
        <v>2254</v>
      </c>
      <c r="E844" t="s">
        <v>37</v>
      </c>
      <c r="F844" t="s">
        <v>184</v>
      </c>
      <c r="G844" t="s">
        <v>184</v>
      </c>
      <c r="H844" t="s">
        <v>2729</v>
      </c>
      <c r="I844" t="s">
        <v>2730</v>
      </c>
      <c r="J844" t="s">
        <v>186</v>
      </c>
      <c r="K844" t="s">
        <v>232</v>
      </c>
      <c r="L844" t="s">
        <v>232</v>
      </c>
      <c r="M844" t="s">
        <v>259</v>
      </c>
      <c r="N844" t="s">
        <v>2255</v>
      </c>
      <c r="O844">
        <v>10020882</v>
      </c>
      <c r="P844" s="120">
        <v>42661</v>
      </c>
      <c r="Q844" s="120">
        <v>42663</v>
      </c>
      <c r="R844" s="120">
        <v>42710</v>
      </c>
      <c r="S844" t="s">
        <v>249</v>
      </c>
      <c r="T844">
        <v>2</v>
      </c>
      <c r="U844" t="s">
        <v>128</v>
      </c>
      <c r="V844">
        <v>2</v>
      </c>
      <c r="W844">
        <v>2</v>
      </c>
      <c r="X844">
        <v>2</v>
      </c>
      <c r="Y844">
        <v>2</v>
      </c>
      <c r="Z844" t="s">
        <v>2730</v>
      </c>
      <c r="AA844">
        <v>2</v>
      </c>
      <c r="AB844" t="s">
        <v>2732</v>
      </c>
      <c r="AC844" t="s">
        <v>2730</v>
      </c>
      <c r="AD844" t="s">
        <v>2730</v>
      </c>
      <c r="AE844" s="120" t="s">
        <v>2730</v>
      </c>
      <c r="AF844" t="s">
        <v>2730</v>
      </c>
      <c r="AG844" s="120" t="s">
        <v>2730</v>
      </c>
      <c r="AH844" t="s">
        <v>2730</v>
      </c>
    </row>
    <row r="845" spans="1:34">
      <c r="A845" s="149" t="str">
        <f>HYPERLINK("http://www.ofsted.gov.uk/inspection-reports/find-inspection-report/provider/ELS/142911 ","Ofsted School Webpage")</f>
        <v>Ofsted School Webpage</v>
      </c>
      <c r="B845">
        <v>142911</v>
      </c>
      <c r="C845">
        <v>8156034</v>
      </c>
      <c r="D845" t="s">
        <v>2654</v>
      </c>
      <c r="E845" t="s">
        <v>38</v>
      </c>
      <c r="F845" t="s">
        <v>184</v>
      </c>
      <c r="G845" t="s">
        <v>184</v>
      </c>
      <c r="H845" t="s">
        <v>2729</v>
      </c>
      <c r="I845" t="s">
        <v>2730</v>
      </c>
      <c r="J845" t="s">
        <v>186</v>
      </c>
      <c r="K845" t="s">
        <v>245</v>
      </c>
      <c r="L845" t="s">
        <v>246</v>
      </c>
      <c r="M845" t="s">
        <v>554</v>
      </c>
      <c r="N845" t="s">
        <v>2655</v>
      </c>
      <c r="O845">
        <v>10033927</v>
      </c>
      <c r="P845" s="120">
        <v>42912</v>
      </c>
      <c r="Q845" s="120">
        <v>42914</v>
      </c>
      <c r="R845" s="120">
        <v>42985</v>
      </c>
      <c r="S845" t="s">
        <v>249</v>
      </c>
      <c r="T845">
        <v>2</v>
      </c>
      <c r="U845" t="s">
        <v>128</v>
      </c>
      <c r="V845">
        <v>2</v>
      </c>
      <c r="W845">
        <v>2</v>
      </c>
      <c r="X845">
        <v>2</v>
      </c>
      <c r="Y845">
        <v>2</v>
      </c>
      <c r="Z845" t="s">
        <v>2730</v>
      </c>
      <c r="AA845" t="s">
        <v>2730</v>
      </c>
      <c r="AB845" t="s">
        <v>2732</v>
      </c>
      <c r="AC845" t="s">
        <v>2730</v>
      </c>
      <c r="AD845" t="s">
        <v>2730</v>
      </c>
      <c r="AE845" s="120" t="s">
        <v>2730</v>
      </c>
      <c r="AF845" t="s">
        <v>2730</v>
      </c>
      <c r="AG845" s="120" t="s">
        <v>2730</v>
      </c>
      <c r="AH845" t="s">
        <v>2730</v>
      </c>
    </row>
    <row r="846" spans="1:34">
      <c r="A846" s="149" t="str">
        <f>HYPERLINK("http://www.ofsted.gov.uk/inspection-reports/find-inspection-report/provider/ELS/142912 ","Ofsted School Webpage")</f>
        <v>Ofsted School Webpage</v>
      </c>
      <c r="B846">
        <v>142912</v>
      </c>
      <c r="C846">
        <v>3736006</v>
      </c>
      <c r="D846" t="s">
        <v>2656</v>
      </c>
      <c r="E846" t="s">
        <v>38</v>
      </c>
      <c r="F846" t="s">
        <v>184</v>
      </c>
      <c r="G846" t="s">
        <v>184</v>
      </c>
      <c r="H846" t="s">
        <v>2729</v>
      </c>
      <c r="I846" t="s">
        <v>2730</v>
      </c>
      <c r="J846" t="s">
        <v>186</v>
      </c>
      <c r="K846" t="s">
        <v>245</v>
      </c>
      <c r="L846" t="s">
        <v>246</v>
      </c>
      <c r="M846" t="s">
        <v>664</v>
      </c>
      <c r="N846" t="s">
        <v>2657</v>
      </c>
      <c r="O846">
        <v>10033928</v>
      </c>
      <c r="P846" s="120">
        <v>42920</v>
      </c>
      <c r="Q846" s="120">
        <v>42922</v>
      </c>
      <c r="R846" s="120">
        <v>43000</v>
      </c>
      <c r="S846" t="s">
        <v>249</v>
      </c>
      <c r="T846">
        <v>2</v>
      </c>
      <c r="U846" t="s">
        <v>128</v>
      </c>
      <c r="V846">
        <v>2</v>
      </c>
      <c r="W846">
        <v>1</v>
      </c>
      <c r="X846">
        <v>2</v>
      </c>
      <c r="Y846">
        <v>2</v>
      </c>
      <c r="Z846" t="s">
        <v>2730</v>
      </c>
      <c r="AA846" t="s">
        <v>2730</v>
      </c>
      <c r="AB846" t="s">
        <v>2732</v>
      </c>
      <c r="AC846" t="s">
        <v>2730</v>
      </c>
      <c r="AD846" t="s">
        <v>2730</v>
      </c>
      <c r="AE846" t="s">
        <v>2730</v>
      </c>
      <c r="AF846" t="s">
        <v>2730</v>
      </c>
      <c r="AG846" t="s">
        <v>2730</v>
      </c>
      <c r="AH846" t="s">
        <v>2730</v>
      </c>
    </row>
    <row r="847" spans="1:34">
      <c r="A847" s="149" t="str">
        <f>HYPERLINK("http://www.ofsted.gov.uk/inspection-reports/find-inspection-report/provider/ELS/142925 ","Ofsted School Webpage")</f>
        <v>Ofsted School Webpage</v>
      </c>
      <c r="B847">
        <v>142925</v>
      </c>
      <c r="C847">
        <v>8456062</v>
      </c>
      <c r="D847" t="s">
        <v>2658</v>
      </c>
      <c r="E847" t="s">
        <v>37</v>
      </c>
      <c r="F847" t="s">
        <v>184</v>
      </c>
      <c r="G847" t="s">
        <v>184</v>
      </c>
      <c r="H847" t="s">
        <v>2729</v>
      </c>
      <c r="I847" t="s">
        <v>2730</v>
      </c>
      <c r="J847" t="s">
        <v>186</v>
      </c>
      <c r="K847" t="s">
        <v>181</v>
      </c>
      <c r="L847" t="s">
        <v>181</v>
      </c>
      <c r="M847" t="s">
        <v>438</v>
      </c>
      <c r="N847" t="s">
        <v>2659</v>
      </c>
      <c r="O847">
        <v>10033965</v>
      </c>
      <c r="P847" s="120">
        <v>42850</v>
      </c>
      <c r="Q847" s="120">
        <v>42852</v>
      </c>
      <c r="R847" s="120">
        <v>42873</v>
      </c>
      <c r="S847" t="s">
        <v>249</v>
      </c>
      <c r="T847">
        <v>2</v>
      </c>
      <c r="U847" t="s">
        <v>128</v>
      </c>
      <c r="V847">
        <v>1</v>
      </c>
      <c r="W847">
        <v>2</v>
      </c>
      <c r="X847">
        <v>2</v>
      </c>
      <c r="Y847">
        <v>2</v>
      </c>
      <c r="Z847" t="s">
        <v>2730</v>
      </c>
      <c r="AA847">
        <v>2</v>
      </c>
      <c r="AB847" t="s">
        <v>2732</v>
      </c>
      <c r="AC847" t="s">
        <v>2730</v>
      </c>
      <c r="AD847" t="s">
        <v>2730</v>
      </c>
      <c r="AE847" t="s">
        <v>2730</v>
      </c>
      <c r="AF847" t="s">
        <v>2730</v>
      </c>
      <c r="AG847" t="s">
        <v>2730</v>
      </c>
      <c r="AH847" t="s">
        <v>2730</v>
      </c>
    </row>
    <row r="848" spans="1:34">
      <c r="A848" s="149" t="str">
        <f>HYPERLINK("http://www.ofsted.gov.uk/inspection-reports/find-inspection-report/provider/ELS/142929 ","Ofsted School Webpage")</f>
        <v>Ofsted School Webpage</v>
      </c>
      <c r="B848">
        <v>142929</v>
      </c>
      <c r="C848">
        <v>8926019</v>
      </c>
      <c r="D848" t="s">
        <v>2660</v>
      </c>
      <c r="E848" t="s">
        <v>37</v>
      </c>
      <c r="F848" t="s">
        <v>184</v>
      </c>
      <c r="G848" t="s">
        <v>184</v>
      </c>
      <c r="H848" t="s">
        <v>2729</v>
      </c>
      <c r="I848" t="s">
        <v>2730</v>
      </c>
      <c r="J848" t="s">
        <v>186</v>
      </c>
      <c r="K848" t="s">
        <v>214</v>
      </c>
      <c r="L848" t="s">
        <v>214</v>
      </c>
      <c r="M848" t="s">
        <v>287</v>
      </c>
      <c r="N848" t="s">
        <v>2661</v>
      </c>
      <c r="O848" t="s">
        <v>2730</v>
      </c>
      <c r="P848" s="120" t="s">
        <v>2730</v>
      </c>
      <c r="Q848" s="120" t="s">
        <v>2730</v>
      </c>
      <c r="R848" s="120" t="s">
        <v>2730</v>
      </c>
      <c r="S848" t="s">
        <v>2730</v>
      </c>
      <c r="T848" t="s">
        <v>2730</v>
      </c>
      <c r="U848" t="s">
        <v>2730</v>
      </c>
      <c r="V848" t="s">
        <v>2730</v>
      </c>
      <c r="W848" t="s">
        <v>2730</v>
      </c>
      <c r="X848" t="s">
        <v>2730</v>
      </c>
      <c r="Y848" t="s">
        <v>2730</v>
      </c>
      <c r="Z848" t="s">
        <v>2730</v>
      </c>
      <c r="AA848" t="s">
        <v>2730</v>
      </c>
      <c r="AB848" t="s">
        <v>2730</v>
      </c>
      <c r="AC848" t="s">
        <v>2730</v>
      </c>
      <c r="AD848" t="s">
        <v>2730</v>
      </c>
      <c r="AE848" s="120" t="s">
        <v>2730</v>
      </c>
      <c r="AF848" t="s">
        <v>2730</v>
      </c>
      <c r="AG848" s="120" t="s">
        <v>2730</v>
      </c>
      <c r="AH848" t="s">
        <v>2730</v>
      </c>
    </row>
    <row r="849" spans="1:34">
      <c r="A849" s="149" t="str">
        <f>HYPERLINK("http://www.ofsted.gov.uk/inspection-reports/find-inspection-report/provider/ELS/142930 ","Ofsted School Webpage")</f>
        <v>Ofsted School Webpage</v>
      </c>
      <c r="B849">
        <v>142930</v>
      </c>
      <c r="C849">
        <v>8926021</v>
      </c>
      <c r="D849" t="s">
        <v>2258</v>
      </c>
      <c r="E849" t="s">
        <v>37</v>
      </c>
      <c r="F849" t="s">
        <v>184</v>
      </c>
      <c r="G849" t="s">
        <v>184</v>
      </c>
      <c r="H849" t="s">
        <v>2729</v>
      </c>
      <c r="I849" t="s">
        <v>2730</v>
      </c>
      <c r="J849" t="s">
        <v>186</v>
      </c>
      <c r="K849" t="s">
        <v>214</v>
      </c>
      <c r="L849" t="s">
        <v>214</v>
      </c>
      <c r="M849" t="s">
        <v>287</v>
      </c>
      <c r="N849" t="s">
        <v>2259</v>
      </c>
      <c r="O849" t="s">
        <v>2730</v>
      </c>
      <c r="P849" s="120" t="s">
        <v>2730</v>
      </c>
      <c r="Q849" s="120" t="s">
        <v>2730</v>
      </c>
      <c r="R849" s="120" t="s">
        <v>2730</v>
      </c>
      <c r="S849" t="s">
        <v>2730</v>
      </c>
      <c r="T849" t="s">
        <v>2730</v>
      </c>
      <c r="U849" t="s">
        <v>2730</v>
      </c>
      <c r="V849" t="s">
        <v>2730</v>
      </c>
      <c r="W849" t="s">
        <v>2730</v>
      </c>
      <c r="X849" t="s">
        <v>2730</v>
      </c>
      <c r="Y849" t="s">
        <v>2730</v>
      </c>
      <c r="Z849" t="s">
        <v>2730</v>
      </c>
      <c r="AA849" t="s">
        <v>2730</v>
      </c>
      <c r="AB849" t="s">
        <v>2730</v>
      </c>
      <c r="AC849" t="s">
        <v>2730</v>
      </c>
      <c r="AD849" t="s">
        <v>2730</v>
      </c>
      <c r="AE849" t="s">
        <v>2730</v>
      </c>
      <c r="AF849" t="s">
        <v>2730</v>
      </c>
      <c r="AG849" t="s">
        <v>2730</v>
      </c>
      <c r="AH849" t="s">
        <v>2730</v>
      </c>
    </row>
    <row r="850" spans="1:34">
      <c r="A850" s="149" t="str">
        <f>HYPERLINK("http://www.ofsted.gov.uk/inspection-reports/find-inspection-report/provider/ELS/143521 ","Ofsted School Webpage")</f>
        <v>Ofsted School Webpage</v>
      </c>
      <c r="B850">
        <v>143521</v>
      </c>
      <c r="C850">
        <v>8816066</v>
      </c>
      <c r="D850" t="s">
        <v>816</v>
      </c>
      <c r="E850" t="s">
        <v>37</v>
      </c>
      <c r="F850" t="s">
        <v>184</v>
      </c>
      <c r="G850" t="s">
        <v>212</v>
      </c>
      <c r="H850" t="s">
        <v>2729</v>
      </c>
      <c r="I850" t="s">
        <v>2730</v>
      </c>
      <c r="J850" t="s">
        <v>186</v>
      </c>
      <c r="K850" t="s">
        <v>220</v>
      </c>
      <c r="L850" t="s">
        <v>220</v>
      </c>
      <c r="M850" t="s">
        <v>323</v>
      </c>
      <c r="N850" t="s">
        <v>817</v>
      </c>
      <c r="O850" t="s">
        <v>2730</v>
      </c>
      <c r="P850" s="120" t="s">
        <v>2730</v>
      </c>
      <c r="Q850" s="120" t="s">
        <v>2730</v>
      </c>
      <c r="R850" s="120" t="s">
        <v>2730</v>
      </c>
      <c r="S850" t="s">
        <v>2730</v>
      </c>
      <c r="T850" t="s">
        <v>2730</v>
      </c>
      <c r="U850" t="s">
        <v>2730</v>
      </c>
      <c r="V850" t="s">
        <v>2730</v>
      </c>
      <c r="W850" t="s">
        <v>2730</v>
      </c>
      <c r="X850" t="s">
        <v>2730</v>
      </c>
      <c r="Y850" t="s">
        <v>2730</v>
      </c>
      <c r="Z850" t="s">
        <v>2730</v>
      </c>
      <c r="AA850" t="s">
        <v>2730</v>
      </c>
      <c r="AB850" t="s">
        <v>2730</v>
      </c>
      <c r="AC850" t="s">
        <v>2730</v>
      </c>
      <c r="AD850" t="s">
        <v>2730</v>
      </c>
      <c r="AE850" t="s">
        <v>2730</v>
      </c>
      <c r="AF850" t="s">
        <v>2730</v>
      </c>
      <c r="AG850" t="s">
        <v>2730</v>
      </c>
      <c r="AH850" t="s">
        <v>2730</v>
      </c>
    </row>
    <row r="851" spans="1:34">
      <c r="A851" s="149" t="str">
        <f>HYPERLINK("http://www.ofsted.gov.uk/inspection-reports/find-inspection-report/provider/ELS/143525 ","Ofsted School Webpage")</f>
        <v>Ofsted School Webpage</v>
      </c>
      <c r="B851">
        <v>143525</v>
      </c>
      <c r="C851">
        <v>3906009</v>
      </c>
      <c r="D851" t="s">
        <v>2485</v>
      </c>
      <c r="E851" t="s">
        <v>37</v>
      </c>
      <c r="F851" t="s">
        <v>184</v>
      </c>
      <c r="G851" t="s">
        <v>825</v>
      </c>
      <c r="H851" t="s">
        <v>2729</v>
      </c>
      <c r="I851" t="s">
        <v>2730</v>
      </c>
      <c r="J851" t="s">
        <v>186</v>
      </c>
      <c r="K851" t="s">
        <v>245</v>
      </c>
      <c r="L851" t="s">
        <v>277</v>
      </c>
      <c r="M851" t="s">
        <v>651</v>
      </c>
      <c r="N851" t="s">
        <v>2486</v>
      </c>
      <c r="O851">
        <v>10033929</v>
      </c>
      <c r="P851" s="120">
        <v>42864</v>
      </c>
      <c r="Q851" s="120">
        <v>42866</v>
      </c>
      <c r="R851" s="120">
        <v>42986</v>
      </c>
      <c r="S851" t="s">
        <v>249</v>
      </c>
      <c r="T851">
        <v>4</v>
      </c>
      <c r="U851" t="s">
        <v>129</v>
      </c>
      <c r="V851">
        <v>4</v>
      </c>
      <c r="W851">
        <v>4</v>
      </c>
      <c r="X851">
        <v>4</v>
      </c>
      <c r="Y851">
        <v>4</v>
      </c>
      <c r="Z851" t="s">
        <v>2730</v>
      </c>
      <c r="AA851" t="s">
        <v>2730</v>
      </c>
      <c r="AB851" t="s">
        <v>2733</v>
      </c>
      <c r="AC851" t="s">
        <v>2730</v>
      </c>
      <c r="AD851" t="s">
        <v>2730</v>
      </c>
      <c r="AE851" s="120" t="s">
        <v>2730</v>
      </c>
      <c r="AF851" t="s">
        <v>2730</v>
      </c>
      <c r="AG851" s="120" t="s">
        <v>2730</v>
      </c>
      <c r="AH851" t="s">
        <v>2730</v>
      </c>
    </row>
    <row r="852" spans="1:34">
      <c r="A852" s="149" t="str">
        <f>HYPERLINK("http://www.ofsted.gov.uk/inspection-reports/find-inspection-report/provider/ELS/143531 ","Ofsted School Webpage")</f>
        <v>Ofsted School Webpage</v>
      </c>
      <c r="B852">
        <v>143531</v>
      </c>
      <c r="C852">
        <v>8956003</v>
      </c>
      <c r="D852" t="s">
        <v>2487</v>
      </c>
      <c r="E852" t="s">
        <v>38</v>
      </c>
      <c r="F852" t="s">
        <v>184</v>
      </c>
      <c r="G852" t="s">
        <v>184</v>
      </c>
      <c r="H852" t="s">
        <v>2729</v>
      </c>
      <c r="I852" t="s">
        <v>2730</v>
      </c>
      <c r="J852" t="s">
        <v>186</v>
      </c>
      <c r="K852" t="s">
        <v>205</v>
      </c>
      <c r="L852" t="s">
        <v>205</v>
      </c>
      <c r="M852" t="s">
        <v>850</v>
      </c>
      <c r="N852" t="s">
        <v>2488</v>
      </c>
      <c r="O852" t="s">
        <v>2730</v>
      </c>
      <c r="P852" s="120" t="s">
        <v>2730</v>
      </c>
      <c r="Q852" s="120" t="s">
        <v>2730</v>
      </c>
      <c r="R852" s="120" t="s">
        <v>2730</v>
      </c>
      <c r="S852" t="s">
        <v>2730</v>
      </c>
      <c r="T852" t="s">
        <v>2730</v>
      </c>
      <c r="U852" t="s">
        <v>2730</v>
      </c>
      <c r="V852" t="s">
        <v>2730</v>
      </c>
      <c r="W852" t="s">
        <v>2730</v>
      </c>
      <c r="X852" t="s">
        <v>2730</v>
      </c>
      <c r="Y852" t="s">
        <v>2730</v>
      </c>
      <c r="Z852" t="s">
        <v>2730</v>
      </c>
      <c r="AA852" t="s">
        <v>2730</v>
      </c>
      <c r="AB852" t="s">
        <v>2730</v>
      </c>
      <c r="AC852" t="s">
        <v>2730</v>
      </c>
      <c r="AD852" t="s">
        <v>2730</v>
      </c>
      <c r="AE852" t="s">
        <v>2730</v>
      </c>
      <c r="AF852" t="s">
        <v>2730</v>
      </c>
      <c r="AG852" t="s">
        <v>2730</v>
      </c>
      <c r="AH852" t="s">
        <v>2730</v>
      </c>
    </row>
    <row r="853" spans="1:34">
      <c r="A853" s="149" t="str">
        <f>HYPERLINK("http://www.ofsted.gov.uk/inspection-reports/find-inspection-report/provider/ELS/143532 ","Ofsted School Webpage")</f>
        <v>Ofsted School Webpage</v>
      </c>
      <c r="B853">
        <v>143532</v>
      </c>
      <c r="C853">
        <v>3946000</v>
      </c>
      <c r="D853" t="s">
        <v>2489</v>
      </c>
      <c r="E853" t="s">
        <v>38</v>
      </c>
      <c r="F853" t="s">
        <v>184</v>
      </c>
      <c r="G853" t="s">
        <v>184</v>
      </c>
      <c r="H853" t="s">
        <v>2729</v>
      </c>
      <c r="I853" t="s">
        <v>2730</v>
      </c>
      <c r="J853" t="s">
        <v>186</v>
      </c>
      <c r="K853" t="s">
        <v>245</v>
      </c>
      <c r="L853" t="s">
        <v>277</v>
      </c>
      <c r="M853" t="s">
        <v>1311</v>
      </c>
      <c r="N853" t="s">
        <v>2490</v>
      </c>
      <c r="O853" t="s">
        <v>2730</v>
      </c>
      <c r="P853" s="120" t="s">
        <v>2730</v>
      </c>
      <c r="Q853" s="120" t="s">
        <v>2730</v>
      </c>
      <c r="R853" s="120" t="s">
        <v>2730</v>
      </c>
      <c r="S853" t="s">
        <v>2730</v>
      </c>
      <c r="T853" t="s">
        <v>2730</v>
      </c>
      <c r="U853" t="s">
        <v>2730</v>
      </c>
      <c r="V853" t="s">
        <v>2730</v>
      </c>
      <c r="W853" t="s">
        <v>2730</v>
      </c>
      <c r="X853" t="s">
        <v>2730</v>
      </c>
      <c r="Y853" t="s">
        <v>2730</v>
      </c>
      <c r="Z853" t="s">
        <v>2730</v>
      </c>
      <c r="AA853" t="s">
        <v>2730</v>
      </c>
      <c r="AB853" t="s">
        <v>2730</v>
      </c>
      <c r="AC853" t="s">
        <v>2730</v>
      </c>
      <c r="AD853" t="s">
        <v>2730</v>
      </c>
      <c r="AE853" s="120" t="s">
        <v>2730</v>
      </c>
      <c r="AF853" t="s">
        <v>2730</v>
      </c>
      <c r="AG853" s="120" t="s">
        <v>2730</v>
      </c>
      <c r="AH853" t="s">
        <v>2730</v>
      </c>
    </row>
    <row r="854" spans="1:34">
      <c r="A854" s="149" t="str">
        <f>HYPERLINK("http://www.ofsted.gov.uk/inspection-reports/find-inspection-report/provider/ELS/143539 ","Ofsted School Webpage")</f>
        <v>Ofsted School Webpage</v>
      </c>
      <c r="B854">
        <v>143539</v>
      </c>
      <c r="C854">
        <v>8786067</v>
      </c>
      <c r="D854" t="s">
        <v>496</v>
      </c>
      <c r="E854" t="s">
        <v>38</v>
      </c>
      <c r="F854" t="s">
        <v>184</v>
      </c>
      <c r="G854" t="s">
        <v>184</v>
      </c>
      <c r="H854" t="s">
        <v>2729</v>
      </c>
      <c r="I854" t="s">
        <v>2730</v>
      </c>
      <c r="J854" t="s">
        <v>186</v>
      </c>
      <c r="K854" t="s">
        <v>225</v>
      </c>
      <c r="L854" t="s">
        <v>225</v>
      </c>
      <c r="M854" t="s">
        <v>367</v>
      </c>
      <c r="N854" t="s">
        <v>497</v>
      </c>
      <c r="O854">
        <v>10033897</v>
      </c>
      <c r="P854" s="120">
        <v>42997</v>
      </c>
      <c r="Q854" s="120">
        <v>42999</v>
      </c>
      <c r="R854" s="120">
        <v>43045</v>
      </c>
      <c r="S854" t="s">
        <v>249</v>
      </c>
      <c r="T854">
        <v>4</v>
      </c>
      <c r="U854" t="s">
        <v>129</v>
      </c>
      <c r="V854">
        <v>4</v>
      </c>
      <c r="W854">
        <v>3</v>
      </c>
      <c r="X854">
        <v>3</v>
      </c>
      <c r="Y854">
        <v>3</v>
      </c>
      <c r="Z854" t="s">
        <v>2730</v>
      </c>
      <c r="AA854" t="s">
        <v>2730</v>
      </c>
      <c r="AB854" t="s">
        <v>2733</v>
      </c>
      <c r="AC854" t="s">
        <v>2730</v>
      </c>
      <c r="AD854" t="s">
        <v>2730</v>
      </c>
      <c r="AE854" t="s">
        <v>2730</v>
      </c>
      <c r="AF854" t="s">
        <v>2730</v>
      </c>
      <c r="AG854" t="s">
        <v>2730</v>
      </c>
      <c r="AH854" t="s">
        <v>2730</v>
      </c>
    </row>
    <row r="855" spans="1:34">
      <c r="A855" s="149" t="str">
        <f>HYPERLINK("http://www.ofsted.gov.uk/inspection-reports/find-inspection-report/provider/ELS/144375 ","Ofsted School Webpage")</f>
        <v>Ofsted School Webpage</v>
      </c>
      <c r="B855">
        <v>144375</v>
      </c>
      <c r="C855">
        <v>8886070</v>
      </c>
      <c r="D855" t="s">
        <v>2700</v>
      </c>
      <c r="E855" t="s">
        <v>38</v>
      </c>
      <c r="F855" t="s">
        <v>184</v>
      </c>
      <c r="G855" t="s">
        <v>184</v>
      </c>
      <c r="H855" t="s">
        <v>2729</v>
      </c>
      <c r="I855" t="s">
        <v>2730</v>
      </c>
      <c r="J855" t="s">
        <v>186</v>
      </c>
      <c r="K855" t="s">
        <v>205</v>
      </c>
      <c r="L855" t="s">
        <v>205</v>
      </c>
      <c r="M855" t="s">
        <v>206</v>
      </c>
      <c r="N855" t="s">
        <v>2701</v>
      </c>
      <c r="O855" t="s">
        <v>2730</v>
      </c>
      <c r="P855" s="120" t="s">
        <v>2730</v>
      </c>
      <c r="Q855" s="120" t="s">
        <v>2730</v>
      </c>
      <c r="R855" s="120" t="s">
        <v>2730</v>
      </c>
      <c r="S855" t="s">
        <v>2730</v>
      </c>
      <c r="T855" t="s">
        <v>2730</v>
      </c>
      <c r="U855" t="s">
        <v>2730</v>
      </c>
      <c r="V855" t="s">
        <v>2730</v>
      </c>
      <c r="W855" t="s">
        <v>2730</v>
      </c>
      <c r="X855" t="s">
        <v>2730</v>
      </c>
      <c r="Y855" t="s">
        <v>2730</v>
      </c>
      <c r="Z855" t="s">
        <v>2730</v>
      </c>
      <c r="AA855" t="s">
        <v>2730</v>
      </c>
      <c r="AB855" t="s">
        <v>2730</v>
      </c>
      <c r="AC855" t="s">
        <v>2730</v>
      </c>
      <c r="AD855" t="s">
        <v>2730</v>
      </c>
      <c r="AE855" t="s">
        <v>2730</v>
      </c>
      <c r="AF855" t="s">
        <v>2730</v>
      </c>
      <c r="AG855" t="s">
        <v>2730</v>
      </c>
      <c r="AH855" t="s">
        <v>2730</v>
      </c>
    </row>
    <row r="856" spans="1:34">
      <c r="A856" s="149" t="str">
        <f>HYPERLINK("http://www.ofsted.gov.uk/inspection-reports/find-inspection-report/provider/ELS/144377 ","Ofsted School Webpage")</f>
        <v>Ofsted School Webpage</v>
      </c>
      <c r="B856">
        <v>144377</v>
      </c>
      <c r="C856">
        <v>9286003</v>
      </c>
      <c r="D856" t="s">
        <v>2702</v>
      </c>
      <c r="E856" t="s">
        <v>37</v>
      </c>
      <c r="F856" t="s">
        <v>184</v>
      </c>
      <c r="G856" t="s">
        <v>184</v>
      </c>
      <c r="H856" t="s">
        <v>2729</v>
      </c>
      <c r="I856" t="s">
        <v>2730</v>
      </c>
      <c r="J856" t="s">
        <v>186</v>
      </c>
      <c r="K856" t="s">
        <v>214</v>
      </c>
      <c r="L856" t="s">
        <v>214</v>
      </c>
      <c r="M856" t="s">
        <v>215</v>
      </c>
      <c r="N856" t="s">
        <v>2703</v>
      </c>
      <c r="O856" t="s">
        <v>2730</v>
      </c>
      <c r="P856" s="120" t="s">
        <v>2730</v>
      </c>
      <c r="Q856" s="120" t="s">
        <v>2730</v>
      </c>
      <c r="R856" s="120" t="s">
        <v>2730</v>
      </c>
      <c r="S856" t="s">
        <v>2730</v>
      </c>
      <c r="T856" t="s">
        <v>2730</v>
      </c>
      <c r="U856" t="s">
        <v>2730</v>
      </c>
      <c r="V856" t="s">
        <v>2730</v>
      </c>
      <c r="W856" t="s">
        <v>2730</v>
      </c>
      <c r="X856" t="s">
        <v>2730</v>
      </c>
      <c r="Y856" t="s">
        <v>2730</v>
      </c>
      <c r="Z856" t="s">
        <v>2730</v>
      </c>
      <c r="AA856" t="s">
        <v>2730</v>
      </c>
      <c r="AB856" t="s">
        <v>2730</v>
      </c>
      <c r="AC856" t="s">
        <v>2730</v>
      </c>
      <c r="AD856" t="s">
        <v>2730</v>
      </c>
      <c r="AE856" t="s">
        <v>2730</v>
      </c>
      <c r="AF856" t="s">
        <v>2730</v>
      </c>
      <c r="AG856" t="s">
        <v>2730</v>
      </c>
      <c r="AH856" t="s">
        <v>2730</v>
      </c>
    </row>
    <row r="857" spans="1:34">
      <c r="A857" s="149" t="str">
        <f>HYPERLINK("http://www.ofsted.gov.uk/inspection-reports/find-inspection-report/provider/ELS/144378 ","Ofsted School Webpage")</f>
        <v>Ofsted School Webpage</v>
      </c>
      <c r="B857">
        <v>144378</v>
      </c>
      <c r="C857">
        <v>8816067</v>
      </c>
      <c r="D857" t="s">
        <v>2704</v>
      </c>
      <c r="E857" t="s">
        <v>38</v>
      </c>
      <c r="F857" t="s">
        <v>184</v>
      </c>
      <c r="G857" t="s">
        <v>184</v>
      </c>
      <c r="H857" t="s">
        <v>2729</v>
      </c>
      <c r="I857" t="s">
        <v>2730</v>
      </c>
      <c r="J857" t="s">
        <v>186</v>
      </c>
      <c r="K857" t="s">
        <v>220</v>
      </c>
      <c r="L857" t="s">
        <v>220</v>
      </c>
      <c r="M857" t="s">
        <v>323</v>
      </c>
      <c r="N857" t="s">
        <v>2705</v>
      </c>
      <c r="O857" t="s">
        <v>2730</v>
      </c>
      <c r="P857" s="120" t="s">
        <v>2730</v>
      </c>
      <c r="Q857" s="120" t="s">
        <v>2730</v>
      </c>
      <c r="R857" s="120" t="s">
        <v>2730</v>
      </c>
      <c r="S857" t="s">
        <v>2730</v>
      </c>
      <c r="T857" t="s">
        <v>2730</v>
      </c>
      <c r="U857" t="s">
        <v>2730</v>
      </c>
      <c r="V857" t="s">
        <v>2730</v>
      </c>
      <c r="W857" t="s">
        <v>2730</v>
      </c>
      <c r="X857" t="s">
        <v>2730</v>
      </c>
      <c r="Y857" t="s">
        <v>2730</v>
      </c>
      <c r="Z857" t="s">
        <v>2730</v>
      </c>
      <c r="AA857" t="s">
        <v>2730</v>
      </c>
      <c r="AB857" t="s">
        <v>2730</v>
      </c>
      <c r="AC857" t="s">
        <v>2730</v>
      </c>
      <c r="AD857" t="s">
        <v>2730</v>
      </c>
      <c r="AE857" t="s">
        <v>2730</v>
      </c>
      <c r="AF857" t="s">
        <v>2730</v>
      </c>
      <c r="AG857" t="s">
        <v>2730</v>
      </c>
      <c r="AH857" t="s">
        <v>2730</v>
      </c>
    </row>
    <row r="858" spans="1:34">
      <c r="A858" s="149" t="str">
        <f>HYPERLINK("http://www.ofsted.gov.uk/inspection-reports/find-inspection-report/provider/ELS/144404 ","Ofsted School Webpage")</f>
        <v>Ofsted School Webpage</v>
      </c>
      <c r="B858">
        <v>144404</v>
      </c>
      <c r="C858">
        <v>8946009</v>
      </c>
      <c r="D858" t="s">
        <v>2483</v>
      </c>
      <c r="E858" t="s">
        <v>37</v>
      </c>
      <c r="F858" t="s">
        <v>184</v>
      </c>
      <c r="G858" t="s">
        <v>184</v>
      </c>
      <c r="H858" t="s">
        <v>2729</v>
      </c>
      <c r="I858" t="s">
        <v>2730</v>
      </c>
      <c r="J858" t="s">
        <v>186</v>
      </c>
      <c r="K858" t="s">
        <v>193</v>
      </c>
      <c r="L858" t="s">
        <v>193</v>
      </c>
      <c r="M858" t="s">
        <v>1106</v>
      </c>
      <c r="N858" t="s">
        <v>2484</v>
      </c>
      <c r="O858" t="s">
        <v>2730</v>
      </c>
      <c r="P858" s="120" t="s">
        <v>2730</v>
      </c>
      <c r="Q858" s="120" t="s">
        <v>2730</v>
      </c>
      <c r="R858" s="120" t="s">
        <v>2730</v>
      </c>
      <c r="S858" t="s">
        <v>2730</v>
      </c>
      <c r="T858" t="s">
        <v>2730</v>
      </c>
      <c r="U858" t="s">
        <v>2730</v>
      </c>
      <c r="V858" t="s">
        <v>2730</v>
      </c>
      <c r="W858" t="s">
        <v>2730</v>
      </c>
      <c r="X858" t="s">
        <v>2730</v>
      </c>
      <c r="Y858" t="s">
        <v>2730</v>
      </c>
      <c r="Z858" t="s">
        <v>2730</v>
      </c>
      <c r="AA858" t="s">
        <v>2730</v>
      </c>
      <c r="AB858" t="s">
        <v>2730</v>
      </c>
      <c r="AC858" t="s">
        <v>2730</v>
      </c>
      <c r="AD858" t="s">
        <v>2730</v>
      </c>
      <c r="AE858" t="s">
        <v>2730</v>
      </c>
      <c r="AF858" t="s">
        <v>2730</v>
      </c>
      <c r="AG858" t="s">
        <v>2730</v>
      </c>
      <c r="AH858" t="s">
        <v>2730</v>
      </c>
    </row>
    <row r="859" spans="1:34">
      <c r="A859" s="149" t="str">
        <f>HYPERLINK("http://www.ofsted.gov.uk/inspection-reports/find-inspection-report/provider/ELS/144475 ","Ofsted School Webpage")</f>
        <v>Ofsted School Webpage</v>
      </c>
      <c r="B859">
        <v>144475</v>
      </c>
      <c r="C859">
        <v>8866144</v>
      </c>
      <c r="D859" t="s">
        <v>2676</v>
      </c>
      <c r="E859" t="s">
        <v>38</v>
      </c>
      <c r="F859" t="s">
        <v>184</v>
      </c>
      <c r="G859" t="s">
        <v>184</v>
      </c>
      <c r="H859" t="s">
        <v>2729</v>
      </c>
      <c r="I859" t="s">
        <v>2730</v>
      </c>
      <c r="J859" t="s">
        <v>186</v>
      </c>
      <c r="K859" t="s">
        <v>181</v>
      </c>
      <c r="L859" t="s">
        <v>181</v>
      </c>
      <c r="M859" t="s">
        <v>182</v>
      </c>
      <c r="N859" t="s">
        <v>2677</v>
      </c>
      <c r="O859" t="s">
        <v>2730</v>
      </c>
      <c r="P859" s="120" t="s">
        <v>2730</v>
      </c>
      <c r="Q859" s="120" t="s">
        <v>2730</v>
      </c>
      <c r="R859" s="120" t="s">
        <v>2730</v>
      </c>
      <c r="S859" t="s">
        <v>2730</v>
      </c>
      <c r="T859" t="s">
        <v>2730</v>
      </c>
      <c r="U859" t="s">
        <v>2730</v>
      </c>
      <c r="V859" t="s">
        <v>2730</v>
      </c>
      <c r="W859" t="s">
        <v>2730</v>
      </c>
      <c r="X859" t="s">
        <v>2730</v>
      </c>
      <c r="Y859" t="s">
        <v>2730</v>
      </c>
      <c r="Z859" t="s">
        <v>2730</v>
      </c>
      <c r="AA859" t="s">
        <v>2730</v>
      </c>
      <c r="AB859" t="s">
        <v>2730</v>
      </c>
      <c r="AC859" t="s">
        <v>2730</v>
      </c>
      <c r="AD859" t="s">
        <v>2730</v>
      </c>
      <c r="AE859" s="120" t="s">
        <v>2730</v>
      </c>
      <c r="AF859" t="s">
        <v>2730</v>
      </c>
      <c r="AG859" s="120" t="s">
        <v>2730</v>
      </c>
      <c r="AH859" t="s">
        <v>2730</v>
      </c>
    </row>
    <row r="860" spans="1:34">
      <c r="A860" s="149" t="str">
        <f>HYPERLINK("http://www.ofsted.gov.uk/inspection-reports/find-inspection-report/provider/ELS/144514 ","Ofsted School Webpage")</f>
        <v>Ofsted School Webpage</v>
      </c>
      <c r="B860">
        <v>144514</v>
      </c>
      <c r="C860">
        <v>8656046</v>
      </c>
      <c r="D860" t="s">
        <v>2678</v>
      </c>
      <c r="E860" t="s">
        <v>37</v>
      </c>
      <c r="F860" t="s">
        <v>184</v>
      </c>
      <c r="G860" t="s">
        <v>184</v>
      </c>
      <c r="H860" t="s">
        <v>2729</v>
      </c>
      <c r="I860" t="s">
        <v>2730</v>
      </c>
      <c r="J860" t="s">
        <v>186</v>
      </c>
      <c r="K860" t="s">
        <v>225</v>
      </c>
      <c r="L860" t="s">
        <v>225</v>
      </c>
      <c r="M860" t="s">
        <v>226</v>
      </c>
      <c r="N860" t="s">
        <v>2679</v>
      </c>
      <c r="O860" t="s">
        <v>2730</v>
      </c>
      <c r="P860" s="120" t="s">
        <v>2730</v>
      </c>
      <c r="Q860" s="120" t="s">
        <v>2730</v>
      </c>
      <c r="R860" s="120" t="s">
        <v>2730</v>
      </c>
      <c r="S860" t="s">
        <v>2730</v>
      </c>
      <c r="T860" t="s">
        <v>2730</v>
      </c>
      <c r="U860" t="s">
        <v>2730</v>
      </c>
      <c r="V860" t="s">
        <v>2730</v>
      </c>
      <c r="W860" t="s">
        <v>2730</v>
      </c>
      <c r="X860" t="s">
        <v>2730</v>
      </c>
      <c r="Y860" t="s">
        <v>2730</v>
      </c>
      <c r="Z860" t="s">
        <v>2730</v>
      </c>
      <c r="AA860" t="s">
        <v>2730</v>
      </c>
      <c r="AB860" t="s">
        <v>2730</v>
      </c>
      <c r="AC860" t="s">
        <v>2730</v>
      </c>
      <c r="AD860" t="s">
        <v>2730</v>
      </c>
      <c r="AE860" t="s">
        <v>2730</v>
      </c>
      <c r="AF860" t="s">
        <v>2730</v>
      </c>
      <c r="AG860" t="s">
        <v>2730</v>
      </c>
      <c r="AH860" t="s">
        <v>2730</v>
      </c>
    </row>
    <row r="861" spans="1:34">
      <c r="A861" s="149" t="str">
        <f>HYPERLINK("http://www.ofsted.gov.uk/inspection-reports/find-inspection-report/provider/ELS/144516 ","Ofsted School Webpage")</f>
        <v>Ofsted School Webpage</v>
      </c>
      <c r="B861">
        <v>144516</v>
      </c>
      <c r="C861">
        <v>2076013</v>
      </c>
      <c r="D861" t="s">
        <v>2680</v>
      </c>
      <c r="E861" t="s">
        <v>37</v>
      </c>
      <c r="F861" t="s">
        <v>184</v>
      </c>
      <c r="G861" t="s">
        <v>184</v>
      </c>
      <c r="H861" t="s">
        <v>2729</v>
      </c>
      <c r="I861" t="s">
        <v>2730</v>
      </c>
      <c r="J861" t="s">
        <v>186</v>
      </c>
      <c r="K861" t="s">
        <v>232</v>
      </c>
      <c r="L861" t="s">
        <v>232</v>
      </c>
      <c r="M861" t="s">
        <v>294</v>
      </c>
      <c r="N861" t="s">
        <v>2681</v>
      </c>
      <c r="O861" t="s">
        <v>2730</v>
      </c>
      <c r="P861" s="120" t="s">
        <v>2730</v>
      </c>
      <c r="Q861" s="120" t="s">
        <v>2730</v>
      </c>
      <c r="R861" s="120" t="s">
        <v>2730</v>
      </c>
      <c r="S861" t="s">
        <v>2730</v>
      </c>
      <c r="T861" t="s">
        <v>2730</v>
      </c>
      <c r="U861" t="s">
        <v>2730</v>
      </c>
      <c r="V861" t="s">
        <v>2730</v>
      </c>
      <c r="W861" t="s">
        <v>2730</v>
      </c>
      <c r="X861" t="s">
        <v>2730</v>
      </c>
      <c r="Y861" t="s">
        <v>2730</v>
      </c>
      <c r="Z861" t="s">
        <v>2730</v>
      </c>
      <c r="AA861" t="s">
        <v>2730</v>
      </c>
      <c r="AB861" t="s">
        <v>2730</v>
      </c>
      <c r="AC861" t="s">
        <v>2730</v>
      </c>
      <c r="AD861" t="s">
        <v>2730</v>
      </c>
      <c r="AE861" t="s">
        <v>2730</v>
      </c>
      <c r="AF861" t="s">
        <v>2730</v>
      </c>
      <c r="AG861" t="s">
        <v>2730</v>
      </c>
      <c r="AH861" t="s">
        <v>2730</v>
      </c>
    </row>
    <row r="862" spans="1:34">
      <c r="A862" s="149" t="str">
        <f>HYPERLINK("http://www.ofsted.gov.uk/inspection-reports/find-inspection-report/provider/ELS/145128 ","Ofsted School Webpage")</f>
        <v>Ofsted School Webpage</v>
      </c>
      <c r="B862">
        <v>145128</v>
      </c>
      <c r="C862">
        <v>8846017</v>
      </c>
      <c r="D862" t="s">
        <v>2530</v>
      </c>
      <c r="E862" t="s">
        <v>38</v>
      </c>
      <c r="F862" t="s">
        <v>184</v>
      </c>
      <c r="G862" t="s">
        <v>184</v>
      </c>
      <c r="H862" t="s">
        <v>2729</v>
      </c>
      <c r="I862" t="s">
        <v>2730</v>
      </c>
      <c r="J862" t="s">
        <v>186</v>
      </c>
      <c r="K862" t="s">
        <v>193</v>
      </c>
      <c r="L862" t="s">
        <v>193</v>
      </c>
      <c r="M862" t="s">
        <v>1077</v>
      </c>
      <c r="N862" t="s">
        <v>2531</v>
      </c>
      <c r="O862" t="s">
        <v>2730</v>
      </c>
      <c r="P862" s="120" t="s">
        <v>2730</v>
      </c>
      <c r="Q862" s="120" t="s">
        <v>2730</v>
      </c>
      <c r="R862" s="120" t="s">
        <v>2730</v>
      </c>
      <c r="S862" t="s">
        <v>2730</v>
      </c>
      <c r="T862" t="s">
        <v>2730</v>
      </c>
      <c r="U862" t="s">
        <v>2730</v>
      </c>
      <c r="V862" t="s">
        <v>2730</v>
      </c>
      <c r="W862" t="s">
        <v>2730</v>
      </c>
      <c r="X862" t="s">
        <v>2730</v>
      </c>
      <c r="Y862" t="s">
        <v>2730</v>
      </c>
      <c r="Z862" t="s">
        <v>2730</v>
      </c>
      <c r="AA862" t="s">
        <v>2730</v>
      </c>
      <c r="AB862" t="s">
        <v>2730</v>
      </c>
      <c r="AC862" t="s">
        <v>2730</v>
      </c>
      <c r="AD862" t="s">
        <v>2730</v>
      </c>
      <c r="AE862" t="s">
        <v>2730</v>
      </c>
      <c r="AF862" t="s">
        <v>2730</v>
      </c>
      <c r="AG862" t="s">
        <v>2730</v>
      </c>
      <c r="AH862" t="s">
        <v>2730</v>
      </c>
    </row>
    <row r="863" spans="1:34">
      <c r="A863" s="149" t="str">
        <f>HYPERLINK("http://www.ofsted.gov.uk/inspection-reports/find-inspection-report/provider/ELS/145129 ","Ofsted School Webpage")</f>
        <v>Ofsted School Webpage</v>
      </c>
      <c r="B863">
        <v>145129</v>
      </c>
      <c r="C863">
        <v>8926024</v>
      </c>
      <c r="D863" t="s">
        <v>2532</v>
      </c>
      <c r="E863" t="s">
        <v>37</v>
      </c>
      <c r="F863" t="s">
        <v>184</v>
      </c>
      <c r="G863" t="s">
        <v>184</v>
      </c>
      <c r="H863" t="s">
        <v>2729</v>
      </c>
      <c r="I863" t="s">
        <v>2730</v>
      </c>
      <c r="J863" t="s">
        <v>186</v>
      </c>
      <c r="K863" t="s">
        <v>214</v>
      </c>
      <c r="L863" t="s">
        <v>214</v>
      </c>
      <c r="M863" t="s">
        <v>287</v>
      </c>
      <c r="N863" t="s">
        <v>2533</v>
      </c>
      <c r="O863" t="s">
        <v>2730</v>
      </c>
      <c r="P863" s="120" t="s">
        <v>2730</v>
      </c>
      <c r="Q863" s="120" t="s">
        <v>2730</v>
      </c>
      <c r="R863" s="120" t="s">
        <v>2730</v>
      </c>
      <c r="S863" t="s">
        <v>2730</v>
      </c>
      <c r="T863" t="s">
        <v>2730</v>
      </c>
      <c r="U863" t="s">
        <v>2730</v>
      </c>
      <c r="V863" t="s">
        <v>2730</v>
      </c>
      <c r="W863" t="s">
        <v>2730</v>
      </c>
      <c r="X863" t="s">
        <v>2730</v>
      </c>
      <c r="Y863" t="s">
        <v>2730</v>
      </c>
      <c r="Z863" t="s">
        <v>2730</v>
      </c>
      <c r="AA863" t="s">
        <v>2730</v>
      </c>
      <c r="AB863" t="s">
        <v>2730</v>
      </c>
      <c r="AC863" t="s">
        <v>2730</v>
      </c>
      <c r="AD863" t="s">
        <v>2730</v>
      </c>
      <c r="AE863" t="s">
        <v>2730</v>
      </c>
      <c r="AF863" t="s">
        <v>2730</v>
      </c>
      <c r="AG863" t="s">
        <v>2730</v>
      </c>
      <c r="AH863" t="s">
        <v>2730</v>
      </c>
    </row>
    <row r="864" spans="1:34">
      <c r="A864" s="149" t="str">
        <f>HYPERLINK("http://www.ofsted.gov.uk/inspection-reports/find-inspection-report/provider/ELS/145159 ","Ofsted School Webpage")</f>
        <v>Ofsted School Webpage</v>
      </c>
      <c r="B864">
        <v>145159</v>
      </c>
      <c r="C864">
        <v>9266017</v>
      </c>
      <c r="D864" t="s">
        <v>2534</v>
      </c>
      <c r="E864" t="s">
        <v>38</v>
      </c>
      <c r="F864" t="s">
        <v>184</v>
      </c>
      <c r="G864" t="s">
        <v>184</v>
      </c>
      <c r="H864" t="s">
        <v>2729</v>
      </c>
      <c r="I864" t="s">
        <v>2730</v>
      </c>
      <c r="J864" t="s">
        <v>186</v>
      </c>
      <c r="K864" t="s">
        <v>220</v>
      </c>
      <c r="L864" t="s">
        <v>220</v>
      </c>
      <c r="M864" t="s">
        <v>445</v>
      </c>
      <c r="N864" t="s">
        <v>2535</v>
      </c>
      <c r="O864" t="s">
        <v>2730</v>
      </c>
      <c r="P864" s="120" t="s">
        <v>2730</v>
      </c>
      <c r="Q864" s="120" t="s">
        <v>2730</v>
      </c>
      <c r="R864" s="120" t="s">
        <v>2730</v>
      </c>
      <c r="S864" t="s">
        <v>2730</v>
      </c>
      <c r="T864" t="s">
        <v>2730</v>
      </c>
      <c r="U864" t="s">
        <v>2730</v>
      </c>
      <c r="V864" t="s">
        <v>2730</v>
      </c>
      <c r="W864" t="s">
        <v>2730</v>
      </c>
      <c r="X864" t="s">
        <v>2730</v>
      </c>
      <c r="Y864" t="s">
        <v>2730</v>
      </c>
      <c r="Z864" t="s">
        <v>2730</v>
      </c>
      <c r="AA864" t="s">
        <v>2730</v>
      </c>
      <c r="AB864" t="s">
        <v>2730</v>
      </c>
      <c r="AC864" t="s">
        <v>2730</v>
      </c>
      <c r="AD864" t="s">
        <v>2730</v>
      </c>
      <c r="AE864" t="s">
        <v>2730</v>
      </c>
      <c r="AF864" t="s">
        <v>2730</v>
      </c>
      <c r="AG864" t="s">
        <v>2730</v>
      </c>
      <c r="AH864" t="s">
        <v>2730</v>
      </c>
    </row>
    <row r="865" spans="1:34">
      <c r="A865" s="149" t="str">
        <f>HYPERLINK("http://www.ofsted.gov.uk/inspection-reports/find-inspection-report/provider/ELS/145160 ","Ofsted School Webpage")</f>
        <v>Ofsted School Webpage</v>
      </c>
      <c r="B865">
        <v>145160</v>
      </c>
      <c r="C865">
        <v>3406005</v>
      </c>
      <c r="D865" t="s">
        <v>2706</v>
      </c>
      <c r="E865" t="s">
        <v>37</v>
      </c>
      <c r="F865" t="s">
        <v>184</v>
      </c>
      <c r="G865" t="s">
        <v>184</v>
      </c>
      <c r="H865" t="s">
        <v>2729</v>
      </c>
      <c r="I865" t="s">
        <v>2730</v>
      </c>
      <c r="J865" t="s">
        <v>186</v>
      </c>
      <c r="K865" t="s">
        <v>205</v>
      </c>
      <c r="L865" t="s">
        <v>205</v>
      </c>
      <c r="M865" t="s">
        <v>905</v>
      </c>
      <c r="N865" t="s">
        <v>2707</v>
      </c>
      <c r="O865" t="s">
        <v>2730</v>
      </c>
      <c r="P865" s="120" t="s">
        <v>2730</v>
      </c>
      <c r="Q865" s="120" t="s">
        <v>2730</v>
      </c>
      <c r="R865" s="120" t="s">
        <v>2730</v>
      </c>
      <c r="S865" t="s">
        <v>2730</v>
      </c>
      <c r="T865" t="s">
        <v>2730</v>
      </c>
      <c r="U865" t="s">
        <v>2730</v>
      </c>
      <c r="V865" t="s">
        <v>2730</v>
      </c>
      <c r="W865" t="s">
        <v>2730</v>
      </c>
      <c r="X865" t="s">
        <v>2730</v>
      </c>
      <c r="Y865" t="s">
        <v>2730</v>
      </c>
      <c r="Z865" t="s">
        <v>2730</v>
      </c>
      <c r="AA865" t="s">
        <v>2730</v>
      </c>
      <c r="AB865" t="s">
        <v>2730</v>
      </c>
      <c r="AC865" t="s">
        <v>2730</v>
      </c>
      <c r="AD865" t="s">
        <v>2730</v>
      </c>
      <c r="AE865" t="s">
        <v>2730</v>
      </c>
      <c r="AF865" t="s">
        <v>2730</v>
      </c>
      <c r="AG865" t="s">
        <v>2730</v>
      </c>
      <c r="AH865" t="s">
        <v>2730</v>
      </c>
    </row>
    <row r="866" spans="1:34">
      <c r="A866" s="149" t="str">
        <f>HYPERLINK("http://www.ofsted.gov.uk/inspection-reports/find-inspection-report/provider/ELS/145162 ","Ofsted School Webpage")</f>
        <v>Ofsted School Webpage</v>
      </c>
      <c r="B866">
        <v>145162</v>
      </c>
      <c r="C866">
        <v>8816070</v>
      </c>
      <c r="D866" t="s">
        <v>2739</v>
      </c>
      <c r="E866" t="s">
        <v>37</v>
      </c>
      <c r="F866" t="s">
        <v>184</v>
      </c>
      <c r="G866" t="s">
        <v>212</v>
      </c>
      <c r="H866" t="s">
        <v>2729</v>
      </c>
      <c r="I866" t="s">
        <v>2730</v>
      </c>
      <c r="J866" t="s">
        <v>186</v>
      </c>
      <c r="K866" t="s">
        <v>220</v>
      </c>
      <c r="L866" t="s">
        <v>220</v>
      </c>
      <c r="M866" t="s">
        <v>323</v>
      </c>
      <c r="N866" t="s">
        <v>2708</v>
      </c>
      <c r="O866" t="s">
        <v>2730</v>
      </c>
      <c r="P866" s="120" t="s">
        <v>2730</v>
      </c>
      <c r="Q866" s="120" t="s">
        <v>2730</v>
      </c>
      <c r="R866" s="120" t="s">
        <v>2730</v>
      </c>
      <c r="S866" t="s">
        <v>2730</v>
      </c>
      <c r="T866" t="s">
        <v>2730</v>
      </c>
      <c r="U866" t="s">
        <v>2730</v>
      </c>
      <c r="V866" t="s">
        <v>2730</v>
      </c>
      <c r="W866" t="s">
        <v>2730</v>
      </c>
      <c r="X866" t="s">
        <v>2730</v>
      </c>
      <c r="Y866" t="s">
        <v>2730</v>
      </c>
      <c r="Z866" t="s">
        <v>2730</v>
      </c>
      <c r="AA866" t="s">
        <v>2730</v>
      </c>
      <c r="AB866" t="s">
        <v>2730</v>
      </c>
      <c r="AC866" t="s">
        <v>2730</v>
      </c>
      <c r="AD866" t="s">
        <v>2730</v>
      </c>
      <c r="AE866" t="s">
        <v>2730</v>
      </c>
      <c r="AF866" t="s">
        <v>2730</v>
      </c>
      <c r="AG866" t="s">
        <v>2730</v>
      </c>
      <c r="AH866" t="s">
        <v>2730</v>
      </c>
    </row>
    <row r="867" spans="1:34">
      <c r="A867" s="149" t="str">
        <f>HYPERLINK("http://www.ofsted.gov.uk/inspection-reports/find-inspection-report/provider/ELS/145164 ","Ofsted School Webpage")</f>
        <v>Ofsted School Webpage</v>
      </c>
      <c r="B867">
        <v>145164</v>
      </c>
      <c r="C867">
        <v>2126003</v>
      </c>
      <c r="D867" t="s">
        <v>2709</v>
      </c>
      <c r="E867" t="s">
        <v>38</v>
      </c>
      <c r="F867" t="s">
        <v>184</v>
      </c>
      <c r="G867" t="s">
        <v>184</v>
      </c>
      <c r="H867" t="s">
        <v>2729</v>
      </c>
      <c r="I867" t="s">
        <v>2730</v>
      </c>
      <c r="J867" t="s">
        <v>186</v>
      </c>
      <c r="K867" t="s">
        <v>232</v>
      </c>
      <c r="L867" t="s">
        <v>232</v>
      </c>
      <c r="M867" t="s">
        <v>435</v>
      </c>
      <c r="N867" t="s">
        <v>1289</v>
      </c>
      <c r="O867" t="s">
        <v>2730</v>
      </c>
      <c r="P867" s="120" t="s">
        <v>2730</v>
      </c>
      <c r="Q867" s="120" t="s">
        <v>2730</v>
      </c>
      <c r="R867" s="120" t="s">
        <v>2730</v>
      </c>
      <c r="S867" t="s">
        <v>2730</v>
      </c>
      <c r="T867" t="s">
        <v>2730</v>
      </c>
      <c r="U867" t="s">
        <v>2730</v>
      </c>
      <c r="V867" t="s">
        <v>2730</v>
      </c>
      <c r="W867" t="s">
        <v>2730</v>
      </c>
      <c r="X867" t="s">
        <v>2730</v>
      </c>
      <c r="Y867" t="s">
        <v>2730</v>
      </c>
      <c r="Z867" t="s">
        <v>2730</v>
      </c>
      <c r="AA867" t="s">
        <v>2730</v>
      </c>
      <c r="AB867" t="s">
        <v>2730</v>
      </c>
      <c r="AC867" t="s">
        <v>2730</v>
      </c>
      <c r="AD867" t="s">
        <v>2730</v>
      </c>
      <c r="AE867" t="s">
        <v>2730</v>
      </c>
      <c r="AF867" t="s">
        <v>2730</v>
      </c>
      <c r="AG867" t="s">
        <v>2730</v>
      </c>
      <c r="AH867" t="s">
        <v>2730</v>
      </c>
    </row>
    <row r="868" spans="1:34">
      <c r="A868" s="149" t="str">
        <f>HYPERLINK("http://www.ofsted.gov.uk/inspection-reports/find-inspection-report/provider/ELS/102939 ","Ofsted School Webpage")</f>
        <v>Ofsted School Webpage</v>
      </c>
      <c r="B868">
        <v>102939</v>
      </c>
      <c r="C868">
        <v>3186055</v>
      </c>
      <c r="D868" t="s">
        <v>231</v>
      </c>
      <c r="E868" t="s">
        <v>37</v>
      </c>
      <c r="F868" t="s">
        <v>184</v>
      </c>
      <c r="G868" t="s">
        <v>212</v>
      </c>
      <c r="H868" t="s">
        <v>2729</v>
      </c>
      <c r="I868" t="s">
        <v>2730</v>
      </c>
      <c r="J868" t="s">
        <v>186</v>
      </c>
      <c r="K868" t="s">
        <v>232</v>
      </c>
      <c r="L868" t="s">
        <v>232</v>
      </c>
      <c r="M868" t="s">
        <v>233</v>
      </c>
      <c r="N868" t="s">
        <v>234</v>
      </c>
      <c r="O868">
        <v>10038158</v>
      </c>
      <c r="P868" s="120">
        <v>42990</v>
      </c>
      <c r="Q868" s="120">
        <v>42992</v>
      </c>
      <c r="R868" s="120">
        <v>43020</v>
      </c>
      <c r="S868" t="s">
        <v>196</v>
      </c>
      <c r="T868">
        <v>1</v>
      </c>
      <c r="U868" t="s">
        <v>128</v>
      </c>
      <c r="V868">
        <v>1</v>
      </c>
      <c r="W868">
        <v>1</v>
      </c>
      <c r="X868">
        <v>1</v>
      </c>
      <c r="Y868">
        <v>1</v>
      </c>
      <c r="Z868">
        <v>1</v>
      </c>
      <c r="AA868" t="s">
        <v>2730</v>
      </c>
      <c r="AB868" t="s">
        <v>2732</v>
      </c>
      <c r="AC868" t="s">
        <v>2730</v>
      </c>
      <c r="AD868" t="s">
        <v>2730</v>
      </c>
      <c r="AE868" t="s">
        <v>2730</v>
      </c>
      <c r="AF868" t="s">
        <v>2730</v>
      </c>
      <c r="AG868" t="s">
        <v>2730</v>
      </c>
      <c r="AH868" t="s">
        <v>2730</v>
      </c>
    </row>
    <row r="869" spans="1:34">
      <c r="A869" s="149" t="str">
        <f>HYPERLINK("http://www.ofsted.gov.uk/inspection-reports/find-inspection-report/provider/ELS/135792 ","Ofsted School Webpage")</f>
        <v>Ofsted School Webpage</v>
      </c>
      <c r="B869">
        <v>135792</v>
      </c>
      <c r="C869">
        <v>3336005</v>
      </c>
      <c r="D869" t="s">
        <v>432</v>
      </c>
      <c r="E869" t="s">
        <v>37</v>
      </c>
      <c r="F869" t="s">
        <v>184</v>
      </c>
      <c r="G869" t="s">
        <v>223</v>
      </c>
      <c r="H869" t="s">
        <v>2729</v>
      </c>
      <c r="I869" t="s">
        <v>2730</v>
      </c>
      <c r="J869" t="s">
        <v>186</v>
      </c>
      <c r="K869" t="s">
        <v>193</v>
      </c>
      <c r="L869" t="s">
        <v>193</v>
      </c>
      <c r="M869" t="s">
        <v>354</v>
      </c>
      <c r="N869" t="s">
        <v>433</v>
      </c>
      <c r="O869">
        <v>10026107</v>
      </c>
      <c r="P869" s="120">
        <v>43018</v>
      </c>
      <c r="Q869" s="120">
        <v>43020</v>
      </c>
      <c r="R869" s="120">
        <v>43056</v>
      </c>
      <c r="S869" t="s">
        <v>196</v>
      </c>
      <c r="T869">
        <v>2</v>
      </c>
      <c r="U869" t="s">
        <v>128</v>
      </c>
      <c r="V869">
        <v>2</v>
      </c>
      <c r="W869">
        <v>2</v>
      </c>
      <c r="X869">
        <v>2</v>
      </c>
      <c r="Y869">
        <v>2</v>
      </c>
      <c r="Z869" t="s">
        <v>2730</v>
      </c>
      <c r="AA869" t="s">
        <v>2730</v>
      </c>
      <c r="AB869" t="s">
        <v>2732</v>
      </c>
      <c r="AC869" t="s">
        <v>2730</v>
      </c>
      <c r="AD869" t="s">
        <v>2730</v>
      </c>
      <c r="AE869" s="120" t="s">
        <v>2730</v>
      </c>
      <c r="AF869" t="s">
        <v>2730</v>
      </c>
      <c r="AG869" s="120" t="s">
        <v>2730</v>
      </c>
      <c r="AH869" t="s">
        <v>2730</v>
      </c>
    </row>
    <row r="870" spans="1:34">
      <c r="A870" s="149" t="str">
        <f>HYPERLINK("http://www.ofsted.gov.uk/inspection-reports/find-inspection-report/provider/ELS/131355 ","Ofsted School Webpage")</f>
        <v>Ofsted School Webpage</v>
      </c>
      <c r="B870">
        <v>131355</v>
      </c>
      <c r="C870">
        <v>8886034</v>
      </c>
      <c r="D870" t="s">
        <v>706</v>
      </c>
      <c r="E870" t="s">
        <v>37</v>
      </c>
      <c r="F870" t="s">
        <v>184</v>
      </c>
      <c r="G870" t="s">
        <v>223</v>
      </c>
      <c r="H870" t="s">
        <v>2729</v>
      </c>
      <c r="I870" t="s">
        <v>2730</v>
      </c>
      <c r="J870" t="s">
        <v>186</v>
      </c>
      <c r="K870" t="s">
        <v>205</v>
      </c>
      <c r="L870" t="s">
        <v>205</v>
      </c>
      <c r="M870" t="s">
        <v>206</v>
      </c>
      <c r="N870" t="s">
        <v>707</v>
      </c>
      <c r="O870">
        <v>10034044</v>
      </c>
      <c r="P870" s="120">
        <v>42850</v>
      </c>
      <c r="Q870" s="120">
        <v>42852</v>
      </c>
      <c r="R870" s="120">
        <v>42886</v>
      </c>
      <c r="S870" t="s">
        <v>267</v>
      </c>
      <c r="T870">
        <v>3</v>
      </c>
      <c r="U870" t="s">
        <v>128</v>
      </c>
      <c r="V870">
        <v>3</v>
      </c>
      <c r="W870">
        <v>2</v>
      </c>
      <c r="X870">
        <v>3</v>
      </c>
      <c r="Y870">
        <v>3</v>
      </c>
      <c r="Z870" t="s">
        <v>2730</v>
      </c>
      <c r="AA870">
        <v>3</v>
      </c>
      <c r="AB870" t="s">
        <v>2732</v>
      </c>
      <c r="AC870" t="s">
        <v>2730</v>
      </c>
      <c r="AD870" t="s">
        <v>2730</v>
      </c>
      <c r="AE870" t="s">
        <v>2730</v>
      </c>
      <c r="AF870" t="s">
        <v>2730</v>
      </c>
      <c r="AG870" t="s">
        <v>2730</v>
      </c>
      <c r="AH870" t="s">
        <v>2730</v>
      </c>
    </row>
    <row r="871" spans="1:34">
      <c r="A871" s="149" t="str">
        <f>HYPERLINK("http://www.ofsted.gov.uk/inspection-reports/find-inspection-report/provider/ELS/133349 ","Ofsted School Webpage")</f>
        <v>Ofsted School Webpage</v>
      </c>
      <c r="B871">
        <v>133349</v>
      </c>
      <c r="C871">
        <v>8566015</v>
      </c>
      <c r="D871" t="s">
        <v>356</v>
      </c>
      <c r="E871" t="s">
        <v>37</v>
      </c>
      <c r="F871" t="s">
        <v>223</v>
      </c>
      <c r="G871" t="s">
        <v>223</v>
      </c>
      <c r="H871" t="s">
        <v>2729</v>
      </c>
      <c r="I871" t="s">
        <v>2730</v>
      </c>
      <c r="J871" t="s">
        <v>186</v>
      </c>
      <c r="K871" t="s">
        <v>214</v>
      </c>
      <c r="L871" t="s">
        <v>214</v>
      </c>
      <c r="M871" t="s">
        <v>330</v>
      </c>
      <c r="N871" t="s">
        <v>357</v>
      </c>
      <c r="O871">
        <v>10039184</v>
      </c>
      <c r="P871" s="120">
        <v>43018</v>
      </c>
      <c r="Q871" s="120">
        <v>43020</v>
      </c>
      <c r="R871" s="120">
        <v>43052</v>
      </c>
      <c r="S871" t="s">
        <v>196</v>
      </c>
      <c r="T871">
        <v>2</v>
      </c>
      <c r="U871" t="s">
        <v>128</v>
      </c>
      <c r="V871">
        <v>2</v>
      </c>
      <c r="W871">
        <v>1</v>
      </c>
      <c r="X871">
        <v>2</v>
      </c>
      <c r="Y871">
        <v>2</v>
      </c>
      <c r="Z871" t="s">
        <v>2730</v>
      </c>
      <c r="AA871" t="s">
        <v>2730</v>
      </c>
      <c r="AB871" t="s">
        <v>2732</v>
      </c>
      <c r="AC871" t="s">
        <v>2730</v>
      </c>
      <c r="AD871" t="s">
        <v>2730</v>
      </c>
      <c r="AE871" t="s">
        <v>2730</v>
      </c>
      <c r="AF871" t="s">
        <v>2730</v>
      </c>
      <c r="AG871" t="s">
        <v>2730</v>
      </c>
      <c r="AH871" t="s">
        <v>2730</v>
      </c>
    </row>
    <row r="872" spans="1:34">
      <c r="A872" s="149" t="str">
        <f>HYPERLINK("http://www.ofsted.gov.uk/inspection-reports/find-inspection-report/provider/ELS/131755 ","Ofsted School Webpage")</f>
        <v>Ofsted School Webpage</v>
      </c>
      <c r="B872">
        <v>131755</v>
      </c>
      <c r="C872">
        <v>3076079</v>
      </c>
      <c r="D872" t="s">
        <v>2372</v>
      </c>
      <c r="E872" t="s">
        <v>37</v>
      </c>
      <c r="F872" t="s">
        <v>184</v>
      </c>
      <c r="G872" t="s">
        <v>184</v>
      </c>
      <c r="H872" t="s">
        <v>2729</v>
      </c>
      <c r="I872" t="s">
        <v>2730</v>
      </c>
      <c r="J872" t="s">
        <v>186</v>
      </c>
      <c r="K872" t="s">
        <v>232</v>
      </c>
      <c r="L872" t="s">
        <v>232</v>
      </c>
      <c r="M872" t="s">
        <v>631</v>
      </c>
      <c r="N872" t="s">
        <v>2373</v>
      </c>
      <c r="O872" t="s">
        <v>2374</v>
      </c>
      <c r="P872" s="120">
        <v>41653</v>
      </c>
      <c r="Q872" s="120">
        <v>41655</v>
      </c>
      <c r="R872" s="120">
        <v>41697</v>
      </c>
      <c r="S872" t="s">
        <v>196</v>
      </c>
      <c r="T872">
        <v>4</v>
      </c>
      <c r="U872" t="s">
        <v>2730</v>
      </c>
      <c r="V872">
        <v>4</v>
      </c>
      <c r="W872" t="s">
        <v>2730</v>
      </c>
      <c r="X872">
        <v>2</v>
      </c>
      <c r="Y872">
        <v>2</v>
      </c>
      <c r="Z872" t="s">
        <v>2730</v>
      </c>
      <c r="AA872" t="s">
        <v>2730</v>
      </c>
      <c r="AB872" t="s">
        <v>2730</v>
      </c>
      <c r="AC872" t="s">
        <v>3015</v>
      </c>
      <c r="AD872" t="s">
        <v>187</v>
      </c>
      <c r="AE872" s="120">
        <v>41897</v>
      </c>
      <c r="AF872" t="s">
        <v>3010</v>
      </c>
      <c r="AG872" s="120">
        <v>41932</v>
      </c>
      <c r="AH872" t="s">
        <v>2773</v>
      </c>
    </row>
    <row r="873" spans="1:34">
      <c r="A873" s="149" t="str">
        <f>HYPERLINK("http://www.ofsted.gov.uk/inspection-reports/find-inspection-report/provider/ELS/135091 ","Ofsted School Webpage")</f>
        <v>Ofsted School Webpage</v>
      </c>
      <c r="B873">
        <v>135091</v>
      </c>
      <c r="C873">
        <v>3166067</v>
      </c>
      <c r="D873" t="s">
        <v>2375</v>
      </c>
      <c r="E873" t="s">
        <v>37</v>
      </c>
      <c r="F873" t="s">
        <v>212</v>
      </c>
      <c r="G873" t="s">
        <v>212</v>
      </c>
      <c r="H873" t="s">
        <v>2729</v>
      </c>
      <c r="I873" t="s">
        <v>2730</v>
      </c>
      <c r="J873" t="s">
        <v>186</v>
      </c>
      <c r="K873" t="s">
        <v>232</v>
      </c>
      <c r="L873" t="s">
        <v>232</v>
      </c>
      <c r="M873" t="s">
        <v>505</v>
      </c>
      <c r="N873" t="s">
        <v>2376</v>
      </c>
      <c r="O873">
        <v>10012829</v>
      </c>
      <c r="P873" s="120">
        <v>42661</v>
      </c>
      <c r="Q873" s="120">
        <v>42663</v>
      </c>
      <c r="R873" s="120">
        <v>42723</v>
      </c>
      <c r="S873" t="s">
        <v>196</v>
      </c>
      <c r="T873">
        <v>4</v>
      </c>
      <c r="U873" t="s">
        <v>129</v>
      </c>
      <c r="V873">
        <v>4</v>
      </c>
      <c r="W873">
        <v>4</v>
      </c>
      <c r="X873">
        <v>3</v>
      </c>
      <c r="Y873">
        <v>3</v>
      </c>
      <c r="Z873">
        <v>4</v>
      </c>
      <c r="AA873" t="s">
        <v>2730</v>
      </c>
      <c r="AB873" t="s">
        <v>2733</v>
      </c>
      <c r="AC873" t="s">
        <v>2730</v>
      </c>
      <c r="AD873" t="s">
        <v>2730</v>
      </c>
      <c r="AE873" t="s">
        <v>2730</v>
      </c>
      <c r="AF873" t="s">
        <v>2730</v>
      </c>
      <c r="AG873" t="s">
        <v>2730</v>
      </c>
      <c r="AH873" t="s">
        <v>2730</v>
      </c>
    </row>
    <row r="874" spans="1:34">
      <c r="A874" s="149" t="str">
        <f>HYPERLINK("http://www.ofsted.gov.uk/inspection-reports/find-inspection-report/provider/ELS/134810 ","Ofsted School Webpage")</f>
        <v>Ofsted School Webpage</v>
      </c>
      <c r="B874">
        <v>134810</v>
      </c>
      <c r="C874">
        <v>2116394</v>
      </c>
      <c r="D874" t="s">
        <v>2377</v>
      </c>
      <c r="E874" t="s">
        <v>37</v>
      </c>
      <c r="F874" t="s">
        <v>184</v>
      </c>
      <c r="G874" t="s">
        <v>223</v>
      </c>
      <c r="H874" t="s">
        <v>2729</v>
      </c>
      <c r="I874" t="s">
        <v>2730</v>
      </c>
      <c r="J874" t="s">
        <v>186</v>
      </c>
      <c r="K874" t="s">
        <v>232</v>
      </c>
      <c r="L874" t="s">
        <v>232</v>
      </c>
      <c r="M874" t="s">
        <v>539</v>
      </c>
      <c r="N874" t="s">
        <v>1877</v>
      </c>
      <c r="O874">
        <v>10033689</v>
      </c>
      <c r="P874" s="120">
        <v>42927</v>
      </c>
      <c r="Q874" s="120">
        <v>42929</v>
      </c>
      <c r="R874" s="120">
        <v>42992</v>
      </c>
      <c r="S874" t="s">
        <v>196</v>
      </c>
      <c r="T874">
        <v>2</v>
      </c>
      <c r="U874" t="s">
        <v>128</v>
      </c>
      <c r="V874">
        <v>2</v>
      </c>
      <c r="W874">
        <v>2</v>
      </c>
      <c r="X874">
        <v>2</v>
      </c>
      <c r="Y874">
        <v>2</v>
      </c>
      <c r="Z874" t="s">
        <v>2730</v>
      </c>
      <c r="AA874" t="s">
        <v>2730</v>
      </c>
      <c r="AB874" t="s">
        <v>2732</v>
      </c>
      <c r="AC874" t="s">
        <v>2730</v>
      </c>
      <c r="AD874" t="s">
        <v>2730</v>
      </c>
      <c r="AE874" t="s">
        <v>2730</v>
      </c>
      <c r="AF874" t="s">
        <v>2730</v>
      </c>
      <c r="AG874" t="s">
        <v>2730</v>
      </c>
      <c r="AH874" t="s">
        <v>2730</v>
      </c>
    </row>
    <row r="875" spans="1:34">
      <c r="A875" s="149" t="str">
        <f>HYPERLINK("http://www.ofsted.gov.uk/inspection-reports/find-inspection-report/provider/ELS/132797 ","Ofsted School Webpage")</f>
        <v>Ofsted School Webpage</v>
      </c>
      <c r="B875">
        <v>132797</v>
      </c>
      <c r="C875">
        <v>2116390</v>
      </c>
      <c r="D875" t="s">
        <v>1750</v>
      </c>
      <c r="E875" t="s">
        <v>37</v>
      </c>
      <c r="F875" t="s">
        <v>184</v>
      </c>
      <c r="G875" t="s">
        <v>223</v>
      </c>
      <c r="H875" t="s">
        <v>2729</v>
      </c>
      <c r="I875" t="s">
        <v>2730</v>
      </c>
      <c r="J875" t="s">
        <v>186</v>
      </c>
      <c r="K875" t="s">
        <v>232</v>
      </c>
      <c r="L875" t="s">
        <v>232</v>
      </c>
      <c r="M875" t="s">
        <v>539</v>
      </c>
      <c r="N875" t="s">
        <v>1751</v>
      </c>
      <c r="O875" t="s">
        <v>1752</v>
      </c>
      <c r="P875" s="120">
        <v>41723</v>
      </c>
      <c r="Q875" s="120">
        <v>41725</v>
      </c>
      <c r="R875" s="120">
        <v>41754</v>
      </c>
      <c r="S875" t="s">
        <v>196</v>
      </c>
      <c r="T875">
        <v>2</v>
      </c>
      <c r="U875" t="s">
        <v>2730</v>
      </c>
      <c r="V875">
        <v>2</v>
      </c>
      <c r="W875" t="s">
        <v>2730</v>
      </c>
      <c r="X875">
        <v>2</v>
      </c>
      <c r="Y875">
        <v>2</v>
      </c>
      <c r="Z875" t="s">
        <v>2730</v>
      </c>
      <c r="AA875" t="s">
        <v>2730</v>
      </c>
      <c r="AB875" t="s">
        <v>2730</v>
      </c>
      <c r="AC875" t="s">
        <v>2730</v>
      </c>
      <c r="AD875" t="s">
        <v>2730</v>
      </c>
      <c r="AE875" t="s">
        <v>2730</v>
      </c>
      <c r="AF875" t="s">
        <v>2730</v>
      </c>
      <c r="AG875" t="s">
        <v>2730</v>
      </c>
      <c r="AH875" t="s">
        <v>2730</v>
      </c>
    </row>
    <row r="876" spans="1:34">
      <c r="A876" s="149" t="str">
        <f>HYPERLINK("http://www.ofsted.gov.uk/inspection-reports/find-inspection-report/provider/ELS/105999 ","Ofsted School Webpage")</f>
        <v>Ofsted School Webpage</v>
      </c>
      <c r="B876">
        <v>105999</v>
      </c>
      <c r="C876">
        <v>3556020</v>
      </c>
      <c r="D876" t="s">
        <v>2062</v>
      </c>
      <c r="E876" t="s">
        <v>37</v>
      </c>
      <c r="F876" t="s">
        <v>184</v>
      </c>
      <c r="G876" t="s">
        <v>318</v>
      </c>
      <c r="H876" t="s">
        <v>2729</v>
      </c>
      <c r="I876" t="s">
        <v>2730</v>
      </c>
      <c r="J876" t="s">
        <v>186</v>
      </c>
      <c r="K876" t="s">
        <v>205</v>
      </c>
      <c r="L876" t="s">
        <v>205</v>
      </c>
      <c r="M876" t="s">
        <v>853</v>
      </c>
      <c r="N876" t="s">
        <v>2063</v>
      </c>
      <c r="O876">
        <v>10021800</v>
      </c>
      <c r="P876" s="120">
        <v>42822</v>
      </c>
      <c r="Q876" s="120">
        <v>42824</v>
      </c>
      <c r="R876" s="120">
        <v>42864</v>
      </c>
      <c r="S876" t="s">
        <v>196</v>
      </c>
      <c r="T876">
        <v>4</v>
      </c>
      <c r="U876" t="s">
        <v>128</v>
      </c>
      <c r="V876">
        <v>4</v>
      </c>
      <c r="W876">
        <v>3</v>
      </c>
      <c r="X876">
        <v>2</v>
      </c>
      <c r="Y876">
        <v>2</v>
      </c>
      <c r="Z876" t="s">
        <v>2730</v>
      </c>
      <c r="AA876" t="s">
        <v>2730</v>
      </c>
      <c r="AB876" t="s">
        <v>2733</v>
      </c>
      <c r="AC876" t="s">
        <v>2730</v>
      </c>
      <c r="AD876" t="s">
        <v>2730</v>
      </c>
      <c r="AE876" s="120" t="s">
        <v>2730</v>
      </c>
      <c r="AF876" t="s">
        <v>2730</v>
      </c>
      <c r="AG876" s="120" t="s">
        <v>2730</v>
      </c>
      <c r="AH876" t="s">
        <v>2730</v>
      </c>
    </row>
    <row r="877" spans="1:34">
      <c r="A877" s="149" t="str">
        <f>HYPERLINK("http://www.ofsted.gov.uk/inspection-reports/find-inspection-report/provider/ELS/134289 ","Ofsted School Webpage")</f>
        <v>Ofsted School Webpage</v>
      </c>
      <c r="B877">
        <v>134289</v>
      </c>
      <c r="C877">
        <v>8216010</v>
      </c>
      <c r="D877" t="s">
        <v>2064</v>
      </c>
      <c r="E877" t="s">
        <v>37</v>
      </c>
      <c r="F877" t="s">
        <v>184</v>
      </c>
      <c r="G877" t="s">
        <v>223</v>
      </c>
      <c r="H877" t="s">
        <v>2729</v>
      </c>
      <c r="I877" t="s">
        <v>2730</v>
      </c>
      <c r="J877" t="s">
        <v>186</v>
      </c>
      <c r="K877" t="s">
        <v>220</v>
      </c>
      <c r="L877" t="s">
        <v>220</v>
      </c>
      <c r="M877" t="s">
        <v>221</v>
      </c>
      <c r="N877" t="s">
        <v>2065</v>
      </c>
      <c r="O877">
        <v>10010086</v>
      </c>
      <c r="P877" s="120">
        <v>42395</v>
      </c>
      <c r="Q877" s="120">
        <v>42397</v>
      </c>
      <c r="R877" s="120">
        <v>42433</v>
      </c>
      <c r="S877" t="s">
        <v>196</v>
      </c>
      <c r="T877">
        <v>4</v>
      </c>
      <c r="U877" t="s">
        <v>129</v>
      </c>
      <c r="V877">
        <v>4</v>
      </c>
      <c r="W877">
        <v>4</v>
      </c>
      <c r="X877">
        <v>2</v>
      </c>
      <c r="Y877">
        <v>2</v>
      </c>
      <c r="Z877" t="s">
        <v>2730</v>
      </c>
      <c r="AA877" t="s">
        <v>2730</v>
      </c>
      <c r="AB877" t="s">
        <v>2733</v>
      </c>
      <c r="AC877">
        <v>10034308</v>
      </c>
      <c r="AD877" t="s">
        <v>187</v>
      </c>
      <c r="AE877" s="120">
        <v>42871</v>
      </c>
      <c r="AF877" t="s">
        <v>2769</v>
      </c>
      <c r="AG877" s="120">
        <v>42908</v>
      </c>
      <c r="AH877" t="s">
        <v>189</v>
      </c>
    </row>
    <row r="878" spans="1:34">
      <c r="A878" s="149" t="str">
        <f>HYPERLINK("http://www.ofsted.gov.uk/inspection-reports/find-inspection-report/provider/ELS/101387 ","Ofsted School Webpage")</f>
        <v>Ofsted School Webpage</v>
      </c>
      <c r="B878">
        <v>101387</v>
      </c>
      <c r="C878">
        <v>3026089</v>
      </c>
      <c r="D878" t="s">
        <v>2066</v>
      </c>
      <c r="E878" t="s">
        <v>37</v>
      </c>
      <c r="F878" t="s">
        <v>318</v>
      </c>
      <c r="G878" t="s">
        <v>318</v>
      </c>
      <c r="H878" t="s">
        <v>2729</v>
      </c>
      <c r="I878" t="s">
        <v>2730</v>
      </c>
      <c r="J878" t="s">
        <v>186</v>
      </c>
      <c r="K878" t="s">
        <v>232</v>
      </c>
      <c r="L878" t="s">
        <v>232</v>
      </c>
      <c r="M878" t="s">
        <v>311</v>
      </c>
      <c r="N878" t="s">
        <v>2067</v>
      </c>
      <c r="O878" t="s">
        <v>3093</v>
      </c>
      <c r="P878" s="120">
        <v>42178</v>
      </c>
      <c r="Q878" s="120">
        <v>42180</v>
      </c>
      <c r="R878" s="120">
        <v>42255</v>
      </c>
      <c r="S878" t="s">
        <v>196</v>
      </c>
      <c r="T878">
        <v>4</v>
      </c>
      <c r="U878" t="s">
        <v>2730</v>
      </c>
      <c r="V878">
        <v>4</v>
      </c>
      <c r="W878" t="s">
        <v>2730</v>
      </c>
      <c r="X878">
        <v>2</v>
      </c>
      <c r="Y878">
        <v>2</v>
      </c>
      <c r="Z878">
        <v>9</v>
      </c>
      <c r="AA878">
        <v>4</v>
      </c>
      <c r="AB878" t="s">
        <v>2730</v>
      </c>
      <c r="AC878">
        <v>10011589</v>
      </c>
      <c r="AD878" t="s">
        <v>187</v>
      </c>
      <c r="AE878" s="120">
        <v>42411</v>
      </c>
      <c r="AF878" t="s">
        <v>2772</v>
      </c>
      <c r="AG878" s="120">
        <v>42444</v>
      </c>
      <c r="AH878" t="s">
        <v>2773</v>
      </c>
    </row>
    <row r="879" spans="1:34">
      <c r="A879" s="149" t="str">
        <f>HYPERLINK("http://www.ofsted.gov.uk/inspection-reports/find-inspection-report/provider/ELS/134858 ","Ofsted School Webpage")</f>
        <v>Ofsted School Webpage</v>
      </c>
      <c r="B879">
        <v>134858</v>
      </c>
      <c r="C879">
        <v>8876007</v>
      </c>
      <c r="D879" t="s">
        <v>271</v>
      </c>
      <c r="E879" t="s">
        <v>37</v>
      </c>
      <c r="F879" t="s">
        <v>184</v>
      </c>
      <c r="G879" t="s">
        <v>212</v>
      </c>
      <c r="H879" t="s">
        <v>2729</v>
      </c>
      <c r="I879" t="s">
        <v>2730</v>
      </c>
      <c r="J879" t="s">
        <v>186</v>
      </c>
      <c r="K879" t="s">
        <v>181</v>
      </c>
      <c r="L879" t="s">
        <v>181</v>
      </c>
      <c r="M879" t="s">
        <v>272</v>
      </c>
      <c r="N879" t="s">
        <v>273</v>
      </c>
      <c r="O879">
        <v>10039161</v>
      </c>
      <c r="P879" s="120">
        <v>43046</v>
      </c>
      <c r="Q879" s="120">
        <v>43048</v>
      </c>
      <c r="R879" s="120">
        <v>43069</v>
      </c>
      <c r="S879" t="s">
        <v>196</v>
      </c>
      <c r="T879">
        <v>3</v>
      </c>
      <c r="U879" t="s">
        <v>128</v>
      </c>
      <c r="V879">
        <v>2</v>
      </c>
      <c r="W879">
        <v>2</v>
      </c>
      <c r="X879">
        <v>3</v>
      </c>
      <c r="Y879">
        <v>2</v>
      </c>
      <c r="Z879">
        <v>2</v>
      </c>
      <c r="AA879" t="s">
        <v>2730</v>
      </c>
      <c r="AB879" t="s">
        <v>2732</v>
      </c>
      <c r="AC879" t="s">
        <v>2730</v>
      </c>
      <c r="AD879" t="s">
        <v>2730</v>
      </c>
      <c r="AE879" s="120" t="s">
        <v>2730</v>
      </c>
      <c r="AF879" t="s">
        <v>2730</v>
      </c>
      <c r="AG879" s="120" t="s">
        <v>2730</v>
      </c>
      <c r="AH879" t="s">
        <v>2730</v>
      </c>
    </row>
    <row r="880" spans="1:34">
      <c r="A880" s="149" t="str">
        <f>HYPERLINK("http://www.ofsted.gov.uk/inspection-reports/find-inspection-report/provider/ELS/132099 ","Ofsted School Webpage")</f>
        <v>Ofsted School Webpage</v>
      </c>
      <c r="B880">
        <v>132099</v>
      </c>
      <c r="C880">
        <v>3826021</v>
      </c>
      <c r="D880" t="s">
        <v>2133</v>
      </c>
      <c r="E880" t="s">
        <v>37</v>
      </c>
      <c r="F880" t="s">
        <v>184</v>
      </c>
      <c r="G880" t="s">
        <v>223</v>
      </c>
      <c r="H880" t="s">
        <v>2729</v>
      </c>
      <c r="I880" t="s">
        <v>2730</v>
      </c>
      <c r="J880" t="s">
        <v>186</v>
      </c>
      <c r="K880" t="s">
        <v>245</v>
      </c>
      <c r="L880" t="s">
        <v>246</v>
      </c>
      <c r="M880" t="s">
        <v>768</v>
      </c>
      <c r="N880" t="s">
        <v>2134</v>
      </c>
      <c r="O880">
        <v>10007703</v>
      </c>
      <c r="P880" s="120">
        <v>42395</v>
      </c>
      <c r="Q880" s="120">
        <v>42397</v>
      </c>
      <c r="R880" s="120">
        <v>42444</v>
      </c>
      <c r="S880" t="s">
        <v>196</v>
      </c>
      <c r="T880">
        <v>2</v>
      </c>
      <c r="U880" t="s">
        <v>128</v>
      </c>
      <c r="V880">
        <v>2</v>
      </c>
      <c r="W880">
        <v>2</v>
      </c>
      <c r="X880">
        <v>2</v>
      </c>
      <c r="Y880">
        <v>2</v>
      </c>
      <c r="Z880">
        <v>2</v>
      </c>
      <c r="AA880" t="s">
        <v>2730</v>
      </c>
      <c r="AB880" t="s">
        <v>2732</v>
      </c>
      <c r="AC880" t="s">
        <v>2730</v>
      </c>
      <c r="AD880" t="s">
        <v>2730</v>
      </c>
      <c r="AE880" t="s">
        <v>2730</v>
      </c>
      <c r="AF880" t="s">
        <v>2730</v>
      </c>
      <c r="AG880" t="s">
        <v>2730</v>
      </c>
      <c r="AH880" t="s">
        <v>2730</v>
      </c>
    </row>
    <row r="881" spans="1:34">
      <c r="A881" s="149" t="str">
        <f>HYPERLINK("http://www.ofsted.gov.uk/inspection-reports/find-inspection-report/provider/ELS/100301 ","Ofsted School Webpage")</f>
        <v>Ofsted School Webpage</v>
      </c>
      <c r="B881">
        <v>100301</v>
      </c>
      <c r="C881">
        <v>2046389</v>
      </c>
      <c r="D881" t="s">
        <v>2135</v>
      </c>
      <c r="E881" t="s">
        <v>37</v>
      </c>
      <c r="F881" t="s">
        <v>184</v>
      </c>
      <c r="G881" t="s">
        <v>212</v>
      </c>
      <c r="H881" t="s">
        <v>2729</v>
      </c>
      <c r="I881" t="s">
        <v>2730</v>
      </c>
      <c r="J881" t="s">
        <v>186</v>
      </c>
      <c r="K881" t="s">
        <v>232</v>
      </c>
      <c r="L881" t="s">
        <v>232</v>
      </c>
      <c r="M881" t="s">
        <v>479</v>
      </c>
      <c r="N881" t="s">
        <v>2136</v>
      </c>
      <c r="O881">
        <v>10026269</v>
      </c>
      <c r="P881" s="120">
        <v>43067</v>
      </c>
      <c r="Q881" s="120">
        <v>43069</v>
      </c>
      <c r="R881" s="120">
        <v>43088</v>
      </c>
      <c r="S881" t="s">
        <v>196</v>
      </c>
      <c r="T881">
        <v>3</v>
      </c>
      <c r="U881" t="s">
        <v>128</v>
      </c>
      <c r="V881">
        <v>3</v>
      </c>
      <c r="W881">
        <v>2</v>
      </c>
      <c r="X881">
        <v>3</v>
      </c>
      <c r="Y881">
        <v>3</v>
      </c>
      <c r="Z881">
        <v>3</v>
      </c>
      <c r="AA881" t="s">
        <v>2730</v>
      </c>
      <c r="AB881" t="s">
        <v>2732</v>
      </c>
      <c r="AC881" t="s">
        <v>2730</v>
      </c>
      <c r="AD881" t="s">
        <v>2730</v>
      </c>
      <c r="AE881" t="s">
        <v>2730</v>
      </c>
      <c r="AF881" t="s">
        <v>2730</v>
      </c>
      <c r="AG881" t="s">
        <v>2730</v>
      </c>
      <c r="AH881" t="s">
        <v>2730</v>
      </c>
    </row>
    <row r="882" spans="1:34">
      <c r="A882" s="149" t="str">
        <f>HYPERLINK("http://www.ofsted.gov.uk/inspection-reports/find-inspection-report/provider/ELS/101385 ","Ofsted School Webpage")</f>
        <v>Ofsted School Webpage</v>
      </c>
      <c r="B882">
        <v>101385</v>
      </c>
      <c r="C882">
        <v>3026084</v>
      </c>
      <c r="D882" t="s">
        <v>2137</v>
      </c>
      <c r="E882" t="s">
        <v>37</v>
      </c>
      <c r="F882" t="s">
        <v>184</v>
      </c>
      <c r="G882" t="s">
        <v>318</v>
      </c>
      <c r="H882" t="s">
        <v>2729</v>
      </c>
      <c r="I882" t="s">
        <v>2730</v>
      </c>
      <c r="J882" t="s">
        <v>186</v>
      </c>
      <c r="K882" t="s">
        <v>232</v>
      </c>
      <c r="L882" t="s">
        <v>232</v>
      </c>
      <c r="M882" t="s">
        <v>311</v>
      </c>
      <c r="N882" t="s">
        <v>2138</v>
      </c>
      <c r="O882" t="s">
        <v>2139</v>
      </c>
      <c r="P882" s="120">
        <v>41955</v>
      </c>
      <c r="Q882" s="120">
        <v>41957</v>
      </c>
      <c r="R882" s="120">
        <v>42039</v>
      </c>
      <c r="S882" t="s">
        <v>196</v>
      </c>
      <c r="T882">
        <v>2</v>
      </c>
      <c r="U882" t="s">
        <v>2730</v>
      </c>
      <c r="V882">
        <v>2</v>
      </c>
      <c r="W882" t="s">
        <v>2730</v>
      </c>
      <c r="X882">
        <v>2</v>
      </c>
      <c r="Y882">
        <v>2</v>
      </c>
      <c r="Z882">
        <v>9</v>
      </c>
      <c r="AA882">
        <v>9</v>
      </c>
      <c r="AB882" t="s">
        <v>2730</v>
      </c>
      <c r="AC882" t="s">
        <v>2730</v>
      </c>
      <c r="AD882" t="s">
        <v>2730</v>
      </c>
      <c r="AE882" s="120" t="s">
        <v>2730</v>
      </c>
      <c r="AF882" t="s">
        <v>2730</v>
      </c>
      <c r="AG882" s="120" t="s">
        <v>2730</v>
      </c>
      <c r="AH882" t="s">
        <v>2730</v>
      </c>
    </row>
    <row r="883" spans="1:34">
      <c r="A883" s="149" t="str">
        <f>HYPERLINK("http://www.ofsted.gov.uk/inspection-reports/find-inspection-report/provider/ELS/139784 ","Ofsted School Webpage")</f>
        <v>Ofsted School Webpage</v>
      </c>
      <c r="B883">
        <v>139784</v>
      </c>
      <c r="C883">
        <v>8616010</v>
      </c>
      <c r="D883" t="s">
        <v>507</v>
      </c>
      <c r="E883" t="s">
        <v>37</v>
      </c>
      <c r="F883" t="s">
        <v>184</v>
      </c>
      <c r="G883" t="s">
        <v>223</v>
      </c>
      <c r="H883" t="s">
        <v>2729</v>
      </c>
      <c r="I883" t="s">
        <v>2730</v>
      </c>
      <c r="J883" t="s">
        <v>186</v>
      </c>
      <c r="K883" t="s">
        <v>193</v>
      </c>
      <c r="L883" t="s">
        <v>193</v>
      </c>
      <c r="M883" t="s">
        <v>492</v>
      </c>
      <c r="N883" t="s">
        <v>508</v>
      </c>
      <c r="O883">
        <v>10033576</v>
      </c>
      <c r="P883" s="120">
        <v>43018</v>
      </c>
      <c r="Q883" s="120">
        <v>43020</v>
      </c>
      <c r="R883" s="120">
        <v>43067</v>
      </c>
      <c r="S883" t="s">
        <v>196</v>
      </c>
      <c r="T883">
        <v>4</v>
      </c>
      <c r="U883" t="s">
        <v>129</v>
      </c>
      <c r="V883">
        <v>4</v>
      </c>
      <c r="W883">
        <v>4</v>
      </c>
      <c r="X883">
        <v>3</v>
      </c>
      <c r="Y883">
        <v>3</v>
      </c>
      <c r="Z883" t="s">
        <v>2730</v>
      </c>
      <c r="AA883" t="s">
        <v>2730</v>
      </c>
      <c r="AB883" t="s">
        <v>2733</v>
      </c>
      <c r="AC883" t="s">
        <v>2730</v>
      </c>
      <c r="AD883" t="s">
        <v>2730</v>
      </c>
      <c r="AE883" t="s">
        <v>2730</v>
      </c>
      <c r="AF883" t="s">
        <v>2730</v>
      </c>
      <c r="AG883" t="s">
        <v>2730</v>
      </c>
      <c r="AH883" t="s">
        <v>2730</v>
      </c>
    </row>
    <row r="884" spans="1:34">
      <c r="A884" s="149" t="str">
        <f>HYPERLINK("http://www.ofsted.gov.uk/inspection-reports/find-inspection-report/provider/ELS/133603 ","Ofsted School Webpage")</f>
        <v>Ofsted School Webpage</v>
      </c>
      <c r="B884">
        <v>133603</v>
      </c>
      <c r="C884">
        <v>3306103</v>
      </c>
      <c r="D884" t="s">
        <v>751</v>
      </c>
      <c r="E884" t="s">
        <v>37</v>
      </c>
      <c r="F884" t="s">
        <v>304</v>
      </c>
      <c r="G884" t="s">
        <v>304</v>
      </c>
      <c r="H884" t="s">
        <v>2729</v>
      </c>
      <c r="I884" t="s">
        <v>2730</v>
      </c>
      <c r="J884" t="s">
        <v>186</v>
      </c>
      <c r="K884" t="s">
        <v>193</v>
      </c>
      <c r="L884" t="s">
        <v>193</v>
      </c>
      <c r="M884" t="s">
        <v>210</v>
      </c>
      <c r="N884" t="s">
        <v>752</v>
      </c>
      <c r="O884">
        <v>10006855</v>
      </c>
      <c r="P884" s="120">
        <v>42331</v>
      </c>
      <c r="Q884" s="120">
        <v>42333</v>
      </c>
      <c r="R884" s="120">
        <v>42380</v>
      </c>
      <c r="S884" t="s">
        <v>196</v>
      </c>
      <c r="T884">
        <v>4</v>
      </c>
      <c r="U884" t="s">
        <v>128</v>
      </c>
      <c r="V884">
        <v>4</v>
      </c>
      <c r="W884">
        <v>2</v>
      </c>
      <c r="X884">
        <v>4</v>
      </c>
      <c r="Y884">
        <v>4</v>
      </c>
      <c r="Z884" t="s">
        <v>2730</v>
      </c>
      <c r="AA884" t="s">
        <v>2730</v>
      </c>
      <c r="AB884" t="s">
        <v>2733</v>
      </c>
      <c r="AC884">
        <v>10022074</v>
      </c>
      <c r="AD884" t="s">
        <v>187</v>
      </c>
      <c r="AE884" s="120">
        <v>42774</v>
      </c>
      <c r="AF884" t="s">
        <v>2769</v>
      </c>
      <c r="AG884" s="120">
        <v>42814</v>
      </c>
      <c r="AH884" t="s">
        <v>189</v>
      </c>
    </row>
    <row r="885" spans="1:34">
      <c r="A885" s="149" t="str">
        <f>HYPERLINK("http://www.ofsted.gov.uk/inspection-reports/find-inspection-report/provider/ELS/122926 ","Ofsted School Webpage")</f>
        <v>Ofsted School Webpage</v>
      </c>
      <c r="B885">
        <v>122926</v>
      </c>
      <c r="C885">
        <v>8916008</v>
      </c>
      <c r="D885" t="s">
        <v>424</v>
      </c>
      <c r="E885" t="s">
        <v>37</v>
      </c>
      <c r="F885" t="s">
        <v>184</v>
      </c>
      <c r="G885" t="s">
        <v>184</v>
      </c>
      <c r="H885" t="s">
        <v>2729</v>
      </c>
      <c r="I885" t="s">
        <v>2730</v>
      </c>
      <c r="J885" t="s">
        <v>186</v>
      </c>
      <c r="K885" t="s">
        <v>214</v>
      </c>
      <c r="L885" t="s">
        <v>214</v>
      </c>
      <c r="M885" t="s">
        <v>320</v>
      </c>
      <c r="N885" t="s">
        <v>425</v>
      </c>
      <c r="O885">
        <v>10033528</v>
      </c>
      <c r="P885" s="120">
        <v>43004</v>
      </c>
      <c r="Q885" s="120">
        <v>43006</v>
      </c>
      <c r="R885" s="120">
        <v>43027</v>
      </c>
      <c r="S885" t="s">
        <v>196</v>
      </c>
      <c r="T885">
        <v>3</v>
      </c>
      <c r="U885" t="s">
        <v>128</v>
      </c>
      <c r="V885">
        <v>3</v>
      </c>
      <c r="W885">
        <v>2</v>
      </c>
      <c r="X885">
        <v>3</v>
      </c>
      <c r="Y885">
        <v>3</v>
      </c>
      <c r="Z885">
        <v>2</v>
      </c>
      <c r="AA885" t="s">
        <v>2730</v>
      </c>
      <c r="AB885" t="s">
        <v>2733</v>
      </c>
      <c r="AC885" t="s">
        <v>2730</v>
      </c>
      <c r="AD885" t="s">
        <v>2730</v>
      </c>
      <c r="AE885" t="s">
        <v>2730</v>
      </c>
      <c r="AF885" t="s">
        <v>2730</v>
      </c>
      <c r="AG885" t="s">
        <v>2730</v>
      </c>
      <c r="AH885" t="s">
        <v>2730</v>
      </c>
    </row>
    <row r="886" spans="1:34">
      <c r="A886" s="149" t="str">
        <f>HYPERLINK("http://www.ofsted.gov.uk/inspection-reports/find-inspection-report/provider/ELS/132777 ","Ofsted School Webpage")</f>
        <v>Ofsted School Webpage</v>
      </c>
      <c r="B886">
        <v>132777</v>
      </c>
      <c r="C886">
        <v>2036377</v>
      </c>
      <c r="D886" t="s">
        <v>2209</v>
      </c>
      <c r="E886" t="s">
        <v>37</v>
      </c>
      <c r="F886" t="s">
        <v>184</v>
      </c>
      <c r="G886" t="s">
        <v>184</v>
      </c>
      <c r="H886" t="s">
        <v>2729</v>
      </c>
      <c r="I886" t="s">
        <v>2730</v>
      </c>
      <c r="J886" t="s">
        <v>186</v>
      </c>
      <c r="K886" t="s">
        <v>232</v>
      </c>
      <c r="L886" t="s">
        <v>232</v>
      </c>
      <c r="M886" t="s">
        <v>482</v>
      </c>
      <c r="N886" t="s">
        <v>2210</v>
      </c>
      <c r="O886">
        <v>10020721</v>
      </c>
      <c r="P886" s="120">
        <v>42920</v>
      </c>
      <c r="Q886" s="120">
        <v>42922</v>
      </c>
      <c r="R886" s="120">
        <v>43017</v>
      </c>
      <c r="S886" t="s">
        <v>196</v>
      </c>
      <c r="T886">
        <v>4</v>
      </c>
      <c r="U886" t="s">
        <v>129</v>
      </c>
      <c r="V886">
        <v>4</v>
      </c>
      <c r="W886">
        <v>4</v>
      </c>
      <c r="X886">
        <v>4</v>
      </c>
      <c r="Y886">
        <v>4</v>
      </c>
      <c r="Z886" t="s">
        <v>2730</v>
      </c>
      <c r="AA886" t="s">
        <v>2730</v>
      </c>
      <c r="AB886" t="s">
        <v>2733</v>
      </c>
      <c r="AC886" t="s">
        <v>2730</v>
      </c>
      <c r="AD886" t="s">
        <v>2730</v>
      </c>
      <c r="AE886" t="s">
        <v>2730</v>
      </c>
      <c r="AF886" t="s">
        <v>2730</v>
      </c>
      <c r="AG886" t="s">
        <v>2730</v>
      </c>
      <c r="AH886" t="s">
        <v>2730</v>
      </c>
    </row>
    <row r="887" spans="1:34">
      <c r="A887" s="149" t="str">
        <f>HYPERLINK("http://www.ofsted.gov.uk/inspection-reports/find-inspection-report/provider/ELS/118972 ","Ofsted School Webpage")</f>
        <v>Ofsted School Webpage</v>
      </c>
      <c r="B887">
        <v>118972</v>
      </c>
      <c r="C887">
        <v>8866030</v>
      </c>
      <c r="D887" t="s">
        <v>2211</v>
      </c>
      <c r="E887" t="s">
        <v>37</v>
      </c>
      <c r="F887" t="s">
        <v>184</v>
      </c>
      <c r="G887" t="s">
        <v>184</v>
      </c>
      <c r="H887" t="s">
        <v>2729</v>
      </c>
      <c r="I887" t="s">
        <v>2730</v>
      </c>
      <c r="J887" t="s">
        <v>186</v>
      </c>
      <c r="K887" t="s">
        <v>181</v>
      </c>
      <c r="L887" t="s">
        <v>181</v>
      </c>
      <c r="M887" t="s">
        <v>182</v>
      </c>
      <c r="N887" t="s">
        <v>2212</v>
      </c>
      <c r="O887">
        <v>10008565</v>
      </c>
      <c r="P887" s="120">
        <v>42480</v>
      </c>
      <c r="Q887" s="120">
        <v>42482</v>
      </c>
      <c r="R887" s="120">
        <v>42530</v>
      </c>
      <c r="S887" t="s">
        <v>196</v>
      </c>
      <c r="T887">
        <v>4</v>
      </c>
      <c r="U887" t="s">
        <v>129</v>
      </c>
      <c r="V887">
        <v>4</v>
      </c>
      <c r="W887">
        <v>4</v>
      </c>
      <c r="X887">
        <v>2</v>
      </c>
      <c r="Y887">
        <v>2</v>
      </c>
      <c r="Z887">
        <v>4</v>
      </c>
      <c r="AA887" t="s">
        <v>2730</v>
      </c>
      <c r="AB887" t="s">
        <v>2733</v>
      </c>
      <c r="AC887">
        <v>10025859</v>
      </c>
      <c r="AD887" t="s">
        <v>187</v>
      </c>
      <c r="AE887" s="120">
        <v>42752</v>
      </c>
      <c r="AF887" t="s">
        <v>2769</v>
      </c>
      <c r="AG887" s="120">
        <v>42769</v>
      </c>
      <c r="AH887" t="s">
        <v>189</v>
      </c>
    </row>
    <row r="888" spans="1:34">
      <c r="A888" s="149" t="str">
        <f>HYPERLINK("http://www.ofsted.gov.uk/inspection-reports/find-inspection-report/provider/ELS/137273 ","Ofsted School Webpage")</f>
        <v>Ofsted School Webpage</v>
      </c>
      <c r="B888">
        <v>137273</v>
      </c>
      <c r="C888">
        <v>3126003</v>
      </c>
      <c r="D888" t="s">
        <v>2087</v>
      </c>
      <c r="E888" t="s">
        <v>37</v>
      </c>
      <c r="F888" t="s">
        <v>184</v>
      </c>
      <c r="G888" t="s">
        <v>223</v>
      </c>
      <c r="H888" t="s">
        <v>2729</v>
      </c>
      <c r="I888" t="s">
        <v>2730</v>
      </c>
      <c r="J888" t="s">
        <v>186</v>
      </c>
      <c r="K888" t="s">
        <v>232</v>
      </c>
      <c r="L888" t="s">
        <v>232</v>
      </c>
      <c r="M888" t="s">
        <v>448</v>
      </c>
      <c r="N888" t="s">
        <v>2088</v>
      </c>
      <c r="O888">
        <v>10020783</v>
      </c>
      <c r="P888" s="120">
        <v>42717</v>
      </c>
      <c r="Q888" s="120">
        <v>42719</v>
      </c>
      <c r="R888" s="120">
        <v>42752</v>
      </c>
      <c r="S888" t="s">
        <v>196</v>
      </c>
      <c r="T888">
        <v>3</v>
      </c>
      <c r="U888" t="s">
        <v>128</v>
      </c>
      <c r="V888">
        <v>3</v>
      </c>
      <c r="W888">
        <v>3</v>
      </c>
      <c r="X888">
        <v>3</v>
      </c>
      <c r="Y888">
        <v>3</v>
      </c>
      <c r="Z888">
        <v>3</v>
      </c>
      <c r="AA888" t="s">
        <v>2730</v>
      </c>
      <c r="AB888" t="s">
        <v>2733</v>
      </c>
      <c r="AC888" t="s">
        <v>2730</v>
      </c>
      <c r="AD888" t="s">
        <v>2730</v>
      </c>
      <c r="AE888" t="s">
        <v>2730</v>
      </c>
      <c r="AF888" t="s">
        <v>2730</v>
      </c>
      <c r="AG888" t="s">
        <v>2730</v>
      </c>
      <c r="AH888" t="s">
        <v>2730</v>
      </c>
    </row>
    <row r="889" spans="1:34">
      <c r="A889" s="149" t="str">
        <f>HYPERLINK("http://www.ofsted.gov.uk/inspection-reports/find-inspection-report/provider/ELS/130826 ","Ofsted School Webpage")</f>
        <v>Ofsted School Webpage</v>
      </c>
      <c r="B889">
        <v>130826</v>
      </c>
      <c r="C889">
        <v>3026081</v>
      </c>
      <c r="D889" t="s">
        <v>2089</v>
      </c>
      <c r="E889" t="s">
        <v>37</v>
      </c>
      <c r="F889" t="s">
        <v>184</v>
      </c>
      <c r="G889" t="s">
        <v>318</v>
      </c>
      <c r="H889" t="s">
        <v>2729</v>
      </c>
      <c r="I889" t="s">
        <v>2730</v>
      </c>
      <c r="J889" t="s">
        <v>186</v>
      </c>
      <c r="K889" t="s">
        <v>232</v>
      </c>
      <c r="L889" t="s">
        <v>232</v>
      </c>
      <c r="M889" t="s">
        <v>311</v>
      </c>
      <c r="N889" t="s">
        <v>2090</v>
      </c>
      <c r="O889" t="s">
        <v>2091</v>
      </c>
      <c r="P889" s="120">
        <v>41800</v>
      </c>
      <c r="Q889" s="120">
        <v>41802</v>
      </c>
      <c r="R889" s="120">
        <v>41831</v>
      </c>
      <c r="S889" t="s">
        <v>196</v>
      </c>
      <c r="T889">
        <v>2</v>
      </c>
      <c r="U889" t="s">
        <v>2730</v>
      </c>
      <c r="V889">
        <v>2</v>
      </c>
      <c r="W889" t="s">
        <v>2730</v>
      </c>
      <c r="X889">
        <v>2</v>
      </c>
      <c r="Y889">
        <v>2</v>
      </c>
      <c r="Z889" t="s">
        <v>2730</v>
      </c>
      <c r="AA889" t="s">
        <v>2730</v>
      </c>
      <c r="AB889" t="s">
        <v>2730</v>
      </c>
      <c r="AC889" t="s">
        <v>2730</v>
      </c>
      <c r="AD889" t="s">
        <v>2730</v>
      </c>
      <c r="AE889" t="s">
        <v>2730</v>
      </c>
      <c r="AF889" t="s">
        <v>2730</v>
      </c>
      <c r="AG889" t="s">
        <v>2730</v>
      </c>
      <c r="AH889" t="s">
        <v>2730</v>
      </c>
    </row>
    <row r="890" spans="1:34">
      <c r="A890" s="149" t="str">
        <f>HYPERLINK("http://www.ofsted.gov.uk/inspection-reports/find-inspection-report/provider/ELS/106002 ","Ofsted School Webpage")</f>
        <v>Ofsted School Webpage</v>
      </c>
      <c r="B890">
        <v>106002</v>
      </c>
      <c r="C890">
        <v>3556024</v>
      </c>
      <c r="D890" t="s">
        <v>2092</v>
      </c>
      <c r="E890" t="s">
        <v>37</v>
      </c>
      <c r="F890" t="s">
        <v>825</v>
      </c>
      <c r="G890" t="s">
        <v>184</v>
      </c>
      <c r="H890" t="s">
        <v>2729</v>
      </c>
      <c r="I890" t="s">
        <v>2730</v>
      </c>
      <c r="J890" t="s">
        <v>186</v>
      </c>
      <c r="K890" t="s">
        <v>205</v>
      </c>
      <c r="L890" t="s">
        <v>205</v>
      </c>
      <c r="M890" t="s">
        <v>853</v>
      </c>
      <c r="N890" t="s">
        <v>2093</v>
      </c>
      <c r="O890" t="s">
        <v>3094</v>
      </c>
      <c r="P890" s="120">
        <v>40982</v>
      </c>
      <c r="Q890" s="120">
        <v>40983</v>
      </c>
      <c r="R890" s="120">
        <v>41019</v>
      </c>
      <c r="S890" t="s">
        <v>196</v>
      </c>
      <c r="T890">
        <v>2</v>
      </c>
      <c r="U890" t="s">
        <v>2730</v>
      </c>
      <c r="V890" t="s">
        <v>2730</v>
      </c>
      <c r="W890" t="s">
        <v>2730</v>
      </c>
      <c r="X890">
        <v>2</v>
      </c>
      <c r="Y890">
        <v>2</v>
      </c>
      <c r="Z890">
        <v>8</v>
      </c>
      <c r="AA890" t="s">
        <v>2730</v>
      </c>
      <c r="AB890" t="s">
        <v>2730</v>
      </c>
      <c r="AC890" t="s">
        <v>2730</v>
      </c>
      <c r="AD890" t="s">
        <v>2730</v>
      </c>
      <c r="AE890" t="s">
        <v>2730</v>
      </c>
      <c r="AF890" t="s">
        <v>2730</v>
      </c>
      <c r="AG890" t="s">
        <v>2730</v>
      </c>
      <c r="AH890" t="s">
        <v>2730</v>
      </c>
    </row>
    <row r="891" spans="1:34">
      <c r="A891" s="149" t="str">
        <f>HYPERLINK("http://www.ofsted.gov.uk/inspection-reports/find-inspection-report/provider/ELS/132736 ","Ofsted School Webpage")</f>
        <v>Ofsted School Webpage</v>
      </c>
      <c r="B891">
        <v>132736</v>
      </c>
      <c r="C891">
        <v>2046407</v>
      </c>
      <c r="D891" t="s">
        <v>2094</v>
      </c>
      <c r="E891" t="s">
        <v>37</v>
      </c>
      <c r="F891" t="s">
        <v>184</v>
      </c>
      <c r="G891" t="s">
        <v>223</v>
      </c>
      <c r="H891" t="s">
        <v>2729</v>
      </c>
      <c r="I891" t="s">
        <v>2730</v>
      </c>
      <c r="J891" t="s">
        <v>186</v>
      </c>
      <c r="K891" t="s">
        <v>232</v>
      </c>
      <c r="L891" t="s">
        <v>232</v>
      </c>
      <c r="M891" t="s">
        <v>479</v>
      </c>
      <c r="N891" t="s">
        <v>2095</v>
      </c>
      <c r="O891" t="s">
        <v>2096</v>
      </c>
      <c r="P891" s="120">
        <v>41968</v>
      </c>
      <c r="Q891" s="120">
        <v>41970</v>
      </c>
      <c r="R891" s="120">
        <v>42044</v>
      </c>
      <c r="S891" t="s">
        <v>196</v>
      </c>
      <c r="T891">
        <v>2</v>
      </c>
      <c r="U891" t="s">
        <v>2730</v>
      </c>
      <c r="V891">
        <v>1</v>
      </c>
      <c r="W891" t="s">
        <v>2730</v>
      </c>
      <c r="X891">
        <v>2</v>
      </c>
      <c r="Y891">
        <v>1</v>
      </c>
      <c r="Z891">
        <v>9</v>
      </c>
      <c r="AA891">
        <v>9</v>
      </c>
      <c r="AB891" t="s">
        <v>2730</v>
      </c>
      <c r="AC891" t="s">
        <v>2730</v>
      </c>
      <c r="AD891" t="s">
        <v>2730</v>
      </c>
      <c r="AE891" t="s">
        <v>2730</v>
      </c>
      <c r="AF891" t="s">
        <v>2730</v>
      </c>
      <c r="AG891" t="s">
        <v>2730</v>
      </c>
      <c r="AH891" t="s">
        <v>2730</v>
      </c>
    </row>
    <row r="892" spans="1:34">
      <c r="A892" s="149" t="str">
        <f>HYPERLINK("http://www.ofsted.gov.uk/inspection-reports/find-inspection-report/provider/ELS/100530 ","Ofsted School Webpage")</f>
        <v>Ofsted School Webpage</v>
      </c>
      <c r="B892">
        <v>100530</v>
      </c>
      <c r="C892">
        <v>2126401</v>
      </c>
      <c r="D892" t="s">
        <v>2582</v>
      </c>
      <c r="E892" t="s">
        <v>37</v>
      </c>
      <c r="F892" t="s">
        <v>184</v>
      </c>
      <c r="G892" t="s">
        <v>292</v>
      </c>
      <c r="H892" t="s">
        <v>2729</v>
      </c>
      <c r="I892" t="s">
        <v>2730</v>
      </c>
      <c r="J892" t="s">
        <v>186</v>
      </c>
      <c r="K892" t="s">
        <v>232</v>
      </c>
      <c r="L892" t="s">
        <v>232</v>
      </c>
      <c r="M892" t="s">
        <v>435</v>
      </c>
      <c r="N892" t="s">
        <v>2583</v>
      </c>
      <c r="O892" t="s">
        <v>2584</v>
      </c>
      <c r="P892" s="120">
        <v>41779</v>
      </c>
      <c r="Q892" s="120">
        <v>41781</v>
      </c>
      <c r="R892" s="120">
        <v>41801</v>
      </c>
      <c r="S892" t="s">
        <v>196</v>
      </c>
      <c r="T892">
        <v>1</v>
      </c>
      <c r="U892" t="s">
        <v>2730</v>
      </c>
      <c r="V892">
        <v>1</v>
      </c>
      <c r="W892" t="s">
        <v>2730</v>
      </c>
      <c r="X892">
        <v>1</v>
      </c>
      <c r="Y892">
        <v>1</v>
      </c>
      <c r="Z892" t="s">
        <v>2730</v>
      </c>
      <c r="AA892" t="s">
        <v>2730</v>
      </c>
      <c r="AB892" t="s">
        <v>2730</v>
      </c>
      <c r="AC892" t="s">
        <v>2730</v>
      </c>
      <c r="AD892" t="s">
        <v>2730</v>
      </c>
      <c r="AE892" t="s">
        <v>2730</v>
      </c>
      <c r="AF892" t="s">
        <v>2730</v>
      </c>
      <c r="AG892" t="s">
        <v>2730</v>
      </c>
      <c r="AH892" t="s">
        <v>2730</v>
      </c>
    </row>
    <row r="893" spans="1:34">
      <c r="A893" s="149" t="str">
        <f>HYPERLINK("http://www.ofsted.gov.uk/inspection-reports/find-inspection-report/provider/ELS/130398 ","Ofsted School Webpage")</f>
        <v>Ofsted School Webpage</v>
      </c>
      <c r="B893">
        <v>130398</v>
      </c>
      <c r="C893">
        <v>2126398</v>
      </c>
      <c r="D893" t="s">
        <v>2585</v>
      </c>
      <c r="E893" t="s">
        <v>37</v>
      </c>
      <c r="F893" t="s">
        <v>184</v>
      </c>
      <c r="G893" t="s">
        <v>184</v>
      </c>
      <c r="H893" t="s">
        <v>2729</v>
      </c>
      <c r="I893" t="s">
        <v>2730</v>
      </c>
      <c r="J893" t="s">
        <v>186</v>
      </c>
      <c r="K893" t="s">
        <v>232</v>
      </c>
      <c r="L893" t="s">
        <v>232</v>
      </c>
      <c r="M893" t="s">
        <v>435</v>
      </c>
      <c r="N893" t="s">
        <v>2586</v>
      </c>
      <c r="O893" t="s">
        <v>2587</v>
      </c>
      <c r="P893" s="120">
        <v>40625</v>
      </c>
      <c r="Q893" s="120">
        <v>40626</v>
      </c>
      <c r="R893" s="120">
        <v>40673</v>
      </c>
      <c r="S893" t="s">
        <v>196</v>
      </c>
      <c r="T893">
        <v>1</v>
      </c>
      <c r="U893" t="s">
        <v>2730</v>
      </c>
      <c r="V893" t="s">
        <v>2730</v>
      </c>
      <c r="W893" t="s">
        <v>2730</v>
      </c>
      <c r="X893">
        <v>1</v>
      </c>
      <c r="Y893">
        <v>1</v>
      </c>
      <c r="Z893">
        <v>1</v>
      </c>
      <c r="AA893" t="s">
        <v>2730</v>
      </c>
      <c r="AB893" t="s">
        <v>2730</v>
      </c>
      <c r="AC893" t="s">
        <v>2730</v>
      </c>
      <c r="AD893" t="s">
        <v>2730</v>
      </c>
      <c r="AE893" s="120" t="s">
        <v>2730</v>
      </c>
      <c r="AF893" t="s">
        <v>2730</v>
      </c>
      <c r="AG893" s="120" t="s">
        <v>2730</v>
      </c>
      <c r="AH893" t="s">
        <v>2730</v>
      </c>
    </row>
    <row r="894" spans="1:34">
      <c r="A894" s="149" t="str">
        <f>HYPERLINK("http://www.ofsted.gov.uk/inspection-reports/find-inspection-report/provider/ELS/130239 ","Ofsted School Webpage")</f>
        <v>Ofsted School Webpage</v>
      </c>
      <c r="B894">
        <v>130239</v>
      </c>
      <c r="C894">
        <v>2056402</v>
      </c>
      <c r="D894" t="s">
        <v>2588</v>
      </c>
      <c r="E894" t="s">
        <v>37</v>
      </c>
      <c r="F894" t="s">
        <v>184</v>
      </c>
      <c r="G894" t="s">
        <v>212</v>
      </c>
      <c r="H894" t="s">
        <v>2729</v>
      </c>
      <c r="I894" t="s">
        <v>2730</v>
      </c>
      <c r="J894" t="s">
        <v>186</v>
      </c>
      <c r="K894" t="s">
        <v>232</v>
      </c>
      <c r="L894" t="s">
        <v>232</v>
      </c>
      <c r="M894" t="s">
        <v>300</v>
      </c>
      <c r="N894" t="s">
        <v>2589</v>
      </c>
      <c r="O894" t="s">
        <v>2590</v>
      </c>
      <c r="P894" s="120">
        <v>41969</v>
      </c>
      <c r="Q894" s="120">
        <v>41971</v>
      </c>
      <c r="R894" s="120">
        <v>41992</v>
      </c>
      <c r="S894" t="s">
        <v>196</v>
      </c>
      <c r="T894">
        <v>1</v>
      </c>
      <c r="U894" t="s">
        <v>2730</v>
      </c>
      <c r="V894">
        <v>1</v>
      </c>
      <c r="W894" t="s">
        <v>2730</v>
      </c>
      <c r="X894">
        <v>1</v>
      </c>
      <c r="Y894">
        <v>1</v>
      </c>
      <c r="Z894">
        <v>1</v>
      </c>
      <c r="AA894">
        <v>9</v>
      </c>
      <c r="AB894" t="s">
        <v>2730</v>
      </c>
      <c r="AC894" t="s">
        <v>2730</v>
      </c>
      <c r="AD894" t="s">
        <v>2730</v>
      </c>
      <c r="AE894" s="120" t="s">
        <v>2730</v>
      </c>
      <c r="AF894" t="s">
        <v>2730</v>
      </c>
      <c r="AG894" s="120" t="s">
        <v>2730</v>
      </c>
      <c r="AH894" t="s">
        <v>2730</v>
      </c>
    </row>
    <row r="895" spans="1:34">
      <c r="A895" s="149" t="str">
        <f>HYPERLINK("http://www.ofsted.gov.uk/inspection-reports/find-inspection-report/provider/ELS/100534 ","Ofsted School Webpage")</f>
        <v>Ofsted School Webpage</v>
      </c>
      <c r="B895">
        <v>100534</v>
      </c>
      <c r="C895">
        <v>2076317</v>
      </c>
      <c r="D895" t="s">
        <v>531</v>
      </c>
      <c r="E895" t="s">
        <v>37</v>
      </c>
      <c r="F895" t="s">
        <v>184</v>
      </c>
      <c r="G895" t="s">
        <v>184</v>
      </c>
      <c r="H895" t="s">
        <v>2729</v>
      </c>
      <c r="I895" t="s">
        <v>2730</v>
      </c>
      <c r="J895" t="s">
        <v>186</v>
      </c>
      <c r="K895" t="s">
        <v>232</v>
      </c>
      <c r="L895" t="s">
        <v>232</v>
      </c>
      <c r="M895" t="s">
        <v>294</v>
      </c>
      <c r="N895" t="s">
        <v>532</v>
      </c>
      <c r="O895">
        <v>10012796</v>
      </c>
      <c r="P895" s="120">
        <v>43039</v>
      </c>
      <c r="Q895" s="120">
        <v>43041</v>
      </c>
      <c r="R895" s="120">
        <v>43068</v>
      </c>
      <c r="S895" t="s">
        <v>196</v>
      </c>
      <c r="T895">
        <v>1</v>
      </c>
      <c r="U895" t="s">
        <v>128</v>
      </c>
      <c r="V895">
        <v>1</v>
      </c>
      <c r="W895">
        <v>1</v>
      </c>
      <c r="X895">
        <v>1</v>
      </c>
      <c r="Y895">
        <v>1</v>
      </c>
      <c r="Z895">
        <v>1</v>
      </c>
      <c r="AA895" t="s">
        <v>2730</v>
      </c>
      <c r="AB895" t="s">
        <v>2732</v>
      </c>
      <c r="AC895" t="s">
        <v>2730</v>
      </c>
      <c r="AD895" t="s">
        <v>2730</v>
      </c>
      <c r="AE895" t="s">
        <v>2730</v>
      </c>
      <c r="AF895" t="s">
        <v>2730</v>
      </c>
      <c r="AG895" t="s">
        <v>2730</v>
      </c>
      <c r="AH895" t="s">
        <v>2730</v>
      </c>
    </row>
    <row r="896" spans="1:34">
      <c r="A896" s="149" t="str">
        <f>HYPERLINK("http://www.ofsted.gov.uk/inspection-reports/find-inspection-report/provider/ELS/136143 ","Ofsted School Webpage")</f>
        <v>Ofsted School Webpage</v>
      </c>
      <c r="B896">
        <v>136143</v>
      </c>
      <c r="C896">
        <v>3556039</v>
      </c>
      <c r="D896" t="s">
        <v>2168</v>
      </c>
      <c r="E896" t="s">
        <v>37</v>
      </c>
      <c r="F896" t="s">
        <v>184</v>
      </c>
      <c r="G896" t="s">
        <v>318</v>
      </c>
      <c r="H896" t="s">
        <v>2729</v>
      </c>
      <c r="I896" t="s">
        <v>2730</v>
      </c>
      <c r="J896" t="s">
        <v>186</v>
      </c>
      <c r="K896" t="s">
        <v>205</v>
      </c>
      <c r="L896" t="s">
        <v>205</v>
      </c>
      <c r="M896" t="s">
        <v>853</v>
      </c>
      <c r="N896" t="s">
        <v>2169</v>
      </c>
      <c r="O896" t="s">
        <v>3095</v>
      </c>
      <c r="P896" s="120">
        <v>41801</v>
      </c>
      <c r="Q896" s="120">
        <v>41803</v>
      </c>
      <c r="R896" s="120">
        <v>41827</v>
      </c>
      <c r="S896" t="s">
        <v>196</v>
      </c>
      <c r="T896">
        <v>2</v>
      </c>
      <c r="U896" t="s">
        <v>2730</v>
      </c>
      <c r="V896">
        <v>2</v>
      </c>
      <c r="W896" t="s">
        <v>2730</v>
      </c>
      <c r="X896">
        <v>2</v>
      </c>
      <c r="Y896">
        <v>2</v>
      </c>
      <c r="Z896" t="s">
        <v>2730</v>
      </c>
      <c r="AA896" t="s">
        <v>2730</v>
      </c>
      <c r="AB896" t="s">
        <v>2730</v>
      </c>
      <c r="AC896" t="s">
        <v>2730</v>
      </c>
      <c r="AD896" t="s">
        <v>2730</v>
      </c>
      <c r="AE896" s="120" t="s">
        <v>2730</v>
      </c>
      <c r="AF896" t="s">
        <v>2730</v>
      </c>
      <c r="AG896" s="120" t="s">
        <v>2730</v>
      </c>
      <c r="AH896" t="s">
        <v>2730</v>
      </c>
    </row>
    <row r="897" spans="1:34">
      <c r="A897" s="149" t="str">
        <f>HYPERLINK("http://www.ofsted.gov.uk/inspection-reports/find-inspection-report/provider/ELS/142333 ","Ofsted School Webpage")</f>
        <v>Ofsted School Webpage</v>
      </c>
      <c r="B897">
        <v>142333</v>
      </c>
      <c r="C897">
        <v>8886062</v>
      </c>
      <c r="D897" t="s">
        <v>791</v>
      </c>
      <c r="E897" t="s">
        <v>37</v>
      </c>
      <c r="F897" t="s">
        <v>184</v>
      </c>
      <c r="G897" t="s">
        <v>184</v>
      </c>
      <c r="H897" t="s">
        <v>2729</v>
      </c>
      <c r="I897" t="s">
        <v>2730</v>
      </c>
      <c r="J897" t="s">
        <v>186</v>
      </c>
      <c r="K897" t="s">
        <v>205</v>
      </c>
      <c r="L897" t="s">
        <v>205</v>
      </c>
      <c r="M897" t="s">
        <v>206</v>
      </c>
      <c r="N897" t="s">
        <v>792</v>
      </c>
      <c r="O897">
        <v>10012972</v>
      </c>
      <c r="P897" s="120">
        <v>42633</v>
      </c>
      <c r="Q897" s="120">
        <v>42634</v>
      </c>
      <c r="R897" s="120">
        <v>42657</v>
      </c>
      <c r="S897" t="s">
        <v>249</v>
      </c>
      <c r="T897">
        <v>2</v>
      </c>
      <c r="U897" t="s">
        <v>128</v>
      </c>
      <c r="V897">
        <v>2</v>
      </c>
      <c r="W897">
        <v>2</v>
      </c>
      <c r="X897">
        <v>2</v>
      </c>
      <c r="Y897">
        <v>2</v>
      </c>
      <c r="Z897" t="s">
        <v>2730</v>
      </c>
      <c r="AA897">
        <v>2</v>
      </c>
      <c r="AB897" t="s">
        <v>2732</v>
      </c>
      <c r="AC897" t="s">
        <v>2730</v>
      </c>
      <c r="AD897" t="s">
        <v>2730</v>
      </c>
      <c r="AE897" t="s">
        <v>2730</v>
      </c>
      <c r="AF897" t="s">
        <v>2730</v>
      </c>
      <c r="AG897" t="s">
        <v>2730</v>
      </c>
      <c r="AH897" t="s">
        <v>2730</v>
      </c>
    </row>
    <row r="898" spans="1:34">
      <c r="A898" s="149" t="str">
        <f>HYPERLINK("http://www.ofsted.gov.uk/inspection-reports/find-inspection-report/provider/ELS/142334 ","Ofsted School Webpage")</f>
        <v>Ofsted School Webpage</v>
      </c>
      <c r="B898">
        <v>142334</v>
      </c>
      <c r="C898">
        <v>3116001</v>
      </c>
      <c r="D898" t="s">
        <v>793</v>
      </c>
      <c r="E898" t="s">
        <v>38</v>
      </c>
      <c r="F898" t="s">
        <v>184</v>
      </c>
      <c r="G898" t="s">
        <v>184</v>
      </c>
      <c r="H898" t="s">
        <v>2729</v>
      </c>
      <c r="I898" t="s">
        <v>2730</v>
      </c>
      <c r="J898" t="s">
        <v>186</v>
      </c>
      <c r="K898" t="s">
        <v>232</v>
      </c>
      <c r="L898" t="s">
        <v>232</v>
      </c>
      <c r="M898" t="s">
        <v>794</v>
      </c>
      <c r="N898" t="s">
        <v>795</v>
      </c>
      <c r="O898">
        <v>10041270</v>
      </c>
      <c r="P898" s="120">
        <v>43018</v>
      </c>
      <c r="Q898" s="120">
        <v>43020</v>
      </c>
      <c r="R898" s="120">
        <v>43077</v>
      </c>
      <c r="S898" t="s">
        <v>196</v>
      </c>
      <c r="T898">
        <v>3</v>
      </c>
      <c r="U898" t="s">
        <v>128</v>
      </c>
      <c r="V898">
        <v>3</v>
      </c>
      <c r="W898">
        <v>2</v>
      </c>
      <c r="X898">
        <v>3</v>
      </c>
      <c r="Y898">
        <v>3</v>
      </c>
      <c r="Z898" t="s">
        <v>2730</v>
      </c>
      <c r="AA898" t="s">
        <v>2730</v>
      </c>
      <c r="AB898" t="s">
        <v>2732</v>
      </c>
      <c r="AC898" t="s">
        <v>2730</v>
      </c>
      <c r="AD898" t="s">
        <v>2730</v>
      </c>
      <c r="AE898" t="s">
        <v>2730</v>
      </c>
      <c r="AF898" t="s">
        <v>2730</v>
      </c>
      <c r="AG898" t="s">
        <v>2730</v>
      </c>
      <c r="AH898" t="s">
        <v>2730</v>
      </c>
    </row>
    <row r="899" spans="1:34">
      <c r="A899" s="149" t="str">
        <f>HYPERLINK("http://www.ofsted.gov.uk/inspection-reports/find-inspection-report/provider/ELS/142338 ","Ofsted School Webpage")</f>
        <v>Ofsted School Webpage</v>
      </c>
      <c r="B899">
        <v>142338</v>
      </c>
      <c r="C899">
        <v>3306019</v>
      </c>
      <c r="D899" t="s">
        <v>796</v>
      </c>
      <c r="E899" t="s">
        <v>37</v>
      </c>
      <c r="F899" t="s">
        <v>184</v>
      </c>
      <c r="G899" t="s">
        <v>184</v>
      </c>
      <c r="H899" t="s">
        <v>2729</v>
      </c>
      <c r="I899" t="s">
        <v>2730</v>
      </c>
      <c r="J899" t="s">
        <v>186</v>
      </c>
      <c r="K899" t="s">
        <v>193</v>
      </c>
      <c r="L899" t="s">
        <v>193</v>
      </c>
      <c r="M899" t="s">
        <v>210</v>
      </c>
      <c r="N899" t="s">
        <v>797</v>
      </c>
      <c r="O899">
        <v>10012983</v>
      </c>
      <c r="P899" s="120">
        <v>42892</v>
      </c>
      <c r="Q899" s="120">
        <v>42894</v>
      </c>
      <c r="R899" s="120">
        <v>42983</v>
      </c>
      <c r="S899" t="s">
        <v>249</v>
      </c>
      <c r="T899">
        <v>3</v>
      </c>
      <c r="U899" t="s">
        <v>128</v>
      </c>
      <c r="V899">
        <v>2</v>
      </c>
      <c r="W899">
        <v>2</v>
      </c>
      <c r="X899">
        <v>3</v>
      </c>
      <c r="Y899">
        <v>3</v>
      </c>
      <c r="Z899" t="s">
        <v>2730</v>
      </c>
      <c r="AA899">
        <v>3</v>
      </c>
      <c r="AB899" t="s">
        <v>2732</v>
      </c>
      <c r="AC899" t="s">
        <v>2730</v>
      </c>
      <c r="AD899" t="s">
        <v>2730</v>
      </c>
      <c r="AE899" t="s">
        <v>2730</v>
      </c>
      <c r="AF899" t="s">
        <v>2730</v>
      </c>
      <c r="AG899" t="s">
        <v>2730</v>
      </c>
      <c r="AH899" t="s">
        <v>2730</v>
      </c>
    </row>
    <row r="900" spans="1:34">
      <c r="A900" s="149" t="str">
        <f>HYPERLINK("http://www.ofsted.gov.uk/inspection-reports/find-inspection-report/provider/ELS/142408 ","Ofsted School Webpage")</f>
        <v>Ofsted School Webpage</v>
      </c>
      <c r="B900">
        <v>142408</v>
      </c>
      <c r="C900">
        <v>2026004</v>
      </c>
      <c r="D900" t="s">
        <v>2461</v>
      </c>
      <c r="E900" t="s">
        <v>37</v>
      </c>
      <c r="F900" t="s">
        <v>184</v>
      </c>
      <c r="G900" t="s">
        <v>184</v>
      </c>
      <c r="H900" t="s">
        <v>2729</v>
      </c>
      <c r="I900" t="s">
        <v>2730</v>
      </c>
      <c r="J900" t="s">
        <v>186</v>
      </c>
      <c r="K900" t="s">
        <v>232</v>
      </c>
      <c r="L900" t="s">
        <v>232</v>
      </c>
      <c r="M900" t="s">
        <v>536</v>
      </c>
      <c r="N900" t="s">
        <v>2462</v>
      </c>
      <c r="O900">
        <v>10012978</v>
      </c>
      <c r="P900" s="120">
        <v>42717</v>
      </c>
      <c r="Q900" s="120">
        <v>42719</v>
      </c>
      <c r="R900" s="120">
        <v>42766</v>
      </c>
      <c r="S900" t="s">
        <v>249</v>
      </c>
      <c r="T900">
        <v>2</v>
      </c>
      <c r="U900" t="s">
        <v>128</v>
      </c>
      <c r="V900">
        <v>2</v>
      </c>
      <c r="W900">
        <v>2</v>
      </c>
      <c r="X900">
        <v>2</v>
      </c>
      <c r="Y900">
        <v>2</v>
      </c>
      <c r="Z900">
        <v>2</v>
      </c>
      <c r="AA900" t="s">
        <v>2730</v>
      </c>
      <c r="AB900" t="s">
        <v>2732</v>
      </c>
      <c r="AC900" t="s">
        <v>2730</v>
      </c>
      <c r="AD900" t="s">
        <v>2730</v>
      </c>
      <c r="AE900" t="s">
        <v>2730</v>
      </c>
      <c r="AF900" t="s">
        <v>2730</v>
      </c>
      <c r="AG900" t="s">
        <v>2730</v>
      </c>
      <c r="AH900" t="s">
        <v>2730</v>
      </c>
    </row>
    <row r="901" spans="1:34">
      <c r="A901" s="149" t="str">
        <f>HYPERLINK("http://www.ofsted.gov.uk/inspection-reports/find-inspection-report/provider/ELS/142672 ","Ofsted School Webpage")</f>
        <v>Ofsted School Webpage</v>
      </c>
      <c r="B901">
        <v>142672</v>
      </c>
      <c r="C901">
        <v>8216013</v>
      </c>
      <c r="D901" t="s">
        <v>2465</v>
      </c>
      <c r="E901" t="s">
        <v>38</v>
      </c>
      <c r="F901" t="s">
        <v>184</v>
      </c>
      <c r="G901" t="s">
        <v>184</v>
      </c>
      <c r="H901" t="s">
        <v>2729</v>
      </c>
      <c r="I901" t="s">
        <v>2730</v>
      </c>
      <c r="J901" t="s">
        <v>186</v>
      </c>
      <c r="K901" t="s">
        <v>220</v>
      </c>
      <c r="L901" t="s">
        <v>220</v>
      </c>
      <c r="M901" t="s">
        <v>221</v>
      </c>
      <c r="N901" t="s">
        <v>2466</v>
      </c>
      <c r="O901" t="s">
        <v>2730</v>
      </c>
      <c r="P901" s="120" t="s">
        <v>2730</v>
      </c>
      <c r="Q901" s="120" t="s">
        <v>2730</v>
      </c>
      <c r="R901" s="120" t="s">
        <v>2730</v>
      </c>
      <c r="S901" t="s">
        <v>2730</v>
      </c>
      <c r="T901" t="s">
        <v>2730</v>
      </c>
      <c r="U901" t="s">
        <v>2730</v>
      </c>
      <c r="V901" t="s">
        <v>2730</v>
      </c>
      <c r="W901" t="s">
        <v>2730</v>
      </c>
      <c r="X901" t="s">
        <v>2730</v>
      </c>
      <c r="Y901" t="s">
        <v>2730</v>
      </c>
      <c r="Z901" t="s">
        <v>2730</v>
      </c>
      <c r="AA901" t="s">
        <v>2730</v>
      </c>
      <c r="AB901" t="s">
        <v>2730</v>
      </c>
      <c r="AC901" t="s">
        <v>2730</v>
      </c>
      <c r="AD901" t="s">
        <v>2730</v>
      </c>
      <c r="AE901" t="s">
        <v>2730</v>
      </c>
      <c r="AF901" t="s">
        <v>2730</v>
      </c>
      <c r="AG901" t="s">
        <v>2730</v>
      </c>
      <c r="AH901" t="s">
        <v>2730</v>
      </c>
    </row>
    <row r="902" spans="1:34">
      <c r="A902" s="149" t="str">
        <f>HYPERLINK("http://www.ofsted.gov.uk/inspection-reports/find-inspection-report/provider/ELS/143041 ","Ofsted School Webpage")</f>
        <v>Ofsted School Webpage</v>
      </c>
      <c r="B902">
        <v>143041</v>
      </c>
      <c r="C902">
        <v>8886064</v>
      </c>
      <c r="D902" t="s">
        <v>524</v>
      </c>
      <c r="E902" t="s">
        <v>37</v>
      </c>
      <c r="F902" t="s">
        <v>184</v>
      </c>
      <c r="G902" t="s">
        <v>184</v>
      </c>
      <c r="H902" t="s">
        <v>2729</v>
      </c>
      <c r="I902" t="s">
        <v>2730</v>
      </c>
      <c r="J902" t="s">
        <v>186</v>
      </c>
      <c r="K902" t="s">
        <v>205</v>
      </c>
      <c r="L902" t="s">
        <v>205</v>
      </c>
      <c r="M902" t="s">
        <v>206</v>
      </c>
      <c r="N902" t="s">
        <v>525</v>
      </c>
      <c r="O902">
        <v>10038937</v>
      </c>
      <c r="P902" s="120">
        <v>43004</v>
      </c>
      <c r="Q902" s="120">
        <v>43005</v>
      </c>
      <c r="R902" s="120">
        <v>43027</v>
      </c>
      <c r="S902" t="s">
        <v>196</v>
      </c>
      <c r="T902">
        <v>2</v>
      </c>
      <c r="U902" t="s">
        <v>128</v>
      </c>
      <c r="V902">
        <v>2</v>
      </c>
      <c r="W902">
        <v>2</v>
      </c>
      <c r="X902">
        <v>2</v>
      </c>
      <c r="Y902">
        <v>2</v>
      </c>
      <c r="Z902" t="s">
        <v>2730</v>
      </c>
      <c r="AA902" t="s">
        <v>2730</v>
      </c>
      <c r="AB902" t="s">
        <v>2732</v>
      </c>
      <c r="AC902" t="s">
        <v>2730</v>
      </c>
      <c r="AD902" t="s">
        <v>2730</v>
      </c>
      <c r="AE902" t="s">
        <v>2730</v>
      </c>
      <c r="AF902" t="s">
        <v>2730</v>
      </c>
      <c r="AG902" t="s">
        <v>2730</v>
      </c>
      <c r="AH902" t="s">
        <v>2730</v>
      </c>
    </row>
    <row r="903" spans="1:34">
      <c r="A903" s="149" t="str">
        <f>HYPERLINK("http://www.ofsted.gov.uk/inspection-reports/find-inspection-report/provider/ELS/142776 ","Ofsted School Webpage")</f>
        <v>Ofsted School Webpage</v>
      </c>
      <c r="B903">
        <v>142776</v>
      </c>
      <c r="C903">
        <v>8736054</v>
      </c>
      <c r="D903" t="s">
        <v>800</v>
      </c>
      <c r="E903" t="s">
        <v>37</v>
      </c>
      <c r="F903" t="s">
        <v>184</v>
      </c>
      <c r="G903" t="s">
        <v>184</v>
      </c>
      <c r="H903" t="s">
        <v>2729</v>
      </c>
      <c r="I903" t="s">
        <v>2730</v>
      </c>
      <c r="J903" t="s">
        <v>186</v>
      </c>
      <c r="K903" t="s">
        <v>220</v>
      </c>
      <c r="L903" t="s">
        <v>220</v>
      </c>
      <c r="M903" t="s">
        <v>284</v>
      </c>
      <c r="N903" t="s">
        <v>801</v>
      </c>
      <c r="O903">
        <v>10033610</v>
      </c>
      <c r="P903" s="120">
        <v>42815</v>
      </c>
      <c r="Q903" s="120">
        <v>42817</v>
      </c>
      <c r="R903" s="120">
        <v>42858</v>
      </c>
      <c r="S903" t="s">
        <v>249</v>
      </c>
      <c r="T903">
        <v>2</v>
      </c>
      <c r="U903" t="s">
        <v>128</v>
      </c>
      <c r="V903">
        <v>2</v>
      </c>
      <c r="W903">
        <v>2</v>
      </c>
      <c r="X903">
        <v>2</v>
      </c>
      <c r="Y903">
        <v>2</v>
      </c>
      <c r="Z903" t="s">
        <v>2730</v>
      </c>
      <c r="AA903" t="s">
        <v>2730</v>
      </c>
      <c r="AB903" t="s">
        <v>2732</v>
      </c>
      <c r="AC903" t="s">
        <v>2730</v>
      </c>
      <c r="AD903" t="s">
        <v>2730</v>
      </c>
      <c r="AE903" t="s">
        <v>2730</v>
      </c>
      <c r="AF903" t="s">
        <v>2730</v>
      </c>
      <c r="AG903" t="s">
        <v>2730</v>
      </c>
      <c r="AH903" t="s">
        <v>2730</v>
      </c>
    </row>
    <row r="904" spans="1:34">
      <c r="A904" s="149" t="str">
        <f>HYPERLINK("http://www.ofsted.gov.uk/inspection-reports/find-inspection-report/provider/ELS/142778 ","Ofsted School Webpage")</f>
        <v>Ofsted School Webpage</v>
      </c>
      <c r="B904">
        <v>142778</v>
      </c>
      <c r="C904">
        <v>2056001</v>
      </c>
      <c r="D904" t="s">
        <v>299</v>
      </c>
      <c r="E904" t="s">
        <v>37</v>
      </c>
      <c r="F904" t="s">
        <v>184</v>
      </c>
      <c r="G904" t="s">
        <v>184</v>
      </c>
      <c r="H904" t="s">
        <v>2729</v>
      </c>
      <c r="I904" t="s">
        <v>2730</v>
      </c>
      <c r="J904" t="s">
        <v>186</v>
      </c>
      <c r="K904" t="s">
        <v>232</v>
      </c>
      <c r="L904" t="s">
        <v>232</v>
      </c>
      <c r="M904" t="s">
        <v>300</v>
      </c>
      <c r="N904" t="s">
        <v>301</v>
      </c>
      <c r="O904">
        <v>10026301</v>
      </c>
      <c r="P904" s="120">
        <v>42773</v>
      </c>
      <c r="Q904" s="120">
        <v>42775</v>
      </c>
      <c r="R904" s="120">
        <v>42807</v>
      </c>
      <c r="S904" t="s">
        <v>249</v>
      </c>
      <c r="T904">
        <v>3</v>
      </c>
      <c r="U904" t="s">
        <v>128</v>
      </c>
      <c r="V904">
        <v>3</v>
      </c>
      <c r="W904">
        <v>3</v>
      </c>
      <c r="X904">
        <v>3</v>
      </c>
      <c r="Y904">
        <v>3</v>
      </c>
      <c r="Z904" t="s">
        <v>2730</v>
      </c>
      <c r="AA904" t="s">
        <v>2730</v>
      </c>
      <c r="AB904" t="s">
        <v>2733</v>
      </c>
      <c r="AC904">
        <v>10039570</v>
      </c>
      <c r="AD904" t="s">
        <v>187</v>
      </c>
      <c r="AE904" s="120">
        <v>42992</v>
      </c>
      <c r="AF904" t="s">
        <v>2771</v>
      </c>
      <c r="AG904" s="120">
        <v>43032</v>
      </c>
      <c r="AH904" t="s">
        <v>189</v>
      </c>
    </row>
    <row r="905" spans="1:34">
      <c r="A905" s="149" t="str">
        <f>HYPERLINK("http://www.ofsted.gov.uk/inspection-reports/find-inspection-report/provider/ELS/142779 ","Ofsted School Webpage")</f>
        <v>Ofsted School Webpage</v>
      </c>
      <c r="B905">
        <v>142779</v>
      </c>
      <c r="C905">
        <v>8556037</v>
      </c>
      <c r="D905" t="s">
        <v>802</v>
      </c>
      <c r="E905" t="s">
        <v>38</v>
      </c>
      <c r="F905" t="s">
        <v>184</v>
      </c>
      <c r="G905" t="s">
        <v>184</v>
      </c>
      <c r="H905" t="s">
        <v>2729</v>
      </c>
      <c r="I905" t="s">
        <v>2730</v>
      </c>
      <c r="J905" t="s">
        <v>186</v>
      </c>
      <c r="K905" t="s">
        <v>214</v>
      </c>
      <c r="L905" t="s">
        <v>214</v>
      </c>
      <c r="M905" t="s">
        <v>281</v>
      </c>
      <c r="N905" t="s">
        <v>803</v>
      </c>
      <c r="O905" t="s">
        <v>2730</v>
      </c>
      <c r="P905" s="120" t="s">
        <v>2730</v>
      </c>
      <c r="Q905" s="120" t="s">
        <v>2730</v>
      </c>
      <c r="R905" s="120" t="s">
        <v>2730</v>
      </c>
      <c r="S905" t="s">
        <v>2730</v>
      </c>
      <c r="T905" t="s">
        <v>2730</v>
      </c>
      <c r="U905" t="s">
        <v>2730</v>
      </c>
      <c r="V905" t="s">
        <v>2730</v>
      </c>
      <c r="W905" t="s">
        <v>2730</v>
      </c>
      <c r="X905" t="s">
        <v>2730</v>
      </c>
      <c r="Y905" t="s">
        <v>2730</v>
      </c>
      <c r="Z905" t="s">
        <v>2730</v>
      </c>
      <c r="AA905" t="s">
        <v>2730</v>
      </c>
      <c r="AB905" t="s">
        <v>2730</v>
      </c>
      <c r="AC905" t="s">
        <v>2730</v>
      </c>
      <c r="AD905" t="s">
        <v>2730</v>
      </c>
      <c r="AE905" t="s">
        <v>2730</v>
      </c>
      <c r="AF905" t="s">
        <v>2730</v>
      </c>
      <c r="AG905" t="s">
        <v>2730</v>
      </c>
      <c r="AH905" t="s">
        <v>2730</v>
      </c>
    </row>
    <row r="906" spans="1:34">
      <c r="A906" s="149" t="str">
        <f>HYPERLINK("http://www.ofsted.gov.uk/inspection-reports/find-inspection-report/provider/ELS/142784 ","Ofsted School Webpage")</f>
        <v>Ofsted School Webpage</v>
      </c>
      <c r="B906">
        <v>142784</v>
      </c>
      <c r="C906">
        <v>3806013</v>
      </c>
      <c r="D906" t="s">
        <v>2190</v>
      </c>
      <c r="E906" t="s">
        <v>38</v>
      </c>
      <c r="F906" t="s">
        <v>184</v>
      </c>
      <c r="G906" t="s">
        <v>184</v>
      </c>
      <c r="H906" t="s">
        <v>2729</v>
      </c>
      <c r="I906" t="s">
        <v>2730</v>
      </c>
      <c r="J906" t="s">
        <v>186</v>
      </c>
      <c r="K906" t="s">
        <v>245</v>
      </c>
      <c r="L906" t="s">
        <v>246</v>
      </c>
      <c r="M906" t="s">
        <v>339</v>
      </c>
      <c r="N906" t="s">
        <v>2191</v>
      </c>
      <c r="O906">
        <v>10033925</v>
      </c>
      <c r="P906" s="120">
        <v>42864</v>
      </c>
      <c r="Q906" s="120">
        <v>42866</v>
      </c>
      <c r="R906" s="120">
        <v>42909</v>
      </c>
      <c r="S906" t="s">
        <v>249</v>
      </c>
      <c r="T906">
        <v>2</v>
      </c>
      <c r="U906" t="s">
        <v>128</v>
      </c>
      <c r="V906">
        <v>1</v>
      </c>
      <c r="W906">
        <v>1</v>
      </c>
      <c r="X906">
        <v>2</v>
      </c>
      <c r="Y906">
        <v>2</v>
      </c>
      <c r="Z906" t="s">
        <v>2730</v>
      </c>
      <c r="AA906" t="s">
        <v>2730</v>
      </c>
      <c r="AB906" t="s">
        <v>2732</v>
      </c>
      <c r="AC906" t="s">
        <v>2730</v>
      </c>
      <c r="AD906" t="s">
        <v>2730</v>
      </c>
      <c r="AE906" t="s">
        <v>2730</v>
      </c>
      <c r="AF906" t="s">
        <v>2730</v>
      </c>
      <c r="AG906" t="s">
        <v>2730</v>
      </c>
      <c r="AH906" t="s">
        <v>2730</v>
      </c>
    </row>
    <row r="907" spans="1:34">
      <c r="A907" s="149" t="str">
        <f>HYPERLINK("http://www.ofsted.gov.uk/inspection-reports/find-inspection-report/provider/ELS/143928 ","Ofsted School Webpage")</f>
        <v>Ofsted School Webpage</v>
      </c>
      <c r="B907">
        <v>143928</v>
      </c>
      <c r="C907">
        <v>8616014</v>
      </c>
      <c r="D907" t="s">
        <v>2121</v>
      </c>
      <c r="E907" t="s">
        <v>37</v>
      </c>
      <c r="F907" t="s">
        <v>184</v>
      </c>
      <c r="G907" t="s">
        <v>184</v>
      </c>
      <c r="H907" t="s">
        <v>2729</v>
      </c>
      <c r="I907" t="s">
        <v>2730</v>
      </c>
      <c r="J907" t="s">
        <v>186</v>
      </c>
      <c r="K907" t="s">
        <v>193</v>
      </c>
      <c r="L907" t="s">
        <v>193</v>
      </c>
      <c r="M907" t="s">
        <v>492</v>
      </c>
      <c r="N907" t="s">
        <v>2122</v>
      </c>
      <c r="O907" t="s">
        <v>2730</v>
      </c>
      <c r="P907" s="120" t="s">
        <v>2730</v>
      </c>
      <c r="Q907" s="120" t="s">
        <v>2730</v>
      </c>
      <c r="R907" s="120" t="s">
        <v>2730</v>
      </c>
      <c r="S907" t="s">
        <v>2730</v>
      </c>
      <c r="T907" t="s">
        <v>2730</v>
      </c>
      <c r="U907" t="s">
        <v>2730</v>
      </c>
      <c r="V907" t="s">
        <v>2730</v>
      </c>
      <c r="W907" t="s">
        <v>2730</v>
      </c>
      <c r="X907" t="s">
        <v>2730</v>
      </c>
      <c r="Y907" t="s">
        <v>2730</v>
      </c>
      <c r="Z907" t="s">
        <v>2730</v>
      </c>
      <c r="AA907" t="s">
        <v>2730</v>
      </c>
      <c r="AB907" t="s">
        <v>2730</v>
      </c>
      <c r="AC907" t="s">
        <v>2730</v>
      </c>
      <c r="AD907" t="s">
        <v>2730</v>
      </c>
      <c r="AE907" t="s">
        <v>2730</v>
      </c>
      <c r="AF907" t="s">
        <v>2730</v>
      </c>
      <c r="AG907" t="s">
        <v>2730</v>
      </c>
      <c r="AH907" t="s">
        <v>2730</v>
      </c>
    </row>
    <row r="908" spans="1:34">
      <c r="A908" s="149" t="str">
        <f>HYPERLINK("http://www.ofsted.gov.uk/inspection-reports/find-inspection-report/provider/ELS/143930 ","Ofsted School Webpage")</f>
        <v>Ofsted School Webpage</v>
      </c>
      <c r="B908">
        <v>143930</v>
      </c>
      <c r="C908">
        <v>8956004</v>
      </c>
      <c r="D908" t="s">
        <v>2123</v>
      </c>
      <c r="E908" t="s">
        <v>37</v>
      </c>
      <c r="F908" t="s">
        <v>184</v>
      </c>
      <c r="G908" t="s">
        <v>184</v>
      </c>
      <c r="H908" t="s">
        <v>2729</v>
      </c>
      <c r="I908" t="s">
        <v>2730</v>
      </c>
      <c r="J908" t="s">
        <v>186</v>
      </c>
      <c r="K908" t="s">
        <v>205</v>
      </c>
      <c r="L908" t="s">
        <v>205</v>
      </c>
      <c r="M908" t="s">
        <v>850</v>
      </c>
      <c r="N908" t="s">
        <v>2124</v>
      </c>
      <c r="O908" t="s">
        <v>2730</v>
      </c>
      <c r="P908" s="120" t="s">
        <v>2730</v>
      </c>
      <c r="Q908" s="120" t="s">
        <v>2730</v>
      </c>
      <c r="R908" s="120" t="s">
        <v>2730</v>
      </c>
      <c r="S908" t="s">
        <v>2730</v>
      </c>
      <c r="T908" t="s">
        <v>2730</v>
      </c>
      <c r="U908" t="s">
        <v>2730</v>
      </c>
      <c r="V908" t="s">
        <v>2730</v>
      </c>
      <c r="W908" t="s">
        <v>2730</v>
      </c>
      <c r="X908" t="s">
        <v>2730</v>
      </c>
      <c r="Y908" t="s">
        <v>2730</v>
      </c>
      <c r="Z908" t="s">
        <v>2730</v>
      </c>
      <c r="AA908" t="s">
        <v>2730</v>
      </c>
      <c r="AB908" t="s">
        <v>2730</v>
      </c>
      <c r="AC908" t="s">
        <v>2730</v>
      </c>
      <c r="AD908" t="s">
        <v>2730</v>
      </c>
      <c r="AE908" t="s">
        <v>2730</v>
      </c>
      <c r="AF908" t="s">
        <v>2730</v>
      </c>
      <c r="AG908" t="s">
        <v>2730</v>
      </c>
      <c r="AH908" t="s">
        <v>2730</v>
      </c>
    </row>
    <row r="909" spans="1:34">
      <c r="A909" s="149" t="str">
        <f>HYPERLINK("http://www.ofsted.gov.uk/inspection-reports/find-inspection-report/provider/ELS/143932 ","Ofsted School Webpage")</f>
        <v>Ofsted School Webpage</v>
      </c>
      <c r="B909">
        <v>143932</v>
      </c>
      <c r="C909">
        <v>8606045</v>
      </c>
      <c r="D909" t="s">
        <v>2125</v>
      </c>
      <c r="E909" t="s">
        <v>38</v>
      </c>
      <c r="F909" t="s">
        <v>184</v>
      </c>
      <c r="G909" t="s">
        <v>184</v>
      </c>
      <c r="H909" t="s">
        <v>2729</v>
      </c>
      <c r="I909" t="s">
        <v>2730</v>
      </c>
      <c r="J909" t="s">
        <v>186</v>
      </c>
      <c r="K909" t="s">
        <v>193</v>
      </c>
      <c r="L909" t="s">
        <v>193</v>
      </c>
      <c r="M909" t="s">
        <v>314</v>
      </c>
      <c r="N909" t="s">
        <v>2126</v>
      </c>
      <c r="O909" t="s">
        <v>2730</v>
      </c>
      <c r="P909" s="120" t="s">
        <v>2730</v>
      </c>
      <c r="Q909" s="120" t="s">
        <v>2730</v>
      </c>
      <c r="R909" s="120" t="s">
        <v>2730</v>
      </c>
      <c r="S909" t="s">
        <v>2730</v>
      </c>
      <c r="T909" t="s">
        <v>2730</v>
      </c>
      <c r="U909" t="s">
        <v>2730</v>
      </c>
      <c r="V909" t="s">
        <v>2730</v>
      </c>
      <c r="W909" t="s">
        <v>2730</v>
      </c>
      <c r="X909" t="s">
        <v>2730</v>
      </c>
      <c r="Y909" t="s">
        <v>2730</v>
      </c>
      <c r="Z909" t="s">
        <v>2730</v>
      </c>
      <c r="AA909" t="s">
        <v>2730</v>
      </c>
      <c r="AB909" t="s">
        <v>2730</v>
      </c>
      <c r="AC909" t="s">
        <v>2730</v>
      </c>
      <c r="AD909" t="s">
        <v>2730</v>
      </c>
      <c r="AE909" t="s">
        <v>2730</v>
      </c>
      <c r="AF909" t="s">
        <v>2730</v>
      </c>
      <c r="AG909" t="s">
        <v>2730</v>
      </c>
      <c r="AH909" t="s">
        <v>2730</v>
      </c>
    </row>
    <row r="910" spans="1:34">
      <c r="A910" s="149" t="str">
        <f>HYPERLINK("http://www.ofsted.gov.uk/inspection-reports/find-inspection-report/provider/ELS/143933 ","Ofsted School Webpage")</f>
        <v>Ofsted School Webpage</v>
      </c>
      <c r="B910">
        <v>143933</v>
      </c>
      <c r="C910">
        <v>2096003</v>
      </c>
      <c r="D910" t="s">
        <v>2509</v>
      </c>
      <c r="E910" t="s">
        <v>37</v>
      </c>
      <c r="F910" t="s">
        <v>184</v>
      </c>
      <c r="G910" t="s">
        <v>184</v>
      </c>
      <c r="H910" t="s">
        <v>2729</v>
      </c>
      <c r="I910" t="s">
        <v>2730</v>
      </c>
      <c r="J910" t="s">
        <v>186</v>
      </c>
      <c r="K910" t="s">
        <v>232</v>
      </c>
      <c r="L910" t="s">
        <v>232</v>
      </c>
      <c r="M910" t="s">
        <v>529</v>
      </c>
      <c r="N910" t="s">
        <v>2510</v>
      </c>
      <c r="O910" t="s">
        <v>2730</v>
      </c>
      <c r="P910" s="120" t="s">
        <v>2730</v>
      </c>
      <c r="Q910" s="120" t="s">
        <v>2730</v>
      </c>
      <c r="R910" s="120" t="s">
        <v>2730</v>
      </c>
      <c r="S910" t="s">
        <v>2730</v>
      </c>
      <c r="T910" t="s">
        <v>2730</v>
      </c>
      <c r="U910" t="s">
        <v>2730</v>
      </c>
      <c r="V910" t="s">
        <v>2730</v>
      </c>
      <c r="W910" t="s">
        <v>2730</v>
      </c>
      <c r="X910" t="s">
        <v>2730</v>
      </c>
      <c r="Y910" t="s">
        <v>2730</v>
      </c>
      <c r="Z910" t="s">
        <v>2730</v>
      </c>
      <c r="AA910" t="s">
        <v>2730</v>
      </c>
      <c r="AB910" t="s">
        <v>2730</v>
      </c>
      <c r="AC910" t="s">
        <v>2730</v>
      </c>
      <c r="AD910" t="s">
        <v>2730</v>
      </c>
      <c r="AE910" t="s">
        <v>2730</v>
      </c>
      <c r="AF910" t="s">
        <v>2730</v>
      </c>
      <c r="AG910" t="s">
        <v>2730</v>
      </c>
      <c r="AH910" t="s">
        <v>2730</v>
      </c>
    </row>
    <row r="911" spans="1:34">
      <c r="A911" s="149" t="str">
        <f>HYPERLINK("http://www.ofsted.gov.uk/inspection-reports/find-inspection-report/provider/ELS/143935 ","Ofsted School Webpage")</f>
        <v>Ofsted School Webpage</v>
      </c>
      <c r="B911">
        <v>143935</v>
      </c>
      <c r="C911">
        <v>9386003</v>
      </c>
      <c r="D911" t="s">
        <v>2511</v>
      </c>
      <c r="E911" t="s">
        <v>37</v>
      </c>
      <c r="F911" t="s">
        <v>184</v>
      </c>
      <c r="G911" t="s">
        <v>184</v>
      </c>
      <c r="H911" t="s">
        <v>2729</v>
      </c>
      <c r="I911" t="s">
        <v>2730</v>
      </c>
      <c r="J911" t="s">
        <v>186</v>
      </c>
      <c r="K911" t="s">
        <v>181</v>
      </c>
      <c r="L911" t="s">
        <v>181</v>
      </c>
      <c r="M911" t="s">
        <v>395</v>
      </c>
      <c r="N911" t="s">
        <v>2512</v>
      </c>
      <c r="O911" t="s">
        <v>2730</v>
      </c>
      <c r="P911" s="120" t="s">
        <v>2730</v>
      </c>
      <c r="Q911" s="120" t="s">
        <v>2730</v>
      </c>
      <c r="R911" s="120" t="s">
        <v>2730</v>
      </c>
      <c r="S911" t="s">
        <v>2730</v>
      </c>
      <c r="T911" t="s">
        <v>2730</v>
      </c>
      <c r="U911" t="s">
        <v>2730</v>
      </c>
      <c r="V911" t="s">
        <v>2730</v>
      </c>
      <c r="W911" t="s">
        <v>2730</v>
      </c>
      <c r="X911" t="s">
        <v>2730</v>
      </c>
      <c r="Y911" t="s">
        <v>2730</v>
      </c>
      <c r="Z911" t="s">
        <v>2730</v>
      </c>
      <c r="AA911" t="s">
        <v>2730</v>
      </c>
      <c r="AB911" t="s">
        <v>2730</v>
      </c>
      <c r="AC911" t="s">
        <v>2730</v>
      </c>
      <c r="AD911" t="s">
        <v>2730</v>
      </c>
      <c r="AE911" s="120" t="s">
        <v>2730</v>
      </c>
      <c r="AF911" t="s">
        <v>2730</v>
      </c>
      <c r="AG911" s="120" t="s">
        <v>2730</v>
      </c>
      <c r="AH911" t="s">
        <v>2730</v>
      </c>
    </row>
    <row r="912" spans="1:34">
      <c r="A912" s="149" t="str">
        <f>HYPERLINK("http://www.ofsted.gov.uk/inspection-reports/find-inspection-report/provider/ELS/143936 ","Ofsted School Webpage")</f>
        <v>Ofsted School Webpage</v>
      </c>
      <c r="B912">
        <v>143936</v>
      </c>
      <c r="C912">
        <v>8886069</v>
      </c>
      <c r="D912" t="s">
        <v>2513</v>
      </c>
      <c r="E912" t="s">
        <v>38</v>
      </c>
      <c r="F912" t="s">
        <v>184</v>
      </c>
      <c r="G912" t="s">
        <v>184</v>
      </c>
      <c r="H912" t="s">
        <v>2729</v>
      </c>
      <c r="I912" t="s">
        <v>2730</v>
      </c>
      <c r="J912" t="s">
        <v>186</v>
      </c>
      <c r="K912" t="s">
        <v>205</v>
      </c>
      <c r="L912" t="s">
        <v>205</v>
      </c>
      <c r="M912" t="s">
        <v>206</v>
      </c>
      <c r="N912" t="s">
        <v>2514</v>
      </c>
      <c r="O912" t="s">
        <v>2730</v>
      </c>
      <c r="P912" s="120" t="s">
        <v>2730</v>
      </c>
      <c r="Q912" s="120" t="s">
        <v>2730</v>
      </c>
      <c r="R912" s="120" t="s">
        <v>2730</v>
      </c>
      <c r="S912" t="s">
        <v>2730</v>
      </c>
      <c r="T912" t="s">
        <v>2730</v>
      </c>
      <c r="U912" t="s">
        <v>2730</v>
      </c>
      <c r="V912" t="s">
        <v>2730</v>
      </c>
      <c r="W912" t="s">
        <v>2730</v>
      </c>
      <c r="X912" t="s">
        <v>2730</v>
      </c>
      <c r="Y912" t="s">
        <v>2730</v>
      </c>
      <c r="Z912" t="s">
        <v>2730</v>
      </c>
      <c r="AA912" t="s">
        <v>2730</v>
      </c>
      <c r="AB912" t="s">
        <v>2730</v>
      </c>
      <c r="AC912" t="s">
        <v>2730</v>
      </c>
      <c r="AD912" t="s">
        <v>2730</v>
      </c>
      <c r="AE912" s="120" t="s">
        <v>2730</v>
      </c>
      <c r="AF912" t="s">
        <v>2730</v>
      </c>
      <c r="AG912" s="120" t="s">
        <v>2730</v>
      </c>
      <c r="AH912" t="s">
        <v>2730</v>
      </c>
    </row>
    <row r="913" spans="1:34">
      <c r="A913" s="149" t="str">
        <f>HYPERLINK("http://www.ofsted.gov.uk/inspection-reports/find-inspection-report/provider/ELS/145165 ","Ofsted School Webpage")</f>
        <v>Ofsted School Webpage</v>
      </c>
      <c r="B913">
        <v>145165</v>
      </c>
      <c r="C913">
        <v>2066003</v>
      </c>
      <c r="D913" t="s">
        <v>2710</v>
      </c>
      <c r="E913" t="s">
        <v>37</v>
      </c>
      <c r="F913" t="s">
        <v>184</v>
      </c>
      <c r="G913" t="s">
        <v>184</v>
      </c>
      <c r="H913" t="s">
        <v>2729</v>
      </c>
      <c r="I913" t="s">
        <v>2730</v>
      </c>
      <c r="J913" t="s">
        <v>186</v>
      </c>
      <c r="K913" t="s">
        <v>232</v>
      </c>
      <c r="L913" t="s">
        <v>232</v>
      </c>
      <c r="M913" t="s">
        <v>1972</v>
      </c>
      <c r="N913" t="s">
        <v>2711</v>
      </c>
      <c r="O913" t="s">
        <v>2730</v>
      </c>
      <c r="P913" s="120" t="s">
        <v>2730</v>
      </c>
      <c r="Q913" s="120" t="s">
        <v>2730</v>
      </c>
      <c r="R913" s="120" t="s">
        <v>2730</v>
      </c>
      <c r="S913" t="s">
        <v>2730</v>
      </c>
      <c r="T913" t="s">
        <v>2730</v>
      </c>
      <c r="U913" t="s">
        <v>2730</v>
      </c>
      <c r="V913" t="s">
        <v>2730</v>
      </c>
      <c r="W913" t="s">
        <v>2730</v>
      </c>
      <c r="X913" t="s">
        <v>2730</v>
      </c>
      <c r="Y913" t="s">
        <v>2730</v>
      </c>
      <c r="Z913" t="s">
        <v>2730</v>
      </c>
      <c r="AA913" t="s">
        <v>2730</v>
      </c>
      <c r="AB913" t="s">
        <v>2730</v>
      </c>
      <c r="AC913" t="s">
        <v>2730</v>
      </c>
      <c r="AD913" t="s">
        <v>2730</v>
      </c>
      <c r="AE913" t="s">
        <v>2730</v>
      </c>
      <c r="AF913" t="s">
        <v>2730</v>
      </c>
      <c r="AG913" t="s">
        <v>2730</v>
      </c>
      <c r="AH913" t="s">
        <v>2730</v>
      </c>
    </row>
    <row r="914" spans="1:34">
      <c r="A914" s="149" t="str">
        <f>HYPERLINK("http://www.ofsted.gov.uk/inspection-reports/find-inspection-report/provider/ELS/145168 ","Ofsted School Webpage")</f>
        <v>Ofsted School Webpage</v>
      </c>
      <c r="B914">
        <v>145168</v>
      </c>
      <c r="C914">
        <v>3806014</v>
      </c>
      <c r="D914" t="s">
        <v>2712</v>
      </c>
      <c r="E914" t="s">
        <v>37</v>
      </c>
      <c r="F914" t="s">
        <v>304</v>
      </c>
      <c r="G914" t="s">
        <v>184</v>
      </c>
      <c r="H914" t="s">
        <v>2729</v>
      </c>
      <c r="I914" t="s">
        <v>2730</v>
      </c>
      <c r="J914" t="s">
        <v>186</v>
      </c>
      <c r="K914" t="s">
        <v>245</v>
      </c>
      <c r="L914" t="s">
        <v>246</v>
      </c>
      <c r="M914" t="s">
        <v>339</v>
      </c>
      <c r="N914" t="s">
        <v>1561</v>
      </c>
      <c r="O914" t="s">
        <v>2730</v>
      </c>
      <c r="P914" s="120" t="s">
        <v>2730</v>
      </c>
      <c r="Q914" s="120" t="s">
        <v>2730</v>
      </c>
      <c r="R914" s="120" t="s">
        <v>2730</v>
      </c>
      <c r="S914" t="s">
        <v>2730</v>
      </c>
      <c r="T914" t="s">
        <v>2730</v>
      </c>
      <c r="U914" t="s">
        <v>2730</v>
      </c>
      <c r="V914" t="s">
        <v>2730</v>
      </c>
      <c r="W914" t="s">
        <v>2730</v>
      </c>
      <c r="X914" t="s">
        <v>2730</v>
      </c>
      <c r="Y914" t="s">
        <v>2730</v>
      </c>
      <c r="Z914" t="s">
        <v>2730</v>
      </c>
      <c r="AA914" t="s">
        <v>2730</v>
      </c>
      <c r="AB914" t="s">
        <v>2730</v>
      </c>
      <c r="AC914" t="s">
        <v>2730</v>
      </c>
      <c r="AD914" t="s">
        <v>2730</v>
      </c>
      <c r="AE914" s="120" t="s">
        <v>2730</v>
      </c>
      <c r="AF914" t="s">
        <v>2730</v>
      </c>
      <c r="AG914" s="120" t="s">
        <v>2730</v>
      </c>
      <c r="AH914" t="s">
        <v>2730</v>
      </c>
    </row>
    <row r="915" spans="1:34">
      <c r="A915" s="149" t="str">
        <f>HYPERLINK("http://www.ofsted.gov.uk/inspection-reports/find-inspection-report/provider/ELS/145170 ","Ofsted School Webpage")</f>
        <v>Ofsted School Webpage</v>
      </c>
      <c r="B915">
        <v>145170</v>
      </c>
      <c r="C915">
        <v>3546038</v>
      </c>
      <c r="D915" t="s">
        <v>3096</v>
      </c>
      <c r="E915" t="s">
        <v>37</v>
      </c>
      <c r="F915" t="s">
        <v>184</v>
      </c>
      <c r="G915" t="s">
        <v>184</v>
      </c>
      <c r="H915" t="s">
        <v>2729</v>
      </c>
      <c r="I915" t="s">
        <v>2730</v>
      </c>
      <c r="J915" t="s">
        <v>186</v>
      </c>
      <c r="K915" t="s">
        <v>205</v>
      </c>
      <c r="L915" t="s">
        <v>205</v>
      </c>
      <c r="M915" t="s">
        <v>456</v>
      </c>
      <c r="N915" t="s">
        <v>2713</v>
      </c>
      <c r="O915" t="s">
        <v>2730</v>
      </c>
      <c r="P915" s="120" t="s">
        <v>2730</v>
      </c>
      <c r="Q915" s="120" t="s">
        <v>2730</v>
      </c>
      <c r="R915" s="120" t="s">
        <v>2730</v>
      </c>
      <c r="S915" t="s">
        <v>2730</v>
      </c>
      <c r="T915" t="s">
        <v>2730</v>
      </c>
      <c r="U915" t="s">
        <v>2730</v>
      </c>
      <c r="V915" t="s">
        <v>2730</v>
      </c>
      <c r="W915" t="s">
        <v>2730</v>
      </c>
      <c r="X915" t="s">
        <v>2730</v>
      </c>
      <c r="Y915" t="s">
        <v>2730</v>
      </c>
      <c r="Z915" t="s">
        <v>2730</v>
      </c>
      <c r="AA915" t="s">
        <v>2730</v>
      </c>
      <c r="AB915" t="s">
        <v>2730</v>
      </c>
      <c r="AC915" t="s">
        <v>2730</v>
      </c>
      <c r="AD915" t="s">
        <v>2730</v>
      </c>
      <c r="AE915" t="s">
        <v>2730</v>
      </c>
      <c r="AF915" t="s">
        <v>2730</v>
      </c>
      <c r="AG915" t="s">
        <v>2730</v>
      </c>
      <c r="AH915" t="s">
        <v>2730</v>
      </c>
    </row>
    <row r="916" spans="1:34">
      <c r="A916" s="149" t="str">
        <f>HYPERLINK("http://www.ofsted.gov.uk/inspection-reports/find-inspection-report/provider/ELS/145181 ","Ofsted School Webpage")</f>
        <v>Ofsted School Webpage</v>
      </c>
      <c r="B916">
        <v>145181</v>
      </c>
      <c r="C916">
        <v>8786071</v>
      </c>
      <c r="D916" t="s">
        <v>2714</v>
      </c>
      <c r="E916" t="s">
        <v>38</v>
      </c>
      <c r="F916" t="s">
        <v>184</v>
      </c>
      <c r="G916" t="s">
        <v>184</v>
      </c>
      <c r="H916" t="s">
        <v>2729</v>
      </c>
      <c r="I916" t="s">
        <v>2730</v>
      </c>
      <c r="J916" t="s">
        <v>186</v>
      </c>
      <c r="K916" t="s">
        <v>225</v>
      </c>
      <c r="L916" t="s">
        <v>225</v>
      </c>
      <c r="M916" t="s">
        <v>367</v>
      </c>
      <c r="N916" t="s">
        <v>2715</v>
      </c>
      <c r="O916" t="s">
        <v>2730</v>
      </c>
      <c r="P916" s="120" t="s">
        <v>2730</v>
      </c>
      <c r="Q916" s="120" t="s">
        <v>2730</v>
      </c>
      <c r="R916" s="120" t="s">
        <v>2730</v>
      </c>
      <c r="S916" t="s">
        <v>2730</v>
      </c>
      <c r="T916" t="s">
        <v>2730</v>
      </c>
      <c r="U916" t="s">
        <v>2730</v>
      </c>
      <c r="V916" t="s">
        <v>2730</v>
      </c>
      <c r="W916" t="s">
        <v>2730</v>
      </c>
      <c r="X916" t="s">
        <v>2730</v>
      </c>
      <c r="Y916" t="s">
        <v>2730</v>
      </c>
      <c r="Z916" t="s">
        <v>2730</v>
      </c>
      <c r="AA916" t="s">
        <v>2730</v>
      </c>
      <c r="AB916" t="s">
        <v>2730</v>
      </c>
      <c r="AC916" t="s">
        <v>2730</v>
      </c>
      <c r="AD916" t="s">
        <v>2730</v>
      </c>
      <c r="AE916" t="s">
        <v>2730</v>
      </c>
      <c r="AF916" t="s">
        <v>2730</v>
      </c>
      <c r="AG916" t="s">
        <v>2730</v>
      </c>
      <c r="AH916" t="s">
        <v>2730</v>
      </c>
    </row>
    <row r="917" spans="1:34">
      <c r="A917" s="149" t="str">
        <f>HYPERLINK("http://www.ofsted.gov.uk/inspection-reports/find-inspection-report/provider/ELS/145182 ","Ofsted School Webpage")</f>
        <v>Ofsted School Webpage</v>
      </c>
      <c r="B917">
        <v>145182</v>
      </c>
      <c r="C917">
        <v>3416011</v>
      </c>
      <c r="D917" t="s">
        <v>2735</v>
      </c>
      <c r="E917" t="s">
        <v>38</v>
      </c>
      <c r="F917" t="s">
        <v>184</v>
      </c>
      <c r="G917" t="s">
        <v>184</v>
      </c>
      <c r="H917" t="s">
        <v>2729</v>
      </c>
      <c r="I917" t="s">
        <v>2730</v>
      </c>
      <c r="J917" t="s">
        <v>186</v>
      </c>
      <c r="K917" t="s">
        <v>205</v>
      </c>
      <c r="L917" t="s">
        <v>205</v>
      </c>
      <c r="M917" t="s">
        <v>658</v>
      </c>
      <c r="N917" t="s">
        <v>2736</v>
      </c>
      <c r="O917" t="s">
        <v>2730</v>
      </c>
      <c r="P917" s="120" t="s">
        <v>2730</v>
      </c>
      <c r="Q917" s="120" t="s">
        <v>2730</v>
      </c>
      <c r="R917" s="120" t="s">
        <v>2730</v>
      </c>
      <c r="S917" t="s">
        <v>2730</v>
      </c>
      <c r="T917" t="s">
        <v>2730</v>
      </c>
      <c r="U917" t="s">
        <v>2730</v>
      </c>
      <c r="V917" t="s">
        <v>2730</v>
      </c>
      <c r="W917" t="s">
        <v>2730</v>
      </c>
      <c r="X917" t="s">
        <v>2730</v>
      </c>
      <c r="Y917" t="s">
        <v>2730</v>
      </c>
      <c r="Z917" t="s">
        <v>2730</v>
      </c>
      <c r="AA917" t="s">
        <v>2730</v>
      </c>
      <c r="AB917" t="s">
        <v>2730</v>
      </c>
      <c r="AC917" t="s">
        <v>2730</v>
      </c>
      <c r="AD917" t="s">
        <v>2730</v>
      </c>
      <c r="AE917" s="120" t="s">
        <v>2730</v>
      </c>
      <c r="AF917" t="s">
        <v>2730</v>
      </c>
      <c r="AG917" s="120" t="s">
        <v>2730</v>
      </c>
      <c r="AH917" t="s">
        <v>2730</v>
      </c>
    </row>
    <row r="918" spans="1:34">
      <c r="A918" s="149" t="str">
        <f>HYPERLINK("http://www.ofsted.gov.uk/inspection-reports/find-inspection-report/provider/ELS/145187 ","Ofsted School Webpage")</f>
        <v>Ofsted School Webpage</v>
      </c>
      <c r="B918">
        <v>145187</v>
      </c>
      <c r="C918">
        <v>3596002</v>
      </c>
      <c r="D918" t="s">
        <v>833</v>
      </c>
      <c r="E918" t="s">
        <v>37</v>
      </c>
      <c r="F918" t="s">
        <v>184</v>
      </c>
      <c r="G918" t="s">
        <v>184</v>
      </c>
      <c r="H918" t="s">
        <v>2729</v>
      </c>
      <c r="I918" t="s">
        <v>2730</v>
      </c>
      <c r="J918" t="s">
        <v>186</v>
      </c>
      <c r="K918" t="s">
        <v>205</v>
      </c>
      <c r="L918" t="s">
        <v>205</v>
      </c>
      <c r="M918" t="s">
        <v>471</v>
      </c>
      <c r="N918" t="s">
        <v>834</v>
      </c>
      <c r="O918" t="s">
        <v>2730</v>
      </c>
      <c r="P918" s="120" t="s">
        <v>2730</v>
      </c>
      <c r="Q918" s="120" t="s">
        <v>2730</v>
      </c>
      <c r="R918" s="120" t="s">
        <v>2730</v>
      </c>
      <c r="S918" t="s">
        <v>2730</v>
      </c>
      <c r="T918" t="s">
        <v>2730</v>
      </c>
      <c r="U918" t="s">
        <v>2730</v>
      </c>
      <c r="V918" t="s">
        <v>2730</v>
      </c>
      <c r="W918" t="s">
        <v>2730</v>
      </c>
      <c r="X918" t="s">
        <v>2730</v>
      </c>
      <c r="Y918" t="s">
        <v>2730</v>
      </c>
      <c r="Z918" t="s">
        <v>2730</v>
      </c>
      <c r="AA918" t="s">
        <v>2730</v>
      </c>
      <c r="AB918" t="s">
        <v>2730</v>
      </c>
      <c r="AC918" t="s">
        <v>2730</v>
      </c>
      <c r="AD918" t="s">
        <v>2730</v>
      </c>
      <c r="AE918" s="120" t="s">
        <v>2730</v>
      </c>
      <c r="AF918" t="s">
        <v>2730</v>
      </c>
      <c r="AG918" s="120" t="s">
        <v>2730</v>
      </c>
      <c r="AH918" t="s">
        <v>2730</v>
      </c>
    </row>
    <row r="919" spans="1:34">
      <c r="A919" s="149" t="str">
        <f>HYPERLINK("http://www.ofsted.gov.uk/inspection-reports/find-inspection-report/provider/ELS/145192 ","Ofsted School Webpage")</f>
        <v>Ofsted School Webpage</v>
      </c>
      <c r="B919">
        <v>145192</v>
      </c>
      <c r="C919">
        <v>3116002</v>
      </c>
      <c r="D919" t="s">
        <v>835</v>
      </c>
      <c r="E919" t="s">
        <v>37</v>
      </c>
      <c r="F919" t="s">
        <v>184</v>
      </c>
      <c r="G919" t="s">
        <v>184</v>
      </c>
      <c r="H919" t="s">
        <v>2729</v>
      </c>
      <c r="I919" t="s">
        <v>2730</v>
      </c>
      <c r="J919" t="s">
        <v>186</v>
      </c>
      <c r="K919" t="s">
        <v>232</v>
      </c>
      <c r="L919" t="s">
        <v>232</v>
      </c>
      <c r="M919" t="s">
        <v>794</v>
      </c>
      <c r="N919" t="s">
        <v>836</v>
      </c>
      <c r="O919" t="s">
        <v>2730</v>
      </c>
      <c r="P919" s="120" t="s">
        <v>2730</v>
      </c>
      <c r="Q919" s="120" t="s">
        <v>2730</v>
      </c>
      <c r="R919" s="120" t="s">
        <v>2730</v>
      </c>
      <c r="S919" t="s">
        <v>2730</v>
      </c>
      <c r="T919" t="s">
        <v>2730</v>
      </c>
      <c r="U919" t="s">
        <v>2730</v>
      </c>
      <c r="V919" t="s">
        <v>2730</v>
      </c>
      <c r="W919" t="s">
        <v>2730</v>
      </c>
      <c r="X919" t="s">
        <v>2730</v>
      </c>
      <c r="Y919" t="s">
        <v>2730</v>
      </c>
      <c r="Z919" t="s">
        <v>2730</v>
      </c>
      <c r="AA919" t="s">
        <v>2730</v>
      </c>
      <c r="AB919" t="s">
        <v>2730</v>
      </c>
      <c r="AC919" t="s">
        <v>2730</v>
      </c>
      <c r="AD919" t="s">
        <v>2730</v>
      </c>
      <c r="AE919" s="120" t="s">
        <v>2730</v>
      </c>
      <c r="AF919" t="s">
        <v>2730</v>
      </c>
      <c r="AG919" s="120" t="s">
        <v>2730</v>
      </c>
      <c r="AH919" t="s">
        <v>2730</v>
      </c>
    </row>
    <row r="920" spans="1:34">
      <c r="A920" s="149" t="str">
        <f>HYPERLINK("http://www.ofsted.gov.uk/inspection-reports/find-inspection-report/provider/ELS/143036 ","Ofsted School Webpage")</f>
        <v>Ofsted School Webpage</v>
      </c>
      <c r="B920">
        <v>143036</v>
      </c>
      <c r="C920">
        <v>3086006</v>
      </c>
      <c r="D920" t="s">
        <v>258</v>
      </c>
      <c r="E920" t="s">
        <v>37</v>
      </c>
      <c r="F920" t="s">
        <v>184</v>
      </c>
      <c r="G920" t="s">
        <v>184</v>
      </c>
      <c r="H920" t="s">
        <v>2729</v>
      </c>
      <c r="I920" t="s">
        <v>2730</v>
      </c>
      <c r="J920" t="s">
        <v>186</v>
      </c>
      <c r="K920" t="s">
        <v>232</v>
      </c>
      <c r="L920" t="s">
        <v>232</v>
      </c>
      <c r="M920" t="s">
        <v>259</v>
      </c>
      <c r="N920" t="s">
        <v>260</v>
      </c>
      <c r="O920">
        <v>10035818</v>
      </c>
      <c r="P920" s="120">
        <v>43039</v>
      </c>
      <c r="Q920" s="120">
        <v>43041</v>
      </c>
      <c r="R920" s="120">
        <v>43069</v>
      </c>
      <c r="S920" t="s">
        <v>249</v>
      </c>
      <c r="T920">
        <v>2</v>
      </c>
      <c r="U920" t="s">
        <v>128</v>
      </c>
      <c r="V920">
        <v>2</v>
      </c>
      <c r="W920">
        <v>2</v>
      </c>
      <c r="X920">
        <v>2</v>
      </c>
      <c r="Y920">
        <v>2</v>
      </c>
      <c r="Z920" t="s">
        <v>2730</v>
      </c>
      <c r="AA920" t="s">
        <v>2730</v>
      </c>
      <c r="AB920" t="s">
        <v>2732</v>
      </c>
      <c r="AC920" t="s">
        <v>2730</v>
      </c>
      <c r="AD920" t="s">
        <v>2730</v>
      </c>
      <c r="AE920" t="s">
        <v>2730</v>
      </c>
      <c r="AF920" t="s">
        <v>2730</v>
      </c>
      <c r="AG920" t="s">
        <v>2730</v>
      </c>
      <c r="AH920" t="s">
        <v>2730</v>
      </c>
    </row>
    <row r="921" spans="1:34">
      <c r="A921" s="149" t="str">
        <f>HYPERLINK("http://www.ofsted.gov.uk/inspection-reports/find-inspection-report/provider/ELS/143037 ","Ofsted School Webpage")</f>
        <v>Ofsted School Webpage</v>
      </c>
      <c r="B921">
        <v>143037</v>
      </c>
      <c r="C921">
        <v>3026008</v>
      </c>
      <c r="D921" t="s">
        <v>1995</v>
      </c>
      <c r="E921" t="s">
        <v>37</v>
      </c>
      <c r="F921" t="s">
        <v>184</v>
      </c>
      <c r="G921" t="s">
        <v>413</v>
      </c>
      <c r="H921" t="s">
        <v>2729</v>
      </c>
      <c r="I921" t="s">
        <v>2730</v>
      </c>
      <c r="J921" t="s">
        <v>186</v>
      </c>
      <c r="K921" t="s">
        <v>232</v>
      </c>
      <c r="L921" t="s">
        <v>232</v>
      </c>
      <c r="M921" t="s">
        <v>311</v>
      </c>
      <c r="N921" t="s">
        <v>1996</v>
      </c>
      <c r="O921">
        <v>10026629</v>
      </c>
      <c r="P921" s="120">
        <v>43046</v>
      </c>
      <c r="Q921" s="120">
        <v>43048</v>
      </c>
      <c r="R921" s="120">
        <v>43084</v>
      </c>
      <c r="S921" t="s">
        <v>249</v>
      </c>
      <c r="T921">
        <v>1</v>
      </c>
      <c r="U921" t="s">
        <v>128</v>
      </c>
      <c r="V921">
        <v>1</v>
      </c>
      <c r="W921">
        <v>1</v>
      </c>
      <c r="X921">
        <v>1</v>
      </c>
      <c r="Y921">
        <v>1</v>
      </c>
      <c r="Z921">
        <v>1</v>
      </c>
      <c r="AA921" t="s">
        <v>2730</v>
      </c>
      <c r="AB921" t="s">
        <v>2732</v>
      </c>
      <c r="AC921" t="s">
        <v>2730</v>
      </c>
      <c r="AD921" t="s">
        <v>2730</v>
      </c>
      <c r="AE921" t="s">
        <v>2730</v>
      </c>
      <c r="AF921" t="s">
        <v>2730</v>
      </c>
      <c r="AG921" t="s">
        <v>2730</v>
      </c>
      <c r="AH921" t="s">
        <v>2730</v>
      </c>
    </row>
    <row r="922" spans="1:34">
      <c r="A922" s="149" t="str">
        <f>HYPERLINK("http://www.ofsted.gov.uk/inspection-reports/find-inspection-report/provider/ELS/143038 ","Ofsted School Webpage")</f>
        <v>Ofsted School Webpage</v>
      </c>
      <c r="B922">
        <v>143038</v>
      </c>
      <c r="C922">
        <v>3336011</v>
      </c>
      <c r="D922" t="s">
        <v>353</v>
      </c>
      <c r="E922" t="s">
        <v>37</v>
      </c>
      <c r="F922" t="s">
        <v>184</v>
      </c>
      <c r="G922" t="s">
        <v>184</v>
      </c>
      <c r="H922" t="s">
        <v>2729</v>
      </c>
      <c r="I922" t="s">
        <v>2730</v>
      </c>
      <c r="J922" t="s">
        <v>186</v>
      </c>
      <c r="K922" t="s">
        <v>193</v>
      </c>
      <c r="L922" t="s">
        <v>193</v>
      </c>
      <c r="M922" t="s">
        <v>354</v>
      </c>
      <c r="N922" t="s">
        <v>355</v>
      </c>
      <c r="O922">
        <v>10033587</v>
      </c>
      <c r="P922" s="120">
        <v>43018</v>
      </c>
      <c r="Q922" s="120">
        <v>43020</v>
      </c>
      <c r="R922" s="120">
        <v>43060</v>
      </c>
      <c r="S922" t="s">
        <v>249</v>
      </c>
      <c r="T922">
        <v>2</v>
      </c>
      <c r="U922" t="s">
        <v>128</v>
      </c>
      <c r="V922">
        <v>2</v>
      </c>
      <c r="W922">
        <v>2</v>
      </c>
      <c r="X922">
        <v>2</v>
      </c>
      <c r="Y922">
        <v>2</v>
      </c>
      <c r="Z922" t="s">
        <v>2730</v>
      </c>
      <c r="AA922">
        <v>2</v>
      </c>
      <c r="AB922" t="s">
        <v>2732</v>
      </c>
      <c r="AC922" t="s">
        <v>2730</v>
      </c>
      <c r="AD922" t="s">
        <v>2730</v>
      </c>
      <c r="AE922" t="s">
        <v>2730</v>
      </c>
      <c r="AF922" t="s">
        <v>2730</v>
      </c>
      <c r="AG922" t="s">
        <v>2730</v>
      </c>
      <c r="AH922" t="s">
        <v>2730</v>
      </c>
    </row>
    <row r="923" spans="1:34">
      <c r="A923" s="149" t="str">
        <f>HYPERLINK("http://www.ofsted.gov.uk/inspection-reports/find-inspection-report/provider/ELS/143400 ","Ofsted School Webpage")</f>
        <v>Ofsted School Webpage</v>
      </c>
      <c r="B923">
        <v>143400</v>
      </c>
      <c r="C923">
        <v>9386002</v>
      </c>
      <c r="D923" t="s">
        <v>1997</v>
      </c>
      <c r="E923" t="s">
        <v>38</v>
      </c>
      <c r="F923" t="s">
        <v>184</v>
      </c>
      <c r="G923" t="s">
        <v>184</v>
      </c>
      <c r="H923" t="s">
        <v>2729</v>
      </c>
      <c r="I923" t="s">
        <v>2730</v>
      </c>
      <c r="J923" t="s">
        <v>186</v>
      </c>
      <c r="K923" t="s">
        <v>181</v>
      </c>
      <c r="L923" t="s">
        <v>181</v>
      </c>
      <c r="M923" t="s">
        <v>395</v>
      </c>
      <c r="N923" t="s">
        <v>1998</v>
      </c>
      <c r="O923" t="s">
        <v>2730</v>
      </c>
      <c r="P923" s="120" t="s">
        <v>2730</v>
      </c>
      <c r="Q923" s="120" t="s">
        <v>2730</v>
      </c>
      <c r="R923" s="120" t="s">
        <v>2730</v>
      </c>
      <c r="S923" t="s">
        <v>2730</v>
      </c>
      <c r="T923" t="s">
        <v>2730</v>
      </c>
      <c r="U923" t="s">
        <v>2730</v>
      </c>
      <c r="V923" t="s">
        <v>2730</v>
      </c>
      <c r="W923" t="s">
        <v>2730</v>
      </c>
      <c r="X923" t="s">
        <v>2730</v>
      </c>
      <c r="Y923" t="s">
        <v>2730</v>
      </c>
      <c r="Z923" t="s">
        <v>2730</v>
      </c>
      <c r="AA923" t="s">
        <v>2730</v>
      </c>
      <c r="AB923" t="s">
        <v>2730</v>
      </c>
      <c r="AC923" t="s">
        <v>2730</v>
      </c>
      <c r="AD923" t="s">
        <v>2730</v>
      </c>
      <c r="AE923" t="s">
        <v>2730</v>
      </c>
      <c r="AF923" t="s">
        <v>2730</v>
      </c>
      <c r="AG923" t="s">
        <v>2730</v>
      </c>
      <c r="AH923" t="s">
        <v>2730</v>
      </c>
    </row>
    <row r="924" spans="1:34">
      <c r="A924" s="149" t="str">
        <f>HYPERLINK("http://www.ofsted.gov.uk/inspection-reports/find-inspection-report/provider/ELS/143039 ","Ofsted School Webpage")</f>
        <v>Ofsted School Webpage</v>
      </c>
      <c r="B924">
        <v>143039</v>
      </c>
      <c r="C924">
        <v>3306026</v>
      </c>
      <c r="D924" t="s">
        <v>1999</v>
      </c>
      <c r="E924" t="s">
        <v>37</v>
      </c>
      <c r="F924" t="s">
        <v>184</v>
      </c>
      <c r="G924" t="s">
        <v>184</v>
      </c>
      <c r="H924" t="s">
        <v>2729</v>
      </c>
      <c r="I924" t="s">
        <v>2730</v>
      </c>
      <c r="J924" t="s">
        <v>186</v>
      </c>
      <c r="K924" t="s">
        <v>193</v>
      </c>
      <c r="L924" t="s">
        <v>193</v>
      </c>
      <c r="M924" t="s">
        <v>210</v>
      </c>
      <c r="N924" t="s">
        <v>2000</v>
      </c>
      <c r="O924" t="s">
        <v>2730</v>
      </c>
      <c r="P924" s="120" t="s">
        <v>2730</v>
      </c>
      <c r="Q924" s="120" t="s">
        <v>2730</v>
      </c>
      <c r="R924" s="120" t="s">
        <v>2730</v>
      </c>
      <c r="S924" t="s">
        <v>2730</v>
      </c>
      <c r="T924" t="s">
        <v>2730</v>
      </c>
      <c r="U924" t="s">
        <v>2730</v>
      </c>
      <c r="V924" t="s">
        <v>2730</v>
      </c>
      <c r="W924" t="s">
        <v>2730</v>
      </c>
      <c r="X924" t="s">
        <v>2730</v>
      </c>
      <c r="Y924" t="s">
        <v>2730</v>
      </c>
      <c r="Z924" t="s">
        <v>2730</v>
      </c>
      <c r="AA924" t="s">
        <v>2730</v>
      </c>
      <c r="AB924" t="s">
        <v>2730</v>
      </c>
      <c r="AC924" t="s">
        <v>2730</v>
      </c>
      <c r="AD924" t="s">
        <v>2730</v>
      </c>
      <c r="AE924" t="s">
        <v>2730</v>
      </c>
      <c r="AF924" t="s">
        <v>2730</v>
      </c>
      <c r="AG924" t="s">
        <v>2730</v>
      </c>
      <c r="AH924" t="s">
        <v>2730</v>
      </c>
    </row>
    <row r="925" spans="1:34">
      <c r="A925" s="149" t="str">
        <f>HYPERLINK("http://www.ofsted.gov.uk/inspection-reports/find-inspection-report/provider/ELS/143040 ","Ofsted School Webpage")</f>
        <v>Ofsted School Webpage</v>
      </c>
      <c r="B925">
        <v>143040</v>
      </c>
      <c r="C925">
        <v>3306030</v>
      </c>
      <c r="D925" t="s">
        <v>2605</v>
      </c>
      <c r="E925" t="s">
        <v>37</v>
      </c>
      <c r="F925" t="s">
        <v>184</v>
      </c>
      <c r="G925" t="s">
        <v>184</v>
      </c>
      <c r="H925" t="s">
        <v>2729</v>
      </c>
      <c r="I925" t="s">
        <v>2730</v>
      </c>
      <c r="J925" t="s">
        <v>186</v>
      </c>
      <c r="K925" t="s">
        <v>193</v>
      </c>
      <c r="L925" t="s">
        <v>193</v>
      </c>
      <c r="M925" t="s">
        <v>210</v>
      </c>
      <c r="N925" t="s">
        <v>2606</v>
      </c>
      <c r="O925" t="s">
        <v>2730</v>
      </c>
      <c r="P925" s="120" t="s">
        <v>2730</v>
      </c>
      <c r="Q925" s="120" t="s">
        <v>2730</v>
      </c>
      <c r="R925" s="120" t="s">
        <v>2730</v>
      </c>
      <c r="S925" t="s">
        <v>2730</v>
      </c>
      <c r="T925" t="s">
        <v>2730</v>
      </c>
      <c r="U925" t="s">
        <v>2730</v>
      </c>
      <c r="V925" t="s">
        <v>2730</v>
      </c>
      <c r="W925" t="s">
        <v>2730</v>
      </c>
      <c r="X925" t="s">
        <v>2730</v>
      </c>
      <c r="Y925" t="s">
        <v>2730</v>
      </c>
      <c r="Z925" t="s">
        <v>2730</v>
      </c>
      <c r="AA925" t="s">
        <v>2730</v>
      </c>
      <c r="AB925" t="s">
        <v>2730</v>
      </c>
      <c r="AC925" t="s">
        <v>2730</v>
      </c>
      <c r="AD925" t="s">
        <v>2730</v>
      </c>
      <c r="AE925" t="s">
        <v>2730</v>
      </c>
      <c r="AF925" t="s">
        <v>2730</v>
      </c>
      <c r="AG925" t="s">
        <v>2730</v>
      </c>
      <c r="AH925" t="s">
        <v>2730</v>
      </c>
    </row>
    <row r="926" spans="1:34">
      <c r="A926" s="149" t="str">
        <f>HYPERLINK("http://www.ofsted.gov.uk/inspection-reports/find-inspection-report/provider/ELS/145023 ","Ofsted School Webpage")</f>
        <v>Ofsted School Webpage</v>
      </c>
      <c r="B926">
        <v>145023</v>
      </c>
      <c r="C926">
        <v>9256007</v>
      </c>
      <c r="D926" t="s">
        <v>2007</v>
      </c>
      <c r="E926" t="s">
        <v>38</v>
      </c>
      <c r="F926" t="s">
        <v>184</v>
      </c>
      <c r="G926" t="s">
        <v>184</v>
      </c>
      <c r="H926" t="s">
        <v>2729</v>
      </c>
      <c r="I926" t="s">
        <v>2730</v>
      </c>
      <c r="J926" t="s">
        <v>186</v>
      </c>
      <c r="K926" t="s">
        <v>214</v>
      </c>
      <c r="L926" t="s">
        <v>214</v>
      </c>
      <c r="M926" t="s">
        <v>684</v>
      </c>
      <c r="N926" t="s">
        <v>2008</v>
      </c>
      <c r="O926" t="s">
        <v>2730</v>
      </c>
      <c r="P926" s="120" t="s">
        <v>2730</v>
      </c>
      <c r="Q926" s="120" t="s">
        <v>2730</v>
      </c>
      <c r="R926" s="120" t="s">
        <v>2730</v>
      </c>
      <c r="S926" t="s">
        <v>2730</v>
      </c>
      <c r="T926" t="s">
        <v>2730</v>
      </c>
      <c r="U926" t="s">
        <v>2730</v>
      </c>
      <c r="V926" t="s">
        <v>2730</v>
      </c>
      <c r="W926" t="s">
        <v>2730</v>
      </c>
      <c r="X926" t="s">
        <v>2730</v>
      </c>
      <c r="Y926" t="s">
        <v>2730</v>
      </c>
      <c r="Z926" t="s">
        <v>2730</v>
      </c>
      <c r="AA926" t="s">
        <v>2730</v>
      </c>
      <c r="AB926" t="s">
        <v>2730</v>
      </c>
      <c r="AC926" t="s">
        <v>2730</v>
      </c>
      <c r="AD926" t="s">
        <v>2730</v>
      </c>
      <c r="AE926" t="s">
        <v>2730</v>
      </c>
      <c r="AF926" t="s">
        <v>2730</v>
      </c>
      <c r="AG926" t="s">
        <v>2730</v>
      </c>
      <c r="AH926" t="s">
        <v>2730</v>
      </c>
    </row>
    <row r="927" spans="1:34">
      <c r="A927" s="149" t="str">
        <f>HYPERLINK("http://www.ofsted.gov.uk/inspection-reports/find-inspection-report/provider/ELS/145025 ","Ofsted School Webpage")</f>
        <v>Ofsted School Webpage</v>
      </c>
      <c r="B927">
        <v>145025</v>
      </c>
      <c r="C927">
        <v>8786070</v>
      </c>
      <c r="D927" t="s">
        <v>2009</v>
      </c>
      <c r="E927" t="s">
        <v>37</v>
      </c>
      <c r="F927" t="s">
        <v>184</v>
      </c>
      <c r="G927" t="s">
        <v>184</v>
      </c>
      <c r="H927" t="s">
        <v>2729</v>
      </c>
      <c r="I927" t="s">
        <v>2730</v>
      </c>
      <c r="J927" t="s">
        <v>186</v>
      </c>
      <c r="K927" t="s">
        <v>225</v>
      </c>
      <c r="L927" t="s">
        <v>225</v>
      </c>
      <c r="M927" t="s">
        <v>367</v>
      </c>
      <c r="N927" t="s">
        <v>2010</v>
      </c>
      <c r="O927" t="s">
        <v>2730</v>
      </c>
      <c r="P927" s="120" t="s">
        <v>2730</v>
      </c>
      <c r="Q927" s="120" t="s">
        <v>2730</v>
      </c>
      <c r="R927" s="120" t="s">
        <v>2730</v>
      </c>
      <c r="S927" t="s">
        <v>2730</v>
      </c>
      <c r="T927" t="s">
        <v>2730</v>
      </c>
      <c r="U927" t="s">
        <v>2730</v>
      </c>
      <c r="V927" t="s">
        <v>2730</v>
      </c>
      <c r="W927" t="s">
        <v>2730</v>
      </c>
      <c r="X927" t="s">
        <v>2730</v>
      </c>
      <c r="Y927" t="s">
        <v>2730</v>
      </c>
      <c r="Z927" t="s">
        <v>2730</v>
      </c>
      <c r="AA927" t="s">
        <v>2730</v>
      </c>
      <c r="AB927" t="s">
        <v>2730</v>
      </c>
      <c r="AC927" t="s">
        <v>2730</v>
      </c>
      <c r="AD927" t="s">
        <v>2730</v>
      </c>
      <c r="AE927" t="s">
        <v>2730</v>
      </c>
      <c r="AF927" t="s">
        <v>2730</v>
      </c>
      <c r="AG927" t="s">
        <v>2730</v>
      </c>
      <c r="AH927" t="s">
        <v>2730</v>
      </c>
    </row>
    <row r="928" spans="1:34">
      <c r="A928" s="149" t="str">
        <f>HYPERLINK("http://www.ofsted.gov.uk/inspection-reports/find-inspection-report/provider/ELS/145064 ","Ofsted School Webpage")</f>
        <v>Ofsted School Webpage</v>
      </c>
      <c r="B928">
        <v>145064</v>
      </c>
      <c r="C928">
        <v>8866145</v>
      </c>
      <c r="D928" t="s">
        <v>2011</v>
      </c>
      <c r="E928" t="s">
        <v>38</v>
      </c>
      <c r="F928" t="s">
        <v>184</v>
      </c>
      <c r="G928" t="s">
        <v>184</v>
      </c>
      <c r="H928" t="s">
        <v>2729</v>
      </c>
      <c r="I928" t="s">
        <v>2730</v>
      </c>
      <c r="J928" t="s">
        <v>186</v>
      </c>
      <c r="K928" t="s">
        <v>181</v>
      </c>
      <c r="L928" t="s">
        <v>181</v>
      </c>
      <c r="M928" t="s">
        <v>182</v>
      </c>
      <c r="N928" t="s">
        <v>2012</v>
      </c>
      <c r="O928" t="s">
        <v>2730</v>
      </c>
      <c r="P928" s="120" t="s">
        <v>2730</v>
      </c>
      <c r="Q928" s="120" t="s">
        <v>2730</v>
      </c>
      <c r="R928" s="120" t="s">
        <v>2730</v>
      </c>
      <c r="S928" t="s">
        <v>2730</v>
      </c>
      <c r="T928" t="s">
        <v>2730</v>
      </c>
      <c r="U928" t="s">
        <v>2730</v>
      </c>
      <c r="V928" t="s">
        <v>2730</v>
      </c>
      <c r="W928" t="s">
        <v>2730</v>
      </c>
      <c r="X928" t="s">
        <v>2730</v>
      </c>
      <c r="Y928" t="s">
        <v>2730</v>
      </c>
      <c r="Z928" t="s">
        <v>2730</v>
      </c>
      <c r="AA928" t="s">
        <v>2730</v>
      </c>
      <c r="AB928" t="s">
        <v>2730</v>
      </c>
      <c r="AC928" t="s">
        <v>2730</v>
      </c>
      <c r="AD928" t="s">
        <v>2730</v>
      </c>
      <c r="AE928" s="120" t="s">
        <v>2730</v>
      </c>
      <c r="AF928" t="s">
        <v>2730</v>
      </c>
      <c r="AG928" s="120" t="s">
        <v>2730</v>
      </c>
      <c r="AH928" t="s">
        <v>2730</v>
      </c>
    </row>
    <row r="929" spans="1:34">
      <c r="A929" s="149" t="str">
        <f>HYPERLINK("http://www.ofsted.gov.uk/inspection-reports/find-inspection-report/provider/ELS/145067 ","Ofsted School Webpage")</f>
        <v>Ofsted School Webpage</v>
      </c>
      <c r="B929">
        <v>145067</v>
      </c>
      <c r="C929">
        <v>3936000</v>
      </c>
      <c r="D929" t="s">
        <v>2523</v>
      </c>
      <c r="E929" t="s">
        <v>38</v>
      </c>
      <c r="F929" t="s">
        <v>184</v>
      </c>
      <c r="G929" t="s">
        <v>184</v>
      </c>
      <c r="H929" t="s">
        <v>2729</v>
      </c>
      <c r="I929" t="s">
        <v>2730</v>
      </c>
      <c r="J929" t="s">
        <v>186</v>
      </c>
      <c r="K929" t="s">
        <v>245</v>
      </c>
      <c r="L929" t="s">
        <v>277</v>
      </c>
      <c r="M929" t="s">
        <v>2524</v>
      </c>
      <c r="N929" t="s">
        <v>2525</v>
      </c>
      <c r="O929" t="s">
        <v>2730</v>
      </c>
      <c r="P929" s="120" t="s">
        <v>2730</v>
      </c>
      <c r="Q929" s="120" t="s">
        <v>2730</v>
      </c>
      <c r="R929" s="120" t="s">
        <v>2730</v>
      </c>
      <c r="S929" t="s">
        <v>2730</v>
      </c>
      <c r="T929" t="s">
        <v>2730</v>
      </c>
      <c r="U929" t="s">
        <v>2730</v>
      </c>
      <c r="V929" t="s">
        <v>2730</v>
      </c>
      <c r="W929" t="s">
        <v>2730</v>
      </c>
      <c r="X929" t="s">
        <v>2730</v>
      </c>
      <c r="Y929" t="s">
        <v>2730</v>
      </c>
      <c r="Z929" t="s">
        <v>2730</v>
      </c>
      <c r="AA929" t="s">
        <v>2730</v>
      </c>
      <c r="AB929" t="s">
        <v>2730</v>
      </c>
      <c r="AC929" t="s">
        <v>2730</v>
      </c>
      <c r="AD929" t="s">
        <v>2730</v>
      </c>
      <c r="AE929" t="s">
        <v>2730</v>
      </c>
      <c r="AF929" t="s">
        <v>2730</v>
      </c>
      <c r="AG929" t="s">
        <v>2730</v>
      </c>
      <c r="AH929" t="s">
        <v>2730</v>
      </c>
    </row>
    <row r="930" spans="1:34">
      <c r="A930" s="149" t="str">
        <f>HYPERLINK("http://www.ofsted.gov.uk/inspection-reports/find-inspection-report/provider/ELS/145116 ","Ofsted School Webpage")</f>
        <v>Ofsted School Webpage</v>
      </c>
      <c r="B930">
        <v>145116</v>
      </c>
      <c r="C930">
        <v>8456063</v>
      </c>
      <c r="D930" t="s">
        <v>2526</v>
      </c>
      <c r="E930" t="s">
        <v>38</v>
      </c>
      <c r="F930" t="s">
        <v>184</v>
      </c>
      <c r="G930" t="s">
        <v>184</v>
      </c>
      <c r="H930" t="s">
        <v>2729</v>
      </c>
      <c r="I930" t="s">
        <v>2730</v>
      </c>
      <c r="J930" t="s">
        <v>186</v>
      </c>
      <c r="K930" t="s">
        <v>181</v>
      </c>
      <c r="L930" t="s">
        <v>181</v>
      </c>
      <c r="M930" t="s">
        <v>438</v>
      </c>
      <c r="N930" t="s">
        <v>2527</v>
      </c>
      <c r="O930" t="s">
        <v>2730</v>
      </c>
      <c r="P930" s="120" t="s">
        <v>2730</v>
      </c>
      <c r="Q930" s="120" t="s">
        <v>2730</v>
      </c>
      <c r="R930" s="120" t="s">
        <v>2730</v>
      </c>
      <c r="S930" t="s">
        <v>2730</v>
      </c>
      <c r="T930" t="s">
        <v>2730</v>
      </c>
      <c r="U930" t="s">
        <v>2730</v>
      </c>
      <c r="V930" t="s">
        <v>2730</v>
      </c>
      <c r="W930" t="s">
        <v>2730</v>
      </c>
      <c r="X930" t="s">
        <v>2730</v>
      </c>
      <c r="Y930" t="s">
        <v>2730</v>
      </c>
      <c r="Z930" t="s">
        <v>2730</v>
      </c>
      <c r="AA930" t="s">
        <v>2730</v>
      </c>
      <c r="AB930" t="s">
        <v>2730</v>
      </c>
      <c r="AC930" t="s">
        <v>2730</v>
      </c>
      <c r="AD930" t="s">
        <v>2730</v>
      </c>
      <c r="AE930" t="s">
        <v>2730</v>
      </c>
      <c r="AF930" t="s">
        <v>2730</v>
      </c>
      <c r="AG930" t="s">
        <v>2730</v>
      </c>
      <c r="AH930" t="s">
        <v>2730</v>
      </c>
    </row>
    <row r="931" spans="1:34">
      <c r="A931" s="149" t="str">
        <f>HYPERLINK("http://www.ofsted.gov.uk/inspection-reports/find-inspection-report/provider/ELS/145127 ","Ofsted School Webpage")</f>
        <v>Ofsted School Webpage</v>
      </c>
      <c r="B931">
        <v>145127</v>
      </c>
      <c r="C931">
        <v>8406016</v>
      </c>
      <c r="D931" t="s">
        <v>2528</v>
      </c>
      <c r="E931" t="s">
        <v>38</v>
      </c>
      <c r="F931" t="s">
        <v>184</v>
      </c>
      <c r="G931" t="s">
        <v>184</v>
      </c>
      <c r="H931" t="s">
        <v>2729</v>
      </c>
      <c r="I931" t="s">
        <v>2730</v>
      </c>
      <c r="J931" t="s">
        <v>186</v>
      </c>
      <c r="K931" t="s">
        <v>245</v>
      </c>
      <c r="L931" t="s">
        <v>277</v>
      </c>
      <c r="M931" t="s">
        <v>1125</v>
      </c>
      <c r="N931" t="s">
        <v>2529</v>
      </c>
      <c r="O931" t="s">
        <v>2730</v>
      </c>
      <c r="P931" s="120" t="s">
        <v>2730</v>
      </c>
      <c r="Q931" s="120" t="s">
        <v>2730</v>
      </c>
      <c r="R931" s="120" t="s">
        <v>2730</v>
      </c>
      <c r="S931" t="s">
        <v>2730</v>
      </c>
      <c r="T931" t="s">
        <v>2730</v>
      </c>
      <c r="U931" t="s">
        <v>2730</v>
      </c>
      <c r="V931" t="s">
        <v>2730</v>
      </c>
      <c r="W931" t="s">
        <v>2730</v>
      </c>
      <c r="X931" t="s">
        <v>2730</v>
      </c>
      <c r="Y931" t="s">
        <v>2730</v>
      </c>
      <c r="Z931" t="s">
        <v>2730</v>
      </c>
      <c r="AA931" t="s">
        <v>2730</v>
      </c>
      <c r="AB931" t="s">
        <v>2730</v>
      </c>
      <c r="AC931" t="s">
        <v>2730</v>
      </c>
      <c r="AD931" t="s">
        <v>2730</v>
      </c>
      <c r="AE931" s="120" t="s">
        <v>2730</v>
      </c>
      <c r="AF931" t="s">
        <v>2730</v>
      </c>
      <c r="AG931" s="120" t="s">
        <v>2730</v>
      </c>
      <c r="AH931" t="s">
        <v>2730</v>
      </c>
    </row>
    <row r="932" spans="1:34">
      <c r="A932" s="149" t="str">
        <f>HYPERLINK("http://www.ofsted.gov.uk/inspection-reports/find-inspection-report/provider/ELS/100293 ","Ofsted School Webpage")</f>
        <v>Ofsted School Webpage</v>
      </c>
      <c r="B932">
        <v>100293</v>
      </c>
      <c r="C932">
        <v>2046296</v>
      </c>
      <c r="D932" t="s">
        <v>1888</v>
      </c>
      <c r="E932" t="s">
        <v>37</v>
      </c>
      <c r="F932" t="s">
        <v>318</v>
      </c>
      <c r="G932" t="s">
        <v>318</v>
      </c>
      <c r="H932" t="s">
        <v>2729</v>
      </c>
      <c r="I932" t="s">
        <v>2730</v>
      </c>
      <c r="J932" t="s">
        <v>186</v>
      </c>
      <c r="K932" t="s">
        <v>232</v>
      </c>
      <c r="L932" t="s">
        <v>232</v>
      </c>
      <c r="M932" t="s">
        <v>479</v>
      </c>
      <c r="N932" t="s">
        <v>1889</v>
      </c>
      <c r="O932" t="s">
        <v>1890</v>
      </c>
      <c r="P932" s="120">
        <v>42157</v>
      </c>
      <c r="Q932" s="120">
        <v>42159</v>
      </c>
      <c r="R932" s="120">
        <v>42389</v>
      </c>
      <c r="S932" t="s">
        <v>196</v>
      </c>
      <c r="T932">
        <v>4</v>
      </c>
      <c r="U932" t="s">
        <v>2730</v>
      </c>
      <c r="V932">
        <v>4</v>
      </c>
      <c r="W932" t="s">
        <v>2730</v>
      </c>
      <c r="X932">
        <v>4</v>
      </c>
      <c r="Y932">
        <v>4</v>
      </c>
      <c r="Z932">
        <v>4</v>
      </c>
      <c r="AA932">
        <v>9</v>
      </c>
      <c r="AB932" t="s">
        <v>2730</v>
      </c>
      <c r="AC932">
        <v>10020365</v>
      </c>
      <c r="AD932" t="s">
        <v>187</v>
      </c>
      <c r="AE932" s="120">
        <v>42565</v>
      </c>
      <c r="AF932" t="s">
        <v>2772</v>
      </c>
      <c r="AG932" s="120">
        <v>42632</v>
      </c>
      <c r="AH932" t="s">
        <v>2773</v>
      </c>
    </row>
    <row r="933" spans="1:34">
      <c r="A933" s="149" t="str">
        <f>HYPERLINK("http://www.ofsted.gov.uk/inspection-reports/find-inspection-report/provider/ELS/137505 ","Ofsted School Webpage")</f>
        <v>Ofsted School Webpage</v>
      </c>
      <c r="B933">
        <v>137505</v>
      </c>
      <c r="C933">
        <v>2046002</v>
      </c>
      <c r="D933" t="s">
        <v>3097</v>
      </c>
      <c r="E933" t="s">
        <v>37</v>
      </c>
      <c r="F933" t="s">
        <v>825</v>
      </c>
      <c r="G933" t="s">
        <v>318</v>
      </c>
      <c r="H933" t="s">
        <v>2729</v>
      </c>
      <c r="I933" t="s">
        <v>2730</v>
      </c>
      <c r="J933" t="s">
        <v>186</v>
      </c>
      <c r="K933" t="s">
        <v>232</v>
      </c>
      <c r="L933" t="s">
        <v>232</v>
      </c>
      <c r="M933" t="s">
        <v>479</v>
      </c>
      <c r="N933" t="s">
        <v>1644</v>
      </c>
      <c r="O933">
        <v>10012789</v>
      </c>
      <c r="P933" s="120">
        <v>42549</v>
      </c>
      <c r="Q933" s="120">
        <v>42551</v>
      </c>
      <c r="R933" s="120">
        <v>42681</v>
      </c>
      <c r="S933" t="s">
        <v>196</v>
      </c>
      <c r="T933">
        <v>4</v>
      </c>
      <c r="U933" t="s">
        <v>129</v>
      </c>
      <c r="V933">
        <v>4</v>
      </c>
      <c r="W933">
        <v>3</v>
      </c>
      <c r="X933">
        <v>3</v>
      </c>
      <c r="Y933">
        <v>3</v>
      </c>
      <c r="Z933">
        <v>4</v>
      </c>
      <c r="AA933" t="s">
        <v>2730</v>
      </c>
      <c r="AB933" t="s">
        <v>2733</v>
      </c>
      <c r="AC933">
        <v>10034272</v>
      </c>
      <c r="AD933" t="s">
        <v>187</v>
      </c>
      <c r="AE933" s="120">
        <v>42877</v>
      </c>
      <c r="AF933" t="s">
        <v>2769</v>
      </c>
      <c r="AG933" s="120">
        <v>42898</v>
      </c>
      <c r="AH933" t="s">
        <v>217</v>
      </c>
    </row>
    <row r="934" spans="1:34">
      <c r="A934" s="149" t="str">
        <f>HYPERLINK("http://www.ofsted.gov.uk/inspection-reports/find-inspection-report/provider/ELS/130286 ","Ofsted School Webpage")</f>
        <v>Ofsted School Webpage</v>
      </c>
      <c r="B934">
        <v>130286</v>
      </c>
      <c r="C934">
        <v>3526050</v>
      </c>
      <c r="D934" t="s">
        <v>1645</v>
      </c>
      <c r="E934" t="s">
        <v>37</v>
      </c>
      <c r="F934" t="s">
        <v>184</v>
      </c>
      <c r="G934" t="s">
        <v>184</v>
      </c>
      <c r="H934" t="s">
        <v>2729</v>
      </c>
      <c r="I934" t="s">
        <v>2730</v>
      </c>
      <c r="J934" t="s">
        <v>186</v>
      </c>
      <c r="K934" t="s">
        <v>205</v>
      </c>
      <c r="L934" t="s">
        <v>205</v>
      </c>
      <c r="M934" t="s">
        <v>306</v>
      </c>
      <c r="N934" t="s">
        <v>1646</v>
      </c>
      <c r="O934">
        <v>10026805</v>
      </c>
      <c r="P934" s="120">
        <v>42815</v>
      </c>
      <c r="Q934" s="120">
        <v>42817</v>
      </c>
      <c r="R934" s="120">
        <v>42871</v>
      </c>
      <c r="S934" t="s">
        <v>196</v>
      </c>
      <c r="T934">
        <v>4</v>
      </c>
      <c r="U934" t="s">
        <v>128</v>
      </c>
      <c r="V934">
        <v>4</v>
      </c>
      <c r="W934">
        <v>3</v>
      </c>
      <c r="X934">
        <v>2</v>
      </c>
      <c r="Y934">
        <v>2</v>
      </c>
      <c r="Z934">
        <v>3</v>
      </c>
      <c r="AA934" t="s">
        <v>2730</v>
      </c>
      <c r="AB934" t="s">
        <v>2733</v>
      </c>
      <c r="AC934" t="s">
        <v>2730</v>
      </c>
      <c r="AD934" t="s">
        <v>2730</v>
      </c>
      <c r="AE934" t="s">
        <v>2730</v>
      </c>
      <c r="AF934" t="s">
        <v>2730</v>
      </c>
      <c r="AG934" t="s">
        <v>2730</v>
      </c>
      <c r="AH934" t="s">
        <v>2730</v>
      </c>
    </row>
    <row r="935" spans="1:34">
      <c r="A935" s="149" t="str">
        <f>HYPERLINK("http://www.ofsted.gov.uk/inspection-reports/find-inspection-report/provider/ELS/136086 ","Ofsted School Webpage")</f>
        <v>Ofsted School Webpage</v>
      </c>
      <c r="B935">
        <v>136086</v>
      </c>
      <c r="C935">
        <v>3556057</v>
      </c>
      <c r="D935" t="s">
        <v>1645</v>
      </c>
      <c r="E935" t="s">
        <v>37</v>
      </c>
      <c r="F935" t="s">
        <v>184</v>
      </c>
      <c r="G935" t="s">
        <v>318</v>
      </c>
      <c r="H935" t="s">
        <v>2729</v>
      </c>
      <c r="I935" t="s">
        <v>2730</v>
      </c>
      <c r="J935" t="s">
        <v>186</v>
      </c>
      <c r="K935" t="s">
        <v>205</v>
      </c>
      <c r="L935" t="s">
        <v>205</v>
      </c>
      <c r="M935" t="s">
        <v>853</v>
      </c>
      <c r="N935" t="s">
        <v>1647</v>
      </c>
      <c r="O935" t="s">
        <v>1648</v>
      </c>
      <c r="P935" s="120">
        <v>41968</v>
      </c>
      <c r="Q935" s="120">
        <v>41970</v>
      </c>
      <c r="R935" s="120">
        <v>42013</v>
      </c>
      <c r="S935" t="s">
        <v>249</v>
      </c>
      <c r="T935">
        <v>2</v>
      </c>
      <c r="U935" t="s">
        <v>2730</v>
      </c>
      <c r="V935">
        <v>2</v>
      </c>
      <c r="W935" t="s">
        <v>2730</v>
      </c>
      <c r="X935">
        <v>2</v>
      </c>
      <c r="Y935">
        <v>2</v>
      </c>
      <c r="Z935">
        <v>9</v>
      </c>
      <c r="AA935">
        <v>9</v>
      </c>
      <c r="AB935" t="s">
        <v>2730</v>
      </c>
      <c r="AC935" t="s">
        <v>2730</v>
      </c>
      <c r="AD935" t="s">
        <v>2730</v>
      </c>
      <c r="AE935" t="s">
        <v>2730</v>
      </c>
      <c r="AF935" t="s">
        <v>2730</v>
      </c>
      <c r="AG935" t="s">
        <v>2730</v>
      </c>
      <c r="AH935" t="s">
        <v>2730</v>
      </c>
    </row>
    <row r="936" spans="1:34">
      <c r="A936" s="149" t="str">
        <f>HYPERLINK("http://www.ofsted.gov.uk/inspection-reports/find-inspection-report/provider/ELS/140039 ","Ofsted School Webpage")</f>
        <v>Ofsted School Webpage</v>
      </c>
      <c r="B936">
        <v>140039</v>
      </c>
      <c r="C936">
        <v>3036001</v>
      </c>
      <c r="D936" t="s">
        <v>2274</v>
      </c>
      <c r="E936" t="s">
        <v>37</v>
      </c>
      <c r="F936" t="s">
        <v>184</v>
      </c>
      <c r="G936" t="s">
        <v>184</v>
      </c>
      <c r="H936" t="s">
        <v>2729</v>
      </c>
      <c r="I936" t="s">
        <v>2730</v>
      </c>
      <c r="J936" t="s">
        <v>186</v>
      </c>
      <c r="K936" t="s">
        <v>232</v>
      </c>
      <c r="L936" t="s">
        <v>232</v>
      </c>
      <c r="M936" t="s">
        <v>1055</v>
      </c>
      <c r="N936" t="s">
        <v>2275</v>
      </c>
      <c r="O936" t="s">
        <v>2276</v>
      </c>
      <c r="P936" s="120">
        <v>41808</v>
      </c>
      <c r="Q936" s="120">
        <v>41810</v>
      </c>
      <c r="R936" s="120">
        <v>41829</v>
      </c>
      <c r="S936" t="s">
        <v>249</v>
      </c>
      <c r="T936">
        <v>3</v>
      </c>
      <c r="U936" t="s">
        <v>2730</v>
      </c>
      <c r="V936">
        <v>3</v>
      </c>
      <c r="W936" t="s">
        <v>2730</v>
      </c>
      <c r="X936">
        <v>3</v>
      </c>
      <c r="Y936">
        <v>3</v>
      </c>
      <c r="Z936" t="s">
        <v>2730</v>
      </c>
      <c r="AA936" t="s">
        <v>2730</v>
      </c>
      <c r="AB936" t="s">
        <v>2730</v>
      </c>
      <c r="AC936" t="s">
        <v>2730</v>
      </c>
      <c r="AD936" t="s">
        <v>2730</v>
      </c>
      <c r="AE936" s="120" t="s">
        <v>2730</v>
      </c>
      <c r="AF936" t="s">
        <v>2730</v>
      </c>
      <c r="AG936" s="120" t="s">
        <v>2730</v>
      </c>
      <c r="AH936" t="s">
        <v>2730</v>
      </c>
    </row>
    <row r="937" spans="1:34">
      <c r="A937" s="149" t="str">
        <f>HYPERLINK("http://www.ofsted.gov.uk/inspection-reports/find-inspection-report/provider/ELS/132732 ","Ofsted School Webpage")</f>
        <v>Ofsted School Webpage</v>
      </c>
      <c r="B937">
        <v>132732</v>
      </c>
      <c r="C937">
        <v>3826026</v>
      </c>
      <c r="D937" t="s">
        <v>1701</v>
      </c>
      <c r="E937" t="s">
        <v>37</v>
      </c>
      <c r="F937" t="s">
        <v>184</v>
      </c>
      <c r="G937" t="s">
        <v>184</v>
      </c>
      <c r="H937" t="s">
        <v>2729</v>
      </c>
      <c r="I937" t="s">
        <v>2730</v>
      </c>
      <c r="J937" t="s">
        <v>186</v>
      </c>
      <c r="K937" t="s">
        <v>245</v>
      </c>
      <c r="L937" t="s">
        <v>246</v>
      </c>
      <c r="M937" t="s">
        <v>768</v>
      </c>
      <c r="N937" t="s">
        <v>1702</v>
      </c>
      <c r="O937">
        <v>10008574</v>
      </c>
      <c r="P937" s="120">
        <v>42430</v>
      </c>
      <c r="Q937" s="120">
        <v>42432</v>
      </c>
      <c r="R937" s="120">
        <v>42459</v>
      </c>
      <c r="S937" t="s">
        <v>196</v>
      </c>
      <c r="T937">
        <v>2</v>
      </c>
      <c r="U937" t="s">
        <v>128</v>
      </c>
      <c r="V937">
        <v>2</v>
      </c>
      <c r="W937">
        <v>2</v>
      </c>
      <c r="X937">
        <v>2</v>
      </c>
      <c r="Y937">
        <v>2</v>
      </c>
      <c r="Z937" t="s">
        <v>2730</v>
      </c>
      <c r="AA937" t="s">
        <v>2730</v>
      </c>
      <c r="AB937" t="s">
        <v>2732</v>
      </c>
      <c r="AC937" t="s">
        <v>2730</v>
      </c>
      <c r="AD937" t="s">
        <v>2730</v>
      </c>
      <c r="AE937" t="s">
        <v>2730</v>
      </c>
      <c r="AF937" t="s">
        <v>2730</v>
      </c>
      <c r="AG937" t="s">
        <v>2730</v>
      </c>
      <c r="AH937" t="s">
        <v>2730</v>
      </c>
    </row>
    <row r="938" spans="1:34">
      <c r="A938" s="149" t="str">
        <f>HYPERLINK("http://www.ofsted.gov.uk/inspection-reports/find-inspection-report/provider/ELS/140227 ","Ofsted School Webpage")</f>
        <v>Ofsted School Webpage</v>
      </c>
      <c r="B938">
        <v>140227</v>
      </c>
      <c r="C938">
        <v>8936032</v>
      </c>
      <c r="D938" t="s">
        <v>1703</v>
      </c>
      <c r="E938" t="s">
        <v>37</v>
      </c>
      <c r="F938" t="s">
        <v>184</v>
      </c>
      <c r="G938" t="s">
        <v>184</v>
      </c>
      <c r="H938" t="s">
        <v>2729</v>
      </c>
      <c r="I938" t="s">
        <v>2730</v>
      </c>
      <c r="J938" t="s">
        <v>186</v>
      </c>
      <c r="K938" t="s">
        <v>193</v>
      </c>
      <c r="L938" t="s">
        <v>193</v>
      </c>
      <c r="M938" t="s">
        <v>194</v>
      </c>
      <c r="N938" t="s">
        <v>1016</v>
      </c>
      <c r="O938">
        <v>10033584</v>
      </c>
      <c r="P938" s="120">
        <v>42913</v>
      </c>
      <c r="Q938" s="120">
        <v>42915</v>
      </c>
      <c r="R938" s="120">
        <v>42990</v>
      </c>
      <c r="S938" t="s">
        <v>196</v>
      </c>
      <c r="T938">
        <v>2</v>
      </c>
      <c r="U938" t="s">
        <v>128</v>
      </c>
      <c r="V938">
        <v>2</v>
      </c>
      <c r="W938">
        <v>1</v>
      </c>
      <c r="X938">
        <v>2</v>
      </c>
      <c r="Y938">
        <v>2</v>
      </c>
      <c r="Z938" t="s">
        <v>2730</v>
      </c>
      <c r="AA938" t="s">
        <v>2730</v>
      </c>
      <c r="AB938" t="s">
        <v>2732</v>
      </c>
      <c r="AC938" t="s">
        <v>2730</v>
      </c>
      <c r="AD938" t="s">
        <v>2730</v>
      </c>
      <c r="AE938" s="120" t="s">
        <v>2730</v>
      </c>
      <c r="AF938" t="s">
        <v>2730</v>
      </c>
      <c r="AG938" s="120" t="s">
        <v>2730</v>
      </c>
      <c r="AH938" t="s">
        <v>2730</v>
      </c>
    </row>
    <row r="939" spans="1:34">
      <c r="A939" s="149" t="str">
        <f>HYPERLINK("http://www.ofsted.gov.uk/inspection-reports/find-inspection-report/provider/ELS/131687 ","Ofsted School Webpage")</f>
        <v>Ofsted School Webpage</v>
      </c>
      <c r="B939">
        <v>131687</v>
      </c>
      <c r="C939">
        <v>3306097</v>
      </c>
      <c r="D939" t="s">
        <v>1704</v>
      </c>
      <c r="E939" t="s">
        <v>37</v>
      </c>
      <c r="F939" t="s">
        <v>304</v>
      </c>
      <c r="G939" t="s">
        <v>223</v>
      </c>
      <c r="H939" t="s">
        <v>2729</v>
      </c>
      <c r="I939" t="s">
        <v>2730</v>
      </c>
      <c r="J939" t="s">
        <v>186</v>
      </c>
      <c r="K939" t="s">
        <v>193</v>
      </c>
      <c r="L939" t="s">
        <v>193</v>
      </c>
      <c r="M939" t="s">
        <v>210</v>
      </c>
      <c r="N939" t="s">
        <v>1705</v>
      </c>
      <c r="O939">
        <v>10033384</v>
      </c>
      <c r="P939" s="120">
        <v>42800</v>
      </c>
      <c r="Q939" s="120">
        <v>42802</v>
      </c>
      <c r="R939" s="120">
        <v>42830</v>
      </c>
      <c r="S939" t="s">
        <v>196</v>
      </c>
      <c r="T939">
        <v>2</v>
      </c>
      <c r="U939" t="s">
        <v>128</v>
      </c>
      <c r="V939">
        <v>1</v>
      </c>
      <c r="W939">
        <v>1</v>
      </c>
      <c r="X939">
        <v>2</v>
      </c>
      <c r="Y939">
        <v>2</v>
      </c>
      <c r="Z939" t="s">
        <v>2730</v>
      </c>
      <c r="AA939" t="s">
        <v>2730</v>
      </c>
      <c r="AB939" t="s">
        <v>2732</v>
      </c>
      <c r="AC939" t="s">
        <v>2730</v>
      </c>
      <c r="AD939" t="s">
        <v>2730</v>
      </c>
      <c r="AE939" t="s">
        <v>2730</v>
      </c>
      <c r="AF939" t="s">
        <v>2730</v>
      </c>
      <c r="AG939" t="s">
        <v>2730</v>
      </c>
      <c r="AH939" t="s">
        <v>2730</v>
      </c>
    </row>
    <row r="940" spans="1:34">
      <c r="A940" s="149" t="str">
        <f>HYPERLINK("http://www.ofsted.gov.uk/inspection-reports/find-inspection-report/provider/ELS/101164 ","Ofsted School Webpage")</f>
        <v>Ofsted School Webpage</v>
      </c>
      <c r="B940">
        <v>101164</v>
      </c>
      <c r="C940">
        <v>2136129</v>
      </c>
      <c r="D940" t="s">
        <v>1945</v>
      </c>
      <c r="E940" t="s">
        <v>37</v>
      </c>
      <c r="F940" t="s">
        <v>184</v>
      </c>
      <c r="G940" t="s">
        <v>184</v>
      </c>
      <c r="H940" t="s">
        <v>2729</v>
      </c>
      <c r="I940" t="s">
        <v>2730</v>
      </c>
      <c r="J940" t="s">
        <v>186</v>
      </c>
      <c r="K940" t="s">
        <v>232</v>
      </c>
      <c r="L940" t="s">
        <v>232</v>
      </c>
      <c r="M940" t="s">
        <v>679</v>
      </c>
      <c r="N940" t="s">
        <v>1946</v>
      </c>
      <c r="O940" t="s">
        <v>1947</v>
      </c>
      <c r="P940" s="120">
        <v>41338</v>
      </c>
      <c r="Q940" s="120">
        <v>41340</v>
      </c>
      <c r="R940" s="120">
        <v>41361</v>
      </c>
      <c r="S940" t="s">
        <v>196</v>
      </c>
      <c r="T940">
        <v>2</v>
      </c>
      <c r="U940" t="s">
        <v>2730</v>
      </c>
      <c r="V940">
        <v>2</v>
      </c>
      <c r="W940" t="s">
        <v>2730</v>
      </c>
      <c r="X940">
        <v>2</v>
      </c>
      <c r="Y940">
        <v>2</v>
      </c>
      <c r="Z940" t="s">
        <v>2730</v>
      </c>
      <c r="AA940" t="s">
        <v>2730</v>
      </c>
      <c r="AB940" t="s">
        <v>2730</v>
      </c>
      <c r="AC940" t="s">
        <v>2730</v>
      </c>
      <c r="AD940" t="s">
        <v>2730</v>
      </c>
      <c r="AE940" t="s">
        <v>2730</v>
      </c>
      <c r="AF940" t="s">
        <v>2730</v>
      </c>
      <c r="AG940" t="s">
        <v>2730</v>
      </c>
      <c r="AH940" t="s">
        <v>2730</v>
      </c>
    </row>
    <row r="941" spans="1:34">
      <c r="A941" s="149" t="str">
        <f>HYPERLINK("http://www.ofsted.gov.uk/inspection-reports/find-inspection-report/provider/ELS/106158 ","Ofsted School Webpage")</f>
        <v>Ofsted School Webpage</v>
      </c>
      <c r="B941">
        <v>106158</v>
      </c>
      <c r="C941">
        <v>3566021</v>
      </c>
      <c r="D941" t="s">
        <v>1948</v>
      </c>
      <c r="E941" t="s">
        <v>37</v>
      </c>
      <c r="F941" t="s">
        <v>1528</v>
      </c>
      <c r="G941" t="s">
        <v>212</v>
      </c>
      <c r="H941" t="s">
        <v>2729</v>
      </c>
      <c r="I941" t="s">
        <v>2730</v>
      </c>
      <c r="J941" t="s">
        <v>186</v>
      </c>
      <c r="K941" t="s">
        <v>205</v>
      </c>
      <c r="L941" t="s">
        <v>205</v>
      </c>
      <c r="M941" t="s">
        <v>346</v>
      </c>
      <c r="N941" t="s">
        <v>1949</v>
      </c>
      <c r="O941">
        <v>10007902</v>
      </c>
      <c r="P941" s="120">
        <v>42283</v>
      </c>
      <c r="Q941" s="120">
        <v>42284</v>
      </c>
      <c r="R941" s="120">
        <v>42321</v>
      </c>
      <c r="S941" t="s">
        <v>196</v>
      </c>
      <c r="T941">
        <v>4</v>
      </c>
      <c r="U941" t="s">
        <v>129</v>
      </c>
      <c r="V941">
        <v>4</v>
      </c>
      <c r="W941">
        <v>4</v>
      </c>
      <c r="X941">
        <v>3</v>
      </c>
      <c r="Y941">
        <v>3</v>
      </c>
      <c r="Z941" t="s">
        <v>2730</v>
      </c>
      <c r="AA941" t="s">
        <v>2730</v>
      </c>
      <c r="AB941" t="s">
        <v>2733</v>
      </c>
      <c r="AC941">
        <v>10034447</v>
      </c>
      <c r="AD941" t="s">
        <v>187</v>
      </c>
      <c r="AE941" s="120">
        <v>42858</v>
      </c>
      <c r="AF941" t="s">
        <v>2769</v>
      </c>
      <c r="AG941" s="120">
        <v>42899</v>
      </c>
      <c r="AH941" t="s">
        <v>217</v>
      </c>
    </row>
    <row r="942" spans="1:34">
      <c r="A942" s="149" t="str">
        <f>HYPERLINK("http://www.ofsted.gov.uk/inspection-reports/find-inspection-report/provider/ELS/103753 ","Ofsted School Webpage")</f>
        <v>Ofsted School Webpage</v>
      </c>
      <c r="B942">
        <v>103753</v>
      </c>
      <c r="C942">
        <v>3316022</v>
      </c>
      <c r="D942" t="s">
        <v>458</v>
      </c>
      <c r="E942" t="s">
        <v>37</v>
      </c>
      <c r="F942" t="s">
        <v>304</v>
      </c>
      <c r="G942" t="s">
        <v>223</v>
      </c>
      <c r="H942" t="s">
        <v>2729</v>
      </c>
      <c r="I942" t="s">
        <v>2730</v>
      </c>
      <c r="J942" t="s">
        <v>186</v>
      </c>
      <c r="K942" t="s">
        <v>193</v>
      </c>
      <c r="L942" t="s">
        <v>193</v>
      </c>
      <c r="M942" t="s">
        <v>459</v>
      </c>
      <c r="N942" t="s">
        <v>460</v>
      </c>
      <c r="O942">
        <v>10038826</v>
      </c>
      <c r="P942" s="120">
        <v>43018</v>
      </c>
      <c r="Q942" s="120">
        <v>43020</v>
      </c>
      <c r="R942" s="120">
        <v>43059</v>
      </c>
      <c r="S942" t="s">
        <v>196</v>
      </c>
      <c r="T942">
        <v>3</v>
      </c>
      <c r="U942" t="s">
        <v>128</v>
      </c>
      <c r="V942">
        <v>2</v>
      </c>
      <c r="W942">
        <v>2</v>
      </c>
      <c r="X942">
        <v>3</v>
      </c>
      <c r="Y942">
        <v>3</v>
      </c>
      <c r="Z942">
        <v>2</v>
      </c>
      <c r="AA942" t="s">
        <v>2730</v>
      </c>
      <c r="AB942" t="s">
        <v>2732</v>
      </c>
      <c r="AC942" t="s">
        <v>2730</v>
      </c>
      <c r="AD942" t="s">
        <v>2730</v>
      </c>
      <c r="AE942" s="120" t="s">
        <v>2730</v>
      </c>
      <c r="AF942" t="s">
        <v>2730</v>
      </c>
      <c r="AG942" s="120" t="s">
        <v>2730</v>
      </c>
      <c r="AH942" t="s">
        <v>2730</v>
      </c>
    </row>
    <row r="943" spans="1:34">
      <c r="A943" s="149" t="str">
        <f>HYPERLINK("http://www.ofsted.gov.uk/inspection-reports/find-inspection-report/provider/ELS/110557 ","Ofsted School Webpage")</f>
        <v>Ofsted School Webpage</v>
      </c>
      <c r="B943">
        <v>110557</v>
      </c>
      <c r="C943">
        <v>8256016</v>
      </c>
      <c r="D943" t="s">
        <v>1759</v>
      </c>
      <c r="E943" t="s">
        <v>37</v>
      </c>
      <c r="F943" t="s">
        <v>184</v>
      </c>
      <c r="G943" t="s">
        <v>184</v>
      </c>
      <c r="H943" t="s">
        <v>2729</v>
      </c>
      <c r="I943" t="s">
        <v>2730</v>
      </c>
      <c r="J943" t="s">
        <v>186</v>
      </c>
      <c r="K943" t="s">
        <v>181</v>
      </c>
      <c r="L943" t="s">
        <v>181</v>
      </c>
      <c r="M943" t="s">
        <v>251</v>
      </c>
      <c r="N943" t="s">
        <v>1760</v>
      </c>
      <c r="O943">
        <v>10012906</v>
      </c>
      <c r="P943" s="120">
        <v>42535</v>
      </c>
      <c r="Q943" s="120">
        <v>42537</v>
      </c>
      <c r="R943" s="120">
        <v>42562</v>
      </c>
      <c r="S943" t="s">
        <v>196</v>
      </c>
      <c r="T943">
        <v>3</v>
      </c>
      <c r="U943" t="s">
        <v>128</v>
      </c>
      <c r="V943">
        <v>3</v>
      </c>
      <c r="W943">
        <v>2</v>
      </c>
      <c r="X943">
        <v>2</v>
      </c>
      <c r="Y943">
        <v>2</v>
      </c>
      <c r="Z943">
        <v>3</v>
      </c>
      <c r="AA943" t="s">
        <v>2730</v>
      </c>
      <c r="AB943" t="s">
        <v>2732</v>
      </c>
      <c r="AC943" t="s">
        <v>2730</v>
      </c>
      <c r="AD943" t="s">
        <v>2730</v>
      </c>
      <c r="AE943" s="120" t="s">
        <v>2730</v>
      </c>
      <c r="AF943" t="s">
        <v>2730</v>
      </c>
      <c r="AG943" s="120" t="s">
        <v>2730</v>
      </c>
      <c r="AH943" t="s">
        <v>2730</v>
      </c>
    </row>
    <row r="944" spans="1:34">
      <c r="A944" s="149" t="str">
        <f>HYPERLINK("http://www.ofsted.gov.uk/inspection-reports/find-inspection-report/provider/ELS/100526 ","Ofsted School Webpage")</f>
        <v>Ofsted School Webpage</v>
      </c>
      <c r="B944">
        <v>100526</v>
      </c>
      <c r="C944">
        <v>2076262</v>
      </c>
      <c r="D944" t="s">
        <v>1954</v>
      </c>
      <c r="E944" t="s">
        <v>37</v>
      </c>
      <c r="F944" t="s">
        <v>184</v>
      </c>
      <c r="G944" t="s">
        <v>184</v>
      </c>
      <c r="H944" t="s">
        <v>2729</v>
      </c>
      <c r="I944" t="s">
        <v>2730</v>
      </c>
      <c r="J944" t="s">
        <v>186</v>
      </c>
      <c r="K944" t="s">
        <v>232</v>
      </c>
      <c r="L944" t="s">
        <v>232</v>
      </c>
      <c r="M944" t="s">
        <v>294</v>
      </c>
      <c r="N944" t="s">
        <v>1955</v>
      </c>
      <c r="O944">
        <v>10034187</v>
      </c>
      <c r="P944" s="120">
        <v>43004</v>
      </c>
      <c r="Q944" s="120">
        <v>43006</v>
      </c>
      <c r="R944" s="120">
        <v>43076</v>
      </c>
      <c r="S944" t="s">
        <v>267</v>
      </c>
      <c r="T944">
        <v>4</v>
      </c>
      <c r="U944" t="s">
        <v>129</v>
      </c>
      <c r="V944">
        <v>4</v>
      </c>
      <c r="W944">
        <v>4</v>
      </c>
      <c r="X944">
        <v>2</v>
      </c>
      <c r="Y944">
        <v>2</v>
      </c>
      <c r="Z944" t="s">
        <v>2730</v>
      </c>
      <c r="AA944">
        <v>4</v>
      </c>
      <c r="AB944" t="s">
        <v>2733</v>
      </c>
      <c r="AC944" t="s">
        <v>2730</v>
      </c>
      <c r="AD944" t="s">
        <v>2730</v>
      </c>
      <c r="AE944" s="120" t="s">
        <v>2730</v>
      </c>
      <c r="AF944" t="s">
        <v>2730</v>
      </c>
      <c r="AG944" s="120" t="s">
        <v>2730</v>
      </c>
      <c r="AH944" t="s">
        <v>2730</v>
      </c>
    </row>
    <row r="945" spans="1:34">
      <c r="A945" s="149" t="str">
        <f>HYPERLINK("http://www.ofsted.gov.uk/inspection-reports/find-inspection-report/provider/ELS/138405 ","Ofsted School Webpage")</f>
        <v>Ofsted School Webpage</v>
      </c>
      <c r="B945">
        <v>138405</v>
      </c>
      <c r="C945">
        <v>8866138</v>
      </c>
      <c r="D945" t="s">
        <v>1956</v>
      </c>
      <c r="E945" t="s">
        <v>37</v>
      </c>
      <c r="F945" t="s">
        <v>184</v>
      </c>
      <c r="G945" t="s">
        <v>184</v>
      </c>
      <c r="H945" t="s">
        <v>2729</v>
      </c>
      <c r="I945" t="s">
        <v>2730</v>
      </c>
      <c r="J945" t="s">
        <v>186</v>
      </c>
      <c r="K945" t="s">
        <v>181</v>
      </c>
      <c r="L945" t="s">
        <v>181</v>
      </c>
      <c r="M945" t="s">
        <v>182</v>
      </c>
      <c r="N945" t="s">
        <v>1957</v>
      </c>
      <c r="O945">
        <v>10033679</v>
      </c>
      <c r="P945" s="120">
        <v>42871</v>
      </c>
      <c r="Q945" s="120">
        <v>42873</v>
      </c>
      <c r="R945" s="120">
        <v>42913</v>
      </c>
      <c r="S945" t="s">
        <v>267</v>
      </c>
      <c r="T945">
        <v>1</v>
      </c>
      <c r="U945" t="s">
        <v>128</v>
      </c>
      <c r="V945">
        <v>1</v>
      </c>
      <c r="W945">
        <v>1</v>
      </c>
      <c r="X945">
        <v>1</v>
      </c>
      <c r="Y945">
        <v>1</v>
      </c>
      <c r="Z945" t="s">
        <v>2730</v>
      </c>
      <c r="AA945">
        <v>1</v>
      </c>
      <c r="AB945" t="s">
        <v>2732</v>
      </c>
      <c r="AC945" t="s">
        <v>2730</v>
      </c>
      <c r="AD945" t="s">
        <v>2730</v>
      </c>
      <c r="AE945" t="s">
        <v>2730</v>
      </c>
      <c r="AF945" t="s">
        <v>2730</v>
      </c>
      <c r="AG945" t="s">
        <v>2730</v>
      </c>
      <c r="AH945" t="s">
        <v>2730</v>
      </c>
    </row>
    <row r="946" spans="1:34">
      <c r="A946" s="149" t="str">
        <f>HYPERLINK("http://www.ofsted.gov.uk/inspection-reports/find-inspection-report/provider/ELS/102869 ","Ofsted School Webpage")</f>
        <v>Ofsted School Webpage</v>
      </c>
      <c r="B946">
        <v>102869</v>
      </c>
      <c r="C946">
        <v>3176055</v>
      </c>
      <c r="D946" t="s">
        <v>1958</v>
      </c>
      <c r="E946" t="s">
        <v>37</v>
      </c>
      <c r="F946" t="s">
        <v>184</v>
      </c>
      <c r="G946" t="s">
        <v>184</v>
      </c>
      <c r="H946" t="s">
        <v>2729</v>
      </c>
      <c r="I946" t="s">
        <v>2730</v>
      </c>
      <c r="J946" t="s">
        <v>186</v>
      </c>
      <c r="K946" t="s">
        <v>232</v>
      </c>
      <c r="L946" t="s">
        <v>232</v>
      </c>
      <c r="M946" t="s">
        <v>805</v>
      </c>
      <c r="N946" t="s">
        <v>1959</v>
      </c>
      <c r="O946" t="s">
        <v>1960</v>
      </c>
      <c r="P946" s="120">
        <v>42045</v>
      </c>
      <c r="Q946" s="120">
        <v>42047</v>
      </c>
      <c r="R946" s="120">
        <v>42082</v>
      </c>
      <c r="S946" t="s">
        <v>196</v>
      </c>
      <c r="T946">
        <v>2</v>
      </c>
      <c r="U946" t="s">
        <v>2730</v>
      </c>
      <c r="V946">
        <v>2</v>
      </c>
      <c r="W946" t="s">
        <v>2730</v>
      </c>
      <c r="X946">
        <v>2</v>
      </c>
      <c r="Y946">
        <v>2</v>
      </c>
      <c r="Z946">
        <v>2</v>
      </c>
      <c r="AA946">
        <v>9</v>
      </c>
      <c r="AB946" t="s">
        <v>2730</v>
      </c>
      <c r="AC946" t="s">
        <v>2730</v>
      </c>
      <c r="AD946" t="s">
        <v>2730</v>
      </c>
      <c r="AE946" t="s">
        <v>2730</v>
      </c>
      <c r="AF946" t="s">
        <v>2730</v>
      </c>
      <c r="AG946" t="s">
        <v>2730</v>
      </c>
      <c r="AH946" t="s">
        <v>2730</v>
      </c>
    </row>
    <row r="947" spans="1:34">
      <c r="A947" s="149" t="str">
        <f>HYPERLINK("http://www.ofsted.gov.uk/inspection-reports/find-inspection-report/provider/ELS/101160 ","Ofsted School Webpage")</f>
        <v>Ofsted School Webpage</v>
      </c>
      <c r="B947">
        <v>101160</v>
      </c>
      <c r="C947">
        <v>2136045</v>
      </c>
      <c r="D947" t="s">
        <v>3098</v>
      </c>
      <c r="E947" t="s">
        <v>37</v>
      </c>
      <c r="F947" t="s">
        <v>184</v>
      </c>
      <c r="G947" t="s">
        <v>184</v>
      </c>
      <c r="H947" t="s">
        <v>2729</v>
      </c>
      <c r="I947" t="s">
        <v>2730</v>
      </c>
      <c r="J947" t="s">
        <v>186</v>
      </c>
      <c r="K947" t="s">
        <v>232</v>
      </c>
      <c r="L947" t="s">
        <v>232</v>
      </c>
      <c r="M947" t="s">
        <v>679</v>
      </c>
      <c r="N947" t="s">
        <v>1657</v>
      </c>
      <c r="O947" t="s">
        <v>1658</v>
      </c>
      <c r="P947" s="120">
        <v>40870</v>
      </c>
      <c r="Q947" s="120">
        <v>40871</v>
      </c>
      <c r="R947" s="120">
        <v>40890</v>
      </c>
      <c r="S947" t="s">
        <v>196</v>
      </c>
      <c r="T947">
        <v>2</v>
      </c>
      <c r="U947" t="s">
        <v>2730</v>
      </c>
      <c r="V947" t="s">
        <v>2730</v>
      </c>
      <c r="W947" t="s">
        <v>2730</v>
      </c>
      <c r="X947">
        <v>2</v>
      </c>
      <c r="Y947">
        <v>2</v>
      </c>
      <c r="Z947">
        <v>2</v>
      </c>
      <c r="AA947" t="s">
        <v>2730</v>
      </c>
      <c r="AB947" t="s">
        <v>2730</v>
      </c>
      <c r="AC947" t="s">
        <v>2730</v>
      </c>
      <c r="AD947" t="s">
        <v>2730</v>
      </c>
      <c r="AE947" s="120" t="s">
        <v>2730</v>
      </c>
      <c r="AF947" t="s">
        <v>2730</v>
      </c>
      <c r="AG947" s="120" t="s">
        <v>2730</v>
      </c>
      <c r="AH947" t="s">
        <v>2730</v>
      </c>
    </row>
    <row r="948" spans="1:34">
      <c r="A948" s="149" t="str">
        <f>HYPERLINK("http://www.ofsted.gov.uk/inspection-reports/find-inspection-report/provider/ELS/100524 ","Ofsted School Webpage")</f>
        <v>Ofsted School Webpage</v>
      </c>
      <c r="B948">
        <v>100524</v>
      </c>
      <c r="C948">
        <v>2076241</v>
      </c>
      <c r="D948" t="s">
        <v>3099</v>
      </c>
      <c r="E948" t="s">
        <v>37</v>
      </c>
      <c r="F948" t="s">
        <v>184</v>
      </c>
      <c r="G948" t="s">
        <v>184</v>
      </c>
      <c r="H948" t="s">
        <v>2729</v>
      </c>
      <c r="I948" t="s">
        <v>2730</v>
      </c>
      <c r="J948" t="s">
        <v>186</v>
      </c>
      <c r="K948" t="s">
        <v>232</v>
      </c>
      <c r="L948" t="s">
        <v>232</v>
      </c>
      <c r="M948" t="s">
        <v>294</v>
      </c>
      <c r="N948" t="s">
        <v>1659</v>
      </c>
      <c r="O948" t="s">
        <v>1660</v>
      </c>
      <c r="P948" s="120">
        <v>41717</v>
      </c>
      <c r="Q948" s="120">
        <v>41719</v>
      </c>
      <c r="R948" s="120">
        <v>41754</v>
      </c>
      <c r="S948" t="s">
        <v>196</v>
      </c>
      <c r="T948">
        <v>2</v>
      </c>
      <c r="U948" t="s">
        <v>2730</v>
      </c>
      <c r="V948">
        <v>2</v>
      </c>
      <c r="W948" t="s">
        <v>2730</v>
      </c>
      <c r="X948">
        <v>2</v>
      </c>
      <c r="Y948">
        <v>2</v>
      </c>
      <c r="Z948" t="s">
        <v>2730</v>
      </c>
      <c r="AA948" t="s">
        <v>2730</v>
      </c>
      <c r="AB948" t="s">
        <v>2730</v>
      </c>
      <c r="AC948" t="s">
        <v>2730</v>
      </c>
      <c r="AD948" t="s">
        <v>2730</v>
      </c>
      <c r="AE948" t="s">
        <v>2730</v>
      </c>
      <c r="AF948" t="s">
        <v>2730</v>
      </c>
      <c r="AG948" t="s">
        <v>2730</v>
      </c>
      <c r="AH948" t="s">
        <v>2730</v>
      </c>
    </row>
    <row r="949" spans="1:34">
      <c r="A949" s="149" t="str">
        <f>HYPERLINK("http://www.ofsted.gov.uk/inspection-reports/find-inspection-report/provider/ELS/131128 ","Ofsted School Webpage")</f>
        <v>Ofsted School Webpage</v>
      </c>
      <c r="B949">
        <v>131128</v>
      </c>
      <c r="C949">
        <v>3026107</v>
      </c>
      <c r="D949" t="s">
        <v>473</v>
      </c>
      <c r="E949" t="s">
        <v>37</v>
      </c>
      <c r="F949" t="s">
        <v>184</v>
      </c>
      <c r="G949" t="s">
        <v>184</v>
      </c>
      <c r="H949" t="s">
        <v>2729</v>
      </c>
      <c r="I949" t="s">
        <v>2730</v>
      </c>
      <c r="J949" t="s">
        <v>186</v>
      </c>
      <c r="K949" t="s">
        <v>232</v>
      </c>
      <c r="L949" t="s">
        <v>232</v>
      </c>
      <c r="M949" t="s">
        <v>311</v>
      </c>
      <c r="N949" t="s">
        <v>474</v>
      </c>
      <c r="O949">
        <v>10035789</v>
      </c>
      <c r="P949" s="120">
        <v>43011</v>
      </c>
      <c r="Q949" s="120">
        <v>43013</v>
      </c>
      <c r="R949" s="120">
        <v>43082</v>
      </c>
      <c r="S949" t="s">
        <v>196</v>
      </c>
      <c r="T949">
        <v>3</v>
      </c>
      <c r="U949" t="s">
        <v>128</v>
      </c>
      <c r="V949">
        <v>3</v>
      </c>
      <c r="W949">
        <v>2</v>
      </c>
      <c r="X949">
        <v>3</v>
      </c>
      <c r="Y949">
        <v>3</v>
      </c>
      <c r="Z949">
        <v>3</v>
      </c>
      <c r="AA949" t="s">
        <v>2730</v>
      </c>
      <c r="AB949" t="s">
        <v>2733</v>
      </c>
      <c r="AC949" t="s">
        <v>2730</v>
      </c>
      <c r="AD949" t="s">
        <v>2730</v>
      </c>
      <c r="AE949" t="s">
        <v>2730</v>
      </c>
      <c r="AF949" t="s">
        <v>2730</v>
      </c>
      <c r="AG949" t="s">
        <v>2730</v>
      </c>
      <c r="AH949" t="s">
        <v>2730</v>
      </c>
    </row>
    <row r="950" spans="1:34">
      <c r="A950" s="149" t="str">
        <f>HYPERLINK("http://www.ofsted.gov.uk/inspection-reports/find-inspection-report/provider/ELS/105587 ","Ofsted School Webpage")</f>
        <v>Ofsted School Webpage</v>
      </c>
      <c r="B950">
        <v>105587</v>
      </c>
      <c r="C950">
        <v>3536017</v>
      </c>
      <c r="D950" t="s">
        <v>1717</v>
      </c>
      <c r="E950" t="s">
        <v>37</v>
      </c>
      <c r="F950" t="s">
        <v>184</v>
      </c>
      <c r="G950" t="s">
        <v>441</v>
      </c>
      <c r="H950" t="s">
        <v>2729</v>
      </c>
      <c r="I950" t="s">
        <v>2730</v>
      </c>
      <c r="J950" t="s">
        <v>186</v>
      </c>
      <c r="K950" t="s">
        <v>205</v>
      </c>
      <c r="L950" t="s">
        <v>205</v>
      </c>
      <c r="M950" t="s">
        <v>468</v>
      </c>
      <c r="N950" t="s">
        <v>1718</v>
      </c>
      <c r="O950">
        <v>10012976</v>
      </c>
      <c r="P950" s="120">
        <v>42822</v>
      </c>
      <c r="Q950" s="120">
        <v>42824</v>
      </c>
      <c r="R950" s="120">
        <v>42859</v>
      </c>
      <c r="S950" t="s">
        <v>196</v>
      </c>
      <c r="T950">
        <v>3</v>
      </c>
      <c r="U950" t="s">
        <v>128</v>
      </c>
      <c r="V950">
        <v>3</v>
      </c>
      <c r="W950">
        <v>2</v>
      </c>
      <c r="X950">
        <v>3</v>
      </c>
      <c r="Y950">
        <v>3</v>
      </c>
      <c r="Z950">
        <v>2</v>
      </c>
      <c r="AA950" t="s">
        <v>2730</v>
      </c>
      <c r="AB950" t="s">
        <v>2732</v>
      </c>
      <c r="AC950" t="s">
        <v>2730</v>
      </c>
      <c r="AD950" t="s">
        <v>2730</v>
      </c>
      <c r="AE950" t="s">
        <v>2730</v>
      </c>
      <c r="AF950" t="s">
        <v>2730</v>
      </c>
      <c r="AG950" t="s">
        <v>2730</v>
      </c>
      <c r="AH950" t="s">
        <v>2730</v>
      </c>
    </row>
    <row r="951" spans="1:34">
      <c r="A951" s="149" t="str">
        <f>HYPERLINK("http://www.ofsted.gov.uk/inspection-reports/find-inspection-report/provider/ELS/136210 ","Ofsted School Webpage")</f>
        <v>Ofsted School Webpage</v>
      </c>
      <c r="B951">
        <v>136210</v>
      </c>
      <c r="C951">
        <v>8526011</v>
      </c>
      <c r="D951" t="s">
        <v>475</v>
      </c>
      <c r="E951" t="s">
        <v>37</v>
      </c>
      <c r="F951" t="s">
        <v>304</v>
      </c>
      <c r="G951" t="s">
        <v>223</v>
      </c>
      <c r="H951" t="s">
        <v>2729</v>
      </c>
      <c r="I951" t="s">
        <v>2730</v>
      </c>
      <c r="J951" t="s">
        <v>186</v>
      </c>
      <c r="K951" t="s">
        <v>181</v>
      </c>
      <c r="L951" t="s">
        <v>181</v>
      </c>
      <c r="M951" t="s">
        <v>476</v>
      </c>
      <c r="N951" t="s">
        <v>477</v>
      </c>
      <c r="O951">
        <v>10033954</v>
      </c>
      <c r="P951" s="120">
        <v>43046</v>
      </c>
      <c r="Q951" s="120">
        <v>43048</v>
      </c>
      <c r="R951" s="120">
        <v>43069</v>
      </c>
      <c r="S951" t="s">
        <v>196</v>
      </c>
      <c r="T951">
        <v>3</v>
      </c>
      <c r="U951" t="s">
        <v>128</v>
      </c>
      <c r="V951">
        <v>3</v>
      </c>
      <c r="W951">
        <v>1</v>
      </c>
      <c r="X951">
        <v>3</v>
      </c>
      <c r="Y951">
        <v>3</v>
      </c>
      <c r="Z951" t="s">
        <v>2730</v>
      </c>
      <c r="AA951" t="s">
        <v>2730</v>
      </c>
      <c r="AB951" t="s">
        <v>2732</v>
      </c>
      <c r="AC951" t="s">
        <v>2730</v>
      </c>
      <c r="AD951" t="s">
        <v>2730</v>
      </c>
      <c r="AE951" t="s">
        <v>2730</v>
      </c>
      <c r="AF951" t="s">
        <v>2730</v>
      </c>
      <c r="AG951" t="s">
        <v>2730</v>
      </c>
      <c r="AH951" t="s">
        <v>2730</v>
      </c>
    </row>
    <row r="952" spans="1:34">
      <c r="A952" s="149" t="str">
        <f>HYPERLINK("http://www.ofsted.gov.uk/inspection-reports/find-inspection-report/provider/ELS/113594 ","Ofsted School Webpage")</f>
        <v>Ofsted School Webpage</v>
      </c>
      <c r="B952">
        <v>113594</v>
      </c>
      <c r="C952">
        <v>8796001</v>
      </c>
      <c r="D952" t="s">
        <v>690</v>
      </c>
      <c r="E952" t="s">
        <v>37</v>
      </c>
      <c r="F952" t="s">
        <v>691</v>
      </c>
      <c r="G952" t="s">
        <v>691</v>
      </c>
      <c r="H952" t="s">
        <v>2729</v>
      </c>
      <c r="I952" t="s">
        <v>2730</v>
      </c>
      <c r="J952" t="s">
        <v>186</v>
      </c>
      <c r="K952" t="s">
        <v>225</v>
      </c>
      <c r="L952" t="s">
        <v>225</v>
      </c>
      <c r="M952" t="s">
        <v>692</v>
      </c>
      <c r="N952" t="s">
        <v>693</v>
      </c>
      <c r="O952">
        <v>10020897</v>
      </c>
      <c r="P952" s="120">
        <v>42822</v>
      </c>
      <c r="Q952" s="120">
        <v>42824</v>
      </c>
      <c r="R952" s="120">
        <v>42866</v>
      </c>
      <c r="S952" t="s">
        <v>196</v>
      </c>
      <c r="T952">
        <v>2</v>
      </c>
      <c r="U952" t="s">
        <v>128</v>
      </c>
      <c r="V952">
        <v>2</v>
      </c>
      <c r="W952">
        <v>1</v>
      </c>
      <c r="X952">
        <v>2</v>
      </c>
      <c r="Y952">
        <v>2</v>
      </c>
      <c r="Z952">
        <v>2</v>
      </c>
      <c r="AA952" t="s">
        <v>2730</v>
      </c>
      <c r="AB952" t="s">
        <v>2732</v>
      </c>
      <c r="AC952" t="s">
        <v>2730</v>
      </c>
      <c r="AD952" t="s">
        <v>2730</v>
      </c>
      <c r="AE952" t="s">
        <v>2730</v>
      </c>
      <c r="AF952" t="s">
        <v>2730</v>
      </c>
      <c r="AG952" t="s">
        <v>2730</v>
      </c>
      <c r="AH952" t="s">
        <v>2730</v>
      </c>
    </row>
    <row r="953" spans="1:34">
      <c r="A953" s="149" t="str">
        <f>HYPERLINK("http://www.ofsted.gov.uk/inspection-reports/find-inspection-report/provider/ELS/120743 ","Ofsted School Webpage")</f>
        <v>Ofsted School Webpage</v>
      </c>
      <c r="B953">
        <v>120743</v>
      </c>
      <c r="C953">
        <v>9256038</v>
      </c>
      <c r="D953" t="s">
        <v>1724</v>
      </c>
      <c r="E953" t="s">
        <v>37</v>
      </c>
      <c r="F953" t="s">
        <v>184</v>
      </c>
      <c r="G953" t="s">
        <v>212</v>
      </c>
      <c r="H953" t="s">
        <v>2729</v>
      </c>
      <c r="I953" t="s">
        <v>2730</v>
      </c>
      <c r="J953" t="s">
        <v>186</v>
      </c>
      <c r="K953" t="s">
        <v>214</v>
      </c>
      <c r="L953" t="s">
        <v>214</v>
      </c>
      <c r="M953" t="s">
        <v>684</v>
      </c>
      <c r="N953" t="s">
        <v>1725</v>
      </c>
      <c r="O953">
        <v>10012974</v>
      </c>
      <c r="P953" s="120">
        <v>42529</v>
      </c>
      <c r="Q953" s="120">
        <v>42531</v>
      </c>
      <c r="R953" s="120">
        <v>42566</v>
      </c>
      <c r="S953" t="s">
        <v>196</v>
      </c>
      <c r="T953">
        <v>2</v>
      </c>
      <c r="U953" t="s">
        <v>128</v>
      </c>
      <c r="V953">
        <v>2</v>
      </c>
      <c r="W953">
        <v>1</v>
      </c>
      <c r="X953">
        <v>2</v>
      </c>
      <c r="Y953">
        <v>2</v>
      </c>
      <c r="Z953">
        <v>2</v>
      </c>
      <c r="AA953" t="s">
        <v>2730</v>
      </c>
      <c r="AB953" t="s">
        <v>2732</v>
      </c>
      <c r="AC953" t="s">
        <v>2730</v>
      </c>
      <c r="AD953" t="s">
        <v>2730</v>
      </c>
      <c r="AE953" t="s">
        <v>2730</v>
      </c>
      <c r="AF953" t="s">
        <v>2730</v>
      </c>
      <c r="AG953" t="s">
        <v>2730</v>
      </c>
      <c r="AH953" t="s">
        <v>2730</v>
      </c>
    </row>
    <row r="954" spans="1:34">
      <c r="A954" s="149" t="str">
        <f>HYPERLINK("http://www.ofsted.gov.uk/inspection-reports/find-inspection-report/provider/ELS/116546 ","Ofsted School Webpage")</f>
        <v>Ofsted School Webpage</v>
      </c>
      <c r="B954">
        <v>116546</v>
      </c>
      <c r="C954">
        <v>8506029</v>
      </c>
      <c r="D954" t="s">
        <v>383</v>
      </c>
      <c r="E954" t="s">
        <v>37</v>
      </c>
      <c r="F954" t="s">
        <v>184</v>
      </c>
      <c r="G954" t="s">
        <v>184</v>
      </c>
      <c r="H954" t="s">
        <v>2729</v>
      </c>
      <c r="I954" t="s">
        <v>2730</v>
      </c>
      <c r="J954" t="s">
        <v>186</v>
      </c>
      <c r="K954" t="s">
        <v>181</v>
      </c>
      <c r="L954" t="s">
        <v>181</v>
      </c>
      <c r="M954" t="s">
        <v>201</v>
      </c>
      <c r="N954" t="s">
        <v>384</v>
      </c>
      <c r="O954">
        <v>10025976</v>
      </c>
      <c r="P954" s="120">
        <v>43039</v>
      </c>
      <c r="Q954" s="120">
        <v>43041</v>
      </c>
      <c r="R954" s="120">
        <v>43061</v>
      </c>
      <c r="S954" t="s">
        <v>196</v>
      </c>
      <c r="T954">
        <v>2</v>
      </c>
      <c r="U954" t="s">
        <v>128</v>
      </c>
      <c r="V954">
        <v>2</v>
      </c>
      <c r="W954">
        <v>2</v>
      </c>
      <c r="X954">
        <v>2</v>
      </c>
      <c r="Y954">
        <v>2</v>
      </c>
      <c r="Z954">
        <v>2</v>
      </c>
      <c r="AA954" t="s">
        <v>2730</v>
      </c>
      <c r="AB954" t="s">
        <v>2732</v>
      </c>
      <c r="AC954" t="s">
        <v>2730</v>
      </c>
      <c r="AD954" t="s">
        <v>2730</v>
      </c>
      <c r="AE954" t="s">
        <v>2730</v>
      </c>
      <c r="AF954" t="s">
        <v>2730</v>
      </c>
      <c r="AG954" t="s">
        <v>2730</v>
      </c>
      <c r="AH954" t="s">
        <v>2730</v>
      </c>
    </row>
    <row r="955" spans="1:34">
      <c r="A955" s="149" t="str">
        <f>HYPERLINK("http://www.ofsted.gov.uk/inspection-reports/find-inspection-report/provider/ELS/115437 ","Ofsted School Webpage")</f>
        <v>Ofsted School Webpage</v>
      </c>
      <c r="B955">
        <v>115437</v>
      </c>
      <c r="C955">
        <v>8816042</v>
      </c>
      <c r="D955" t="s">
        <v>1726</v>
      </c>
      <c r="E955" t="s">
        <v>37</v>
      </c>
      <c r="F955" t="s">
        <v>184</v>
      </c>
      <c r="G955" t="s">
        <v>1727</v>
      </c>
      <c r="H955" t="s">
        <v>2729</v>
      </c>
      <c r="I955" t="s">
        <v>2730</v>
      </c>
      <c r="J955" t="s">
        <v>186</v>
      </c>
      <c r="K955" t="s">
        <v>220</v>
      </c>
      <c r="L955" t="s">
        <v>220</v>
      </c>
      <c r="M955" t="s">
        <v>323</v>
      </c>
      <c r="N955" t="s">
        <v>1728</v>
      </c>
      <c r="O955" t="s">
        <v>3100</v>
      </c>
      <c r="P955" s="120">
        <v>40962</v>
      </c>
      <c r="Q955" s="120">
        <v>40963</v>
      </c>
      <c r="R955" s="120">
        <v>40988</v>
      </c>
      <c r="S955" t="s">
        <v>196</v>
      </c>
      <c r="T955">
        <v>1</v>
      </c>
      <c r="U955" t="s">
        <v>2730</v>
      </c>
      <c r="V955" t="s">
        <v>2730</v>
      </c>
      <c r="W955" t="s">
        <v>2730</v>
      </c>
      <c r="X955">
        <v>1</v>
      </c>
      <c r="Y955">
        <v>1</v>
      </c>
      <c r="Z955">
        <v>8</v>
      </c>
      <c r="AA955" t="s">
        <v>2730</v>
      </c>
      <c r="AB955" t="s">
        <v>2730</v>
      </c>
      <c r="AC955" t="s">
        <v>2730</v>
      </c>
      <c r="AD955" t="s">
        <v>2730</v>
      </c>
      <c r="AE955" t="s">
        <v>2730</v>
      </c>
      <c r="AF955" t="s">
        <v>2730</v>
      </c>
      <c r="AG955" t="s">
        <v>2730</v>
      </c>
      <c r="AH955" t="s">
        <v>2730</v>
      </c>
    </row>
    <row r="956" spans="1:34">
      <c r="A956" s="149" t="str">
        <f>HYPERLINK("http://www.ofsted.gov.uk/inspection-reports/find-inspection-report/provider/ELS/141737 ","Ofsted School Webpage")</f>
        <v>Ofsted School Webpage</v>
      </c>
      <c r="B956">
        <v>141737</v>
      </c>
      <c r="C956">
        <v>2046011</v>
      </c>
      <c r="D956" t="s">
        <v>1729</v>
      </c>
      <c r="E956" t="s">
        <v>37</v>
      </c>
      <c r="F956" t="s">
        <v>184</v>
      </c>
      <c r="G956" t="s">
        <v>184</v>
      </c>
      <c r="H956" t="s">
        <v>2729</v>
      </c>
      <c r="I956" t="s">
        <v>2730</v>
      </c>
      <c r="J956" t="s">
        <v>186</v>
      </c>
      <c r="K956" t="s">
        <v>232</v>
      </c>
      <c r="L956" t="s">
        <v>232</v>
      </c>
      <c r="M956" t="s">
        <v>479</v>
      </c>
      <c r="N956" t="s">
        <v>1730</v>
      </c>
      <c r="O956">
        <v>10008634</v>
      </c>
      <c r="P956" s="120">
        <v>42395</v>
      </c>
      <c r="Q956" s="120">
        <v>42397</v>
      </c>
      <c r="R956" s="120">
        <v>42478</v>
      </c>
      <c r="S956" t="s">
        <v>249</v>
      </c>
      <c r="T956">
        <v>4</v>
      </c>
      <c r="U956" t="s">
        <v>129</v>
      </c>
      <c r="V956">
        <v>4</v>
      </c>
      <c r="W956">
        <v>4</v>
      </c>
      <c r="X956">
        <v>3</v>
      </c>
      <c r="Y956">
        <v>3</v>
      </c>
      <c r="Z956" t="s">
        <v>2730</v>
      </c>
      <c r="AA956">
        <v>4</v>
      </c>
      <c r="AB956" t="s">
        <v>2733</v>
      </c>
      <c r="AC956">
        <v>10022109</v>
      </c>
      <c r="AD956" t="s">
        <v>187</v>
      </c>
      <c r="AE956" s="120">
        <v>42663</v>
      </c>
      <c r="AF956" t="s">
        <v>2769</v>
      </c>
      <c r="AG956" s="120">
        <v>43014</v>
      </c>
      <c r="AH956" t="s">
        <v>189</v>
      </c>
    </row>
    <row r="957" spans="1:34">
      <c r="A957" s="149" t="str">
        <f>HYPERLINK("http://www.ofsted.gov.uk/inspection-reports/find-inspection-report/provider/ELS/103111 ","Ofsted School Webpage")</f>
        <v>Ofsted School Webpage</v>
      </c>
      <c r="B957">
        <v>103111</v>
      </c>
      <c r="C957">
        <v>3096005</v>
      </c>
      <c r="D957" t="s">
        <v>1787</v>
      </c>
      <c r="E957" t="s">
        <v>37</v>
      </c>
      <c r="F957" t="s">
        <v>184</v>
      </c>
      <c r="G957" t="s">
        <v>691</v>
      </c>
      <c r="H957" t="s">
        <v>2729</v>
      </c>
      <c r="I957" t="s">
        <v>2730</v>
      </c>
      <c r="J957" t="s">
        <v>186</v>
      </c>
      <c r="K957" t="s">
        <v>232</v>
      </c>
      <c r="L957" t="s">
        <v>232</v>
      </c>
      <c r="M957" t="s">
        <v>697</v>
      </c>
      <c r="N957" t="s">
        <v>1788</v>
      </c>
      <c r="O957">
        <v>10020784</v>
      </c>
      <c r="P957" s="120">
        <v>42759</v>
      </c>
      <c r="Q957" s="120">
        <v>42761</v>
      </c>
      <c r="R957" s="120">
        <v>42816</v>
      </c>
      <c r="S957" t="s">
        <v>196</v>
      </c>
      <c r="T957">
        <v>3</v>
      </c>
      <c r="U957" t="s">
        <v>128</v>
      </c>
      <c r="V957">
        <v>3</v>
      </c>
      <c r="W957">
        <v>2</v>
      </c>
      <c r="X957">
        <v>3</v>
      </c>
      <c r="Y957">
        <v>3</v>
      </c>
      <c r="Z957">
        <v>1</v>
      </c>
      <c r="AA957" t="s">
        <v>2730</v>
      </c>
      <c r="AB957" t="s">
        <v>2732</v>
      </c>
      <c r="AC957" t="s">
        <v>2730</v>
      </c>
      <c r="AD957" t="s">
        <v>2730</v>
      </c>
      <c r="AE957" t="s">
        <v>2730</v>
      </c>
      <c r="AF957" t="s">
        <v>2730</v>
      </c>
      <c r="AG957" t="s">
        <v>2730</v>
      </c>
      <c r="AH957" t="s">
        <v>2730</v>
      </c>
    </row>
    <row r="958" spans="1:34">
      <c r="A958" s="149" t="str">
        <f>HYPERLINK("http://www.ofsted.gov.uk/inspection-reports/find-inspection-report/provider/ELS/132738 ","Ofsted School Webpage")</f>
        <v>Ofsted School Webpage</v>
      </c>
      <c r="B958">
        <v>132738</v>
      </c>
      <c r="C958">
        <v>8886047</v>
      </c>
      <c r="D958" t="s">
        <v>1789</v>
      </c>
      <c r="E958" t="s">
        <v>37</v>
      </c>
      <c r="F958" t="s">
        <v>304</v>
      </c>
      <c r="G958" t="s">
        <v>223</v>
      </c>
      <c r="H958" t="s">
        <v>2729</v>
      </c>
      <c r="I958" t="s">
        <v>2730</v>
      </c>
      <c r="J958" t="s">
        <v>186</v>
      </c>
      <c r="K958" t="s">
        <v>205</v>
      </c>
      <c r="L958" t="s">
        <v>205</v>
      </c>
      <c r="M958" t="s">
        <v>206</v>
      </c>
      <c r="N958" t="s">
        <v>1790</v>
      </c>
      <c r="O958">
        <v>10007709</v>
      </c>
      <c r="P958" s="120">
        <v>42745</v>
      </c>
      <c r="Q958" s="120">
        <v>42747</v>
      </c>
      <c r="R958" s="120">
        <v>42768</v>
      </c>
      <c r="S958" t="s">
        <v>196</v>
      </c>
      <c r="T958">
        <v>2</v>
      </c>
      <c r="U958" t="s">
        <v>128</v>
      </c>
      <c r="V958">
        <v>2</v>
      </c>
      <c r="W958">
        <v>1</v>
      </c>
      <c r="X958">
        <v>2</v>
      </c>
      <c r="Y958">
        <v>2</v>
      </c>
      <c r="Z958">
        <v>2</v>
      </c>
      <c r="AA958" t="s">
        <v>2730</v>
      </c>
      <c r="AB958" t="s">
        <v>2732</v>
      </c>
      <c r="AC958" t="s">
        <v>2730</v>
      </c>
      <c r="AD958" t="s">
        <v>2730</v>
      </c>
      <c r="AE958" t="s">
        <v>2730</v>
      </c>
      <c r="AF958" t="s">
        <v>2730</v>
      </c>
      <c r="AG958" t="s">
        <v>2730</v>
      </c>
      <c r="AH958" t="s">
        <v>2730</v>
      </c>
    </row>
    <row r="959" spans="1:34">
      <c r="A959" s="149" t="str">
        <f>HYPERLINK("http://www.ofsted.gov.uk/inspection-reports/find-inspection-report/provider/ELS/134577 ","Ofsted School Webpage")</f>
        <v>Ofsted School Webpage</v>
      </c>
      <c r="B959">
        <v>134577</v>
      </c>
      <c r="C959">
        <v>3166063</v>
      </c>
      <c r="D959" t="s">
        <v>1791</v>
      </c>
      <c r="E959" t="s">
        <v>37</v>
      </c>
      <c r="F959" t="s">
        <v>223</v>
      </c>
      <c r="G959" t="s">
        <v>223</v>
      </c>
      <c r="H959" t="s">
        <v>2729</v>
      </c>
      <c r="I959" t="s">
        <v>2730</v>
      </c>
      <c r="J959" t="s">
        <v>186</v>
      </c>
      <c r="K959" t="s">
        <v>232</v>
      </c>
      <c r="L959" t="s">
        <v>232</v>
      </c>
      <c r="M959" t="s">
        <v>505</v>
      </c>
      <c r="N959" t="s">
        <v>1792</v>
      </c>
      <c r="O959">
        <v>10034448</v>
      </c>
      <c r="P959" s="120">
        <v>42920</v>
      </c>
      <c r="Q959" s="120">
        <v>42922</v>
      </c>
      <c r="R959" s="120">
        <v>43018</v>
      </c>
      <c r="S959" t="s">
        <v>196</v>
      </c>
      <c r="T959">
        <v>4</v>
      </c>
      <c r="U959" t="s">
        <v>129</v>
      </c>
      <c r="V959">
        <v>4</v>
      </c>
      <c r="W959">
        <v>4</v>
      </c>
      <c r="X959">
        <v>3</v>
      </c>
      <c r="Y959">
        <v>3</v>
      </c>
      <c r="Z959" t="s">
        <v>2730</v>
      </c>
      <c r="AA959" t="s">
        <v>2730</v>
      </c>
      <c r="AB959" t="s">
        <v>2733</v>
      </c>
      <c r="AC959" t="s">
        <v>2730</v>
      </c>
      <c r="AD959" t="s">
        <v>2730</v>
      </c>
      <c r="AE959" t="s">
        <v>2730</v>
      </c>
      <c r="AF959" t="s">
        <v>2730</v>
      </c>
      <c r="AG959" t="s">
        <v>2730</v>
      </c>
      <c r="AH959" t="s">
        <v>2730</v>
      </c>
    </row>
    <row r="960" spans="1:34">
      <c r="A960" s="149" t="str">
        <f>HYPERLINK("http://www.ofsted.gov.uk/inspection-reports/find-inspection-report/provider/ELS/141560 ","Ofsted School Webpage")</f>
        <v>Ofsted School Webpage</v>
      </c>
      <c r="B960">
        <v>141560</v>
      </c>
      <c r="C960">
        <v>3336008</v>
      </c>
      <c r="D960" t="s">
        <v>1793</v>
      </c>
      <c r="E960" t="s">
        <v>37</v>
      </c>
      <c r="F960" t="s">
        <v>184</v>
      </c>
      <c r="G960" t="s">
        <v>184</v>
      </c>
      <c r="H960" t="s">
        <v>2729</v>
      </c>
      <c r="I960" t="s">
        <v>2730</v>
      </c>
      <c r="J960" t="s">
        <v>186</v>
      </c>
      <c r="K960" t="s">
        <v>193</v>
      </c>
      <c r="L960" t="s">
        <v>193</v>
      </c>
      <c r="M960" t="s">
        <v>354</v>
      </c>
      <c r="N960" t="s">
        <v>1794</v>
      </c>
      <c r="O960">
        <v>10006308</v>
      </c>
      <c r="P960" s="120">
        <v>42858</v>
      </c>
      <c r="Q960" s="120">
        <v>42860</v>
      </c>
      <c r="R960" s="120">
        <v>42902</v>
      </c>
      <c r="S960" t="s">
        <v>249</v>
      </c>
      <c r="T960">
        <v>3</v>
      </c>
      <c r="U960" t="s">
        <v>128</v>
      </c>
      <c r="V960">
        <v>3</v>
      </c>
      <c r="W960">
        <v>2</v>
      </c>
      <c r="X960">
        <v>3</v>
      </c>
      <c r="Y960">
        <v>3</v>
      </c>
      <c r="Z960" t="s">
        <v>2730</v>
      </c>
      <c r="AA960" t="s">
        <v>2730</v>
      </c>
      <c r="AB960" t="s">
        <v>2732</v>
      </c>
      <c r="AC960" t="s">
        <v>2730</v>
      </c>
      <c r="AD960" t="s">
        <v>2730</v>
      </c>
      <c r="AE960" s="120" t="s">
        <v>2730</v>
      </c>
      <c r="AF960" t="s">
        <v>2730</v>
      </c>
      <c r="AG960" s="120" t="s">
        <v>2730</v>
      </c>
      <c r="AH960" t="s">
        <v>2730</v>
      </c>
    </row>
    <row r="961" spans="1:34">
      <c r="A961" s="149" t="str">
        <f>HYPERLINK("http://www.ofsted.gov.uk/inspection-reports/find-inspection-report/provider/ELS/134574 ","Ofsted School Webpage")</f>
        <v>Ofsted School Webpage</v>
      </c>
      <c r="B961">
        <v>134574</v>
      </c>
      <c r="C961">
        <v>3736030</v>
      </c>
      <c r="D961" t="s">
        <v>2048</v>
      </c>
      <c r="E961" t="s">
        <v>37</v>
      </c>
      <c r="F961" t="s">
        <v>223</v>
      </c>
      <c r="G961" t="s">
        <v>223</v>
      </c>
      <c r="H961" t="s">
        <v>2729</v>
      </c>
      <c r="I961" t="s">
        <v>2730</v>
      </c>
      <c r="J961" t="s">
        <v>186</v>
      </c>
      <c r="K961" t="s">
        <v>245</v>
      </c>
      <c r="L961" t="s">
        <v>246</v>
      </c>
      <c r="M961" t="s">
        <v>664</v>
      </c>
      <c r="N961" t="s">
        <v>2049</v>
      </c>
      <c r="O961" t="s">
        <v>3101</v>
      </c>
      <c r="P961" s="120">
        <v>42123</v>
      </c>
      <c r="Q961" s="120">
        <v>42125</v>
      </c>
      <c r="R961" s="120">
        <v>42208</v>
      </c>
      <c r="S961" t="s">
        <v>267</v>
      </c>
      <c r="T961">
        <v>4</v>
      </c>
      <c r="U961" t="s">
        <v>2730</v>
      </c>
      <c r="V961">
        <v>4</v>
      </c>
      <c r="W961" t="s">
        <v>2730</v>
      </c>
      <c r="X961">
        <v>3</v>
      </c>
      <c r="Y961">
        <v>3</v>
      </c>
      <c r="Z961">
        <v>9</v>
      </c>
      <c r="AA961">
        <v>3</v>
      </c>
      <c r="AB961" t="s">
        <v>2730</v>
      </c>
      <c r="AC961">
        <v>10034700</v>
      </c>
      <c r="AD961" t="s">
        <v>187</v>
      </c>
      <c r="AE961" s="120">
        <v>42859</v>
      </c>
      <c r="AF961" t="s">
        <v>2769</v>
      </c>
      <c r="AG961" s="120">
        <v>42927</v>
      </c>
      <c r="AH961" t="s">
        <v>189</v>
      </c>
    </row>
    <row r="962" spans="1:34">
      <c r="A962" s="149" t="str">
        <f>HYPERLINK("http://www.ofsted.gov.uk/inspection-reports/find-inspection-report/provider/ELS/131119 ","Ofsted School Webpage")</f>
        <v>Ofsted School Webpage</v>
      </c>
      <c r="B962">
        <v>131119</v>
      </c>
      <c r="C962">
        <v>8926012</v>
      </c>
      <c r="D962" t="s">
        <v>286</v>
      </c>
      <c r="E962" t="s">
        <v>37</v>
      </c>
      <c r="F962" t="s">
        <v>184</v>
      </c>
      <c r="G962" t="s">
        <v>223</v>
      </c>
      <c r="H962" t="s">
        <v>2729</v>
      </c>
      <c r="I962" t="s">
        <v>2730</v>
      </c>
      <c r="J962" t="s">
        <v>186</v>
      </c>
      <c r="K962" t="s">
        <v>214</v>
      </c>
      <c r="L962" t="s">
        <v>214</v>
      </c>
      <c r="M962" t="s">
        <v>287</v>
      </c>
      <c r="N962" t="s">
        <v>288</v>
      </c>
      <c r="O962">
        <v>10039183</v>
      </c>
      <c r="P962" s="120">
        <v>42997</v>
      </c>
      <c r="Q962" s="120">
        <v>42999</v>
      </c>
      <c r="R962" s="120">
        <v>43019</v>
      </c>
      <c r="S962" t="s">
        <v>196</v>
      </c>
      <c r="T962">
        <v>2</v>
      </c>
      <c r="U962" t="s">
        <v>128</v>
      </c>
      <c r="V962">
        <v>2</v>
      </c>
      <c r="W962">
        <v>1</v>
      </c>
      <c r="X962">
        <v>2</v>
      </c>
      <c r="Y962">
        <v>2</v>
      </c>
      <c r="Z962" t="s">
        <v>2730</v>
      </c>
      <c r="AA962">
        <v>2</v>
      </c>
      <c r="AB962" t="s">
        <v>2732</v>
      </c>
      <c r="AC962" t="s">
        <v>2730</v>
      </c>
      <c r="AD962" t="s">
        <v>2730</v>
      </c>
      <c r="AE962" s="120" t="s">
        <v>2730</v>
      </c>
      <c r="AF962" t="s">
        <v>2730</v>
      </c>
      <c r="AG962" s="120" t="s">
        <v>2730</v>
      </c>
      <c r="AH962" t="s">
        <v>2730</v>
      </c>
    </row>
    <row r="963" spans="1:34">
      <c r="A963" s="149" t="str">
        <f>HYPERLINK("http://www.ofsted.gov.uk/inspection-reports/find-inspection-report/provider/ELS/134571 ","Ofsted School Webpage")</f>
        <v>Ofsted School Webpage</v>
      </c>
      <c r="B963">
        <v>134571</v>
      </c>
      <c r="C963">
        <v>3306106</v>
      </c>
      <c r="D963" t="s">
        <v>2050</v>
      </c>
      <c r="E963" t="s">
        <v>37</v>
      </c>
      <c r="F963" t="s">
        <v>184</v>
      </c>
      <c r="G963" t="s">
        <v>223</v>
      </c>
      <c r="H963" t="s">
        <v>2729</v>
      </c>
      <c r="I963" t="s">
        <v>2730</v>
      </c>
      <c r="J963" t="s">
        <v>186</v>
      </c>
      <c r="K963" t="s">
        <v>193</v>
      </c>
      <c r="L963" t="s">
        <v>193</v>
      </c>
      <c r="M963" t="s">
        <v>210</v>
      </c>
      <c r="N963" t="s">
        <v>2051</v>
      </c>
      <c r="O963">
        <v>10033569</v>
      </c>
      <c r="P963" s="120">
        <v>42927</v>
      </c>
      <c r="Q963" s="120">
        <v>42929</v>
      </c>
      <c r="R963" s="120">
        <v>42999</v>
      </c>
      <c r="S963" t="s">
        <v>196</v>
      </c>
      <c r="T963">
        <v>3</v>
      </c>
      <c r="U963" t="s">
        <v>128</v>
      </c>
      <c r="V963">
        <v>3</v>
      </c>
      <c r="W963">
        <v>2</v>
      </c>
      <c r="X963">
        <v>3</v>
      </c>
      <c r="Y963">
        <v>3</v>
      </c>
      <c r="Z963" t="s">
        <v>2730</v>
      </c>
      <c r="AA963">
        <v>2</v>
      </c>
      <c r="AB963" t="s">
        <v>2733</v>
      </c>
      <c r="AC963" t="s">
        <v>2730</v>
      </c>
      <c r="AD963" t="s">
        <v>2730</v>
      </c>
      <c r="AE963" t="s">
        <v>2730</v>
      </c>
      <c r="AF963" t="s">
        <v>2730</v>
      </c>
      <c r="AG963" t="s">
        <v>2730</v>
      </c>
      <c r="AH963" t="s">
        <v>2730</v>
      </c>
    </row>
    <row r="964" spans="1:34">
      <c r="A964" s="149" t="str">
        <f>HYPERLINK("http://www.ofsted.gov.uk/inspection-reports/find-inspection-report/provider/ELS/134591 ","Ofsted School Webpage")</f>
        <v>Ofsted School Webpage</v>
      </c>
      <c r="B964">
        <v>134591</v>
      </c>
      <c r="C964">
        <v>3166065</v>
      </c>
      <c r="D964" t="s">
        <v>504</v>
      </c>
      <c r="E964" t="s">
        <v>37</v>
      </c>
      <c r="F964" t="s">
        <v>184</v>
      </c>
      <c r="G964" t="s">
        <v>223</v>
      </c>
      <c r="H964" t="s">
        <v>2729</v>
      </c>
      <c r="I964" t="s">
        <v>2730</v>
      </c>
      <c r="J964" t="s">
        <v>186</v>
      </c>
      <c r="K964" t="s">
        <v>232</v>
      </c>
      <c r="L964" t="s">
        <v>232</v>
      </c>
      <c r="M964" t="s">
        <v>505</v>
      </c>
      <c r="N964" t="s">
        <v>506</v>
      </c>
      <c r="O964">
        <v>10006015</v>
      </c>
      <c r="P964" s="120">
        <v>42633</v>
      </c>
      <c r="Q964" s="120">
        <v>42635</v>
      </c>
      <c r="R964" s="120">
        <v>42675</v>
      </c>
      <c r="S964" t="s">
        <v>196</v>
      </c>
      <c r="T964">
        <v>4</v>
      </c>
      <c r="U964" t="s">
        <v>129</v>
      </c>
      <c r="V964">
        <v>4</v>
      </c>
      <c r="W964">
        <v>4</v>
      </c>
      <c r="X964">
        <v>4</v>
      </c>
      <c r="Y964">
        <v>4</v>
      </c>
      <c r="Z964" t="s">
        <v>2730</v>
      </c>
      <c r="AA964" t="s">
        <v>2730</v>
      </c>
      <c r="AB964" t="s">
        <v>2733</v>
      </c>
      <c r="AC964">
        <v>10041234</v>
      </c>
      <c r="AD964" t="s">
        <v>187</v>
      </c>
      <c r="AE964" s="120">
        <v>43024</v>
      </c>
      <c r="AF964" t="s">
        <v>2771</v>
      </c>
      <c r="AG964" s="120">
        <v>43066</v>
      </c>
      <c r="AH964" t="s">
        <v>189</v>
      </c>
    </row>
    <row r="965" spans="1:34">
      <c r="A965" s="149" t="str">
        <f>HYPERLINK("http://www.ofsted.gov.uk/inspection-reports/find-inspection-report/provider/ELS/134192 ","Ofsted School Webpage")</f>
        <v>Ofsted School Webpage</v>
      </c>
      <c r="B965">
        <v>134192</v>
      </c>
      <c r="C965">
        <v>2136393</v>
      </c>
      <c r="D965" t="s">
        <v>1743</v>
      </c>
      <c r="E965" t="s">
        <v>37</v>
      </c>
      <c r="F965" t="s">
        <v>184</v>
      </c>
      <c r="G965" t="s">
        <v>184</v>
      </c>
      <c r="H965" t="s">
        <v>2729</v>
      </c>
      <c r="I965" t="s">
        <v>2730</v>
      </c>
      <c r="J965" t="s">
        <v>186</v>
      </c>
      <c r="K965" t="s">
        <v>232</v>
      </c>
      <c r="L965" t="s">
        <v>232</v>
      </c>
      <c r="M965" t="s">
        <v>679</v>
      </c>
      <c r="N965" t="s">
        <v>1744</v>
      </c>
      <c r="O965">
        <v>10008540</v>
      </c>
      <c r="P965" s="120">
        <v>42444</v>
      </c>
      <c r="Q965" s="120">
        <v>42446</v>
      </c>
      <c r="R965" s="120">
        <v>42493</v>
      </c>
      <c r="S965" t="s">
        <v>196</v>
      </c>
      <c r="T965">
        <v>1</v>
      </c>
      <c r="U965" t="s">
        <v>128</v>
      </c>
      <c r="V965">
        <v>1</v>
      </c>
      <c r="W965">
        <v>1</v>
      </c>
      <c r="X965">
        <v>1</v>
      </c>
      <c r="Y965">
        <v>1</v>
      </c>
      <c r="Z965">
        <v>1</v>
      </c>
      <c r="AA965" t="s">
        <v>2730</v>
      </c>
      <c r="AB965" t="s">
        <v>2732</v>
      </c>
      <c r="AC965" t="s">
        <v>2730</v>
      </c>
      <c r="AD965" t="s">
        <v>2730</v>
      </c>
      <c r="AE965" t="s">
        <v>2730</v>
      </c>
      <c r="AF965" t="s">
        <v>2730</v>
      </c>
      <c r="AG965" t="s">
        <v>2730</v>
      </c>
      <c r="AH965" t="s">
        <v>2730</v>
      </c>
    </row>
    <row r="966" spans="1:34">
      <c r="A966" s="149" t="str">
        <f>HYPERLINK("http://www.ofsted.gov.uk/inspection-reports/find-inspection-report/provider/ELS/135277 ","Ofsted School Webpage")</f>
        <v>Ofsted School Webpage</v>
      </c>
      <c r="B966">
        <v>135277</v>
      </c>
      <c r="C966">
        <v>2126411</v>
      </c>
      <c r="D966" t="s">
        <v>1745</v>
      </c>
      <c r="E966" t="s">
        <v>37</v>
      </c>
      <c r="F966" t="s">
        <v>184</v>
      </c>
      <c r="G966" t="s">
        <v>184</v>
      </c>
      <c r="H966" t="s">
        <v>2729</v>
      </c>
      <c r="I966" t="s">
        <v>2730</v>
      </c>
      <c r="J966" t="s">
        <v>186</v>
      </c>
      <c r="K966" t="s">
        <v>232</v>
      </c>
      <c r="L966" t="s">
        <v>232</v>
      </c>
      <c r="M966" t="s">
        <v>435</v>
      </c>
      <c r="N966" t="s">
        <v>1746</v>
      </c>
      <c r="O966" t="s">
        <v>1747</v>
      </c>
      <c r="P966" s="120">
        <v>42130</v>
      </c>
      <c r="Q966" s="120">
        <v>42132</v>
      </c>
      <c r="R966" s="120">
        <v>42185</v>
      </c>
      <c r="S966" t="s">
        <v>196</v>
      </c>
      <c r="T966">
        <v>1</v>
      </c>
      <c r="U966" t="s">
        <v>2730</v>
      </c>
      <c r="V966">
        <v>1</v>
      </c>
      <c r="W966" t="s">
        <v>2730</v>
      </c>
      <c r="X966">
        <v>1</v>
      </c>
      <c r="Y966">
        <v>1</v>
      </c>
      <c r="Z966">
        <v>1</v>
      </c>
      <c r="AA966">
        <v>9</v>
      </c>
      <c r="AB966" t="s">
        <v>2730</v>
      </c>
      <c r="AC966" t="s">
        <v>2730</v>
      </c>
      <c r="AD966" t="s">
        <v>2730</v>
      </c>
      <c r="AE966" t="s">
        <v>2730</v>
      </c>
      <c r="AF966" t="s">
        <v>2730</v>
      </c>
      <c r="AG966" t="s">
        <v>2730</v>
      </c>
      <c r="AH966" t="s">
        <v>2730</v>
      </c>
    </row>
    <row r="967" spans="1:34">
      <c r="A967" s="149" t="str">
        <f>HYPERLINK("http://www.ofsted.gov.uk/inspection-reports/find-inspection-report/provider/ELS/100375 ","Ofsted School Webpage")</f>
        <v>Ofsted School Webpage</v>
      </c>
      <c r="B967">
        <v>100375</v>
      </c>
      <c r="C967">
        <v>2056386</v>
      </c>
      <c r="D967" t="s">
        <v>1748</v>
      </c>
      <c r="E967" t="s">
        <v>37</v>
      </c>
      <c r="F967" t="s">
        <v>184</v>
      </c>
      <c r="G967" t="s">
        <v>184</v>
      </c>
      <c r="H967" t="s">
        <v>2729</v>
      </c>
      <c r="I967" t="s">
        <v>2730</v>
      </c>
      <c r="J967" t="s">
        <v>186</v>
      </c>
      <c r="K967" t="s">
        <v>232</v>
      </c>
      <c r="L967" t="s">
        <v>232</v>
      </c>
      <c r="M967" t="s">
        <v>300</v>
      </c>
      <c r="N967" t="s">
        <v>1749</v>
      </c>
      <c r="O967">
        <v>10008534</v>
      </c>
      <c r="P967" s="120">
        <v>43060</v>
      </c>
      <c r="Q967" s="120">
        <v>43062</v>
      </c>
      <c r="R967" s="120">
        <v>43096</v>
      </c>
      <c r="S967" t="s">
        <v>196</v>
      </c>
      <c r="T967">
        <v>1</v>
      </c>
      <c r="U967" t="s">
        <v>128</v>
      </c>
      <c r="V967">
        <v>1</v>
      </c>
      <c r="W967">
        <v>1</v>
      </c>
      <c r="X967">
        <v>1</v>
      </c>
      <c r="Y967">
        <v>1</v>
      </c>
      <c r="Z967">
        <v>1</v>
      </c>
      <c r="AA967" t="s">
        <v>2730</v>
      </c>
      <c r="AB967" t="s">
        <v>2732</v>
      </c>
      <c r="AC967" t="s">
        <v>2730</v>
      </c>
      <c r="AD967" t="s">
        <v>2730</v>
      </c>
      <c r="AE967" t="s">
        <v>2730</v>
      </c>
      <c r="AF967" t="s">
        <v>2730</v>
      </c>
      <c r="AG967" t="s">
        <v>2730</v>
      </c>
      <c r="AH967" t="s">
        <v>2730</v>
      </c>
    </row>
    <row r="968" spans="1:34">
      <c r="A968" s="149" t="str">
        <f>HYPERLINK("http://www.ofsted.gov.uk/inspection-reports/find-inspection-report/provider/ELS/139239 ","Ofsted School Webpage")</f>
        <v>Ofsted School Webpage</v>
      </c>
      <c r="B968">
        <v>139239</v>
      </c>
      <c r="C968">
        <v>2136000</v>
      </c>
      <c r="D968" t="s">
        <v>3102</v>
      </c>
      <c r="E968" t="s">
        <v>37</v>
      </c>
      <c r="F968" t="s">
        <v>184</v>
      </c>
      <c r="G968" t="s">
        <v>184</v>
      </c>
      <c r="H968" t="s">
        <v>2729</v>
      </c>
      <c r="I968" t="s">
        <v>2730</v>
      </c>
      <c r="J968" t="s">
        <v>186</v>
      </c>
      <c r="K968" t="s">
        <v>232</v>
      </c>
      <c r="L968" t="s">
        <v>232</v>
      </c>
      <c r="M968" t="s">
        <v>679</v>
      </c>
      <c r="N968" t="s">
        <v>2315</v>
      </c>
      <c r="O968" t="s">
        <v>2316</v>
      </c>
      <c r="P968" s="120">
        <v>41548</v>
      </c>
      <c r="Q968" s="120">
        <v>41550</v>
      </c>
      <c r="R968" s="120">
        <v>41570</v>
      </c>
      <c r="S968" t="s">
        <v>249</v>
      </c>
      <c r="T968">
        <v>2</v>
      </c>
      <c r="U968" t="s">
        <v>2730</v>
      </c>
      <c r="V968">
        <v>2</v>
      </c>
      <c r="W968" t="s">
        <v>2730</v>
      </c>
      <c r="X968">
        <v>2</v>
      </c>
      <c r="Y968">
        <v>2</v>
      </c>
      <c r="Z968" t="s">
        <v>2730</v>
      </c>
      <c r="AA968" t="s">
        <v>2730</v>
      </c>
      <c r="AB968" t="s">
        <v>2730</v>
      </c>
      <c r="AC968" t="s">
        <v>2730</v>
      </c>
      <c r="AD968" t="s">
        <v>2730</v>
      </c>
      <c r="AE968" t="s">
        <v>2730</v>
      </c>
      <c r="AF968" t="s">
        <v>2730</v>
      </c>
      <c r="AG968" t="s">
        <v>2730</v>
      </c>
      <c r="AH968" t="s">
        <v>2730</v>
      </c>
    </row>
    <row r="969" spans="1:34">
      <c r="A969" s="149" t="str">
        <f>HYPERLINK("http://www.ofsted.gov.uk/inspection-reports/find-inspection-report/provider/ELS/137802 ","Ofsted School Webpage")</f>
        <v>Ofsted School Webpage</v>
      </c>
      <c r="B969">
        <v>137802</v>
      </c>
      <c r="C969">
        <v>3076004</v>
      </c>
      <c r="D969" t="s">
        <v>2317</v>
      </c>
      <c r="E969" t="s">
        <v>37</v>
      </c>
      <c r="F969" t="s">
        <v>184</v>
      </c>
      <c r="G969" t="s">
        <v>184</v>
      </c>
      <c r="H969" t="s">
        <v>2729</v>
      </c>
      <c r="I969" t="s">
        <v>2730</v>
      </c>
      <c r="J969" t="s">
        <v>186</v>
      </c>
      <c r="K969" t="s">
        <v>232</v>
      </c>
      <c r="L969" t="s">
        <v>232</v>
      </c>
      <c r="M969" t="s">
        <v>631</v>
      </c>
      <c r="N969" t="s">
        <v>2318</v>
      </c>
      <c r="O969" t="s">
        <v>2319</v>
      </c>
      <c r="P969" s="120">
        <v>41253</v>
      </c>
      <c r="Q969" s="120">
        <v>41254</v>
      </c>
      <c r="R969" s="120">
        <v>41306</v>
      </c>
      <c r="S969" t="s">
        <v>249</v>
      </c>
      <c r="T969">
        <v>2</v>
      </c>
      <c r="U969" t="s">
        <v>2730</v>
      </c>
      <c r="V969" t="s">
        <v>2730</v>
      </c>
      <c r="W969" t="s">
        <v>2730</v>
      </c>
      <c r="X969">
        <v>2</v>
      </c>
      <c r="Y969">
        <v>2</v>
      </c>
      <c r="Z969">
        <v>2</v>
      </c>
      <c r="AA969" t="s">
        <v>2730</v>
      </c>
      <c r="AB969" t="s">
        <v>2730</v>
      </c>
      <c r="AC969" t="s">
        <v>2730</v>
      </c>
      <c r="AD969" t="s">
        <v>2730</v>
      </c>
      <c r="AE969" t="s">
        <v>2730</v>
      </c>
      <c r="AF969" t="s">
        <v>2730</v>
      </c>
      <c r="AG969" t="s">
        <v>2730</v>
      </c>
      <c r="AH969" t="s">
        <v>2730</v>
      </c>
    </row>
    <row r="970" spans="1:34">
      <c r="A970" s="149" t="str">
        <f>HYPERLINK("http://www.ofsted.gov.uk/inspection-reports/find-inspection-report/provider/ELS/105598 ","Ofsted School Webpage")</f>
        <v>Ofsted School Webpage</v>
      </c>
      <c r="B970">
        <v>105598</v>
      </c>
      <c r="C970">
        <v>3526041</v>
      </c>
      <c r="D970" t="s">
        <v>2380</v>
      </c>
      <c r="E970" t="s">
        <v>37</v>
      </c>
      <c r="F970" t="s">
        <v>304</v>
      </c>
      <c r="G970" t="s">
        <v>223</v>
      </c>
      <c r="H970" t="s">
        <v>2729</v>
      </c>
      <c r="I970" t="s">
        <v>2730</v>
      </c>
      <c r="J970" t="s">
        <v>186</v>
      </c>
      <c r="K970" t="s">
        <v>205</v>
      </c>
      <c r="L970" t="s">
        <v>205</v>
      </c>
      <c r="M970" t="s">
        <v>306</v>
      </c>
      <c r="N970" t="s">
        <v>2381</v>
      </c>
      <c r="O970">
        <v>10007691</v>
      </c>
      <c r="P970" s="120">
        <v>42290</v>
      </c>
      <c r="Q970" s="120">
        <v>42292</v>
      </c>
      <c r="R970" s="120">
        <v>42328</v>
      </c>
      <c r="S970" t="s">
        <v>196</v>
      </c>
      <c r="T970">
        <v>2</v>
      </c>
      <c r="U970" t="s">
        <v>128</v>
      </c>
      <c r="V970">
        <v>2</v>
      </c>
      <c r="W970">
        <v>2</v>
      </c>
      <c r="X970">
        <v>2</v>
      </c>
      <c r="Y970">
        <v>2</v>
      </c>
      <c r="Z970">
        <v>2</v>
      </c>
      <c r="AA970" t="s">
        <v>2730</v>
      </c>
      <c r="AB970" t="s">
        <v>2732</v>
      </c>
      <c r="AC970" t="s">
        <v>2730</v>
      </c>
      <c r="AD970" t="s">
        <v>2730</v>
      </c>
      <c r="AE970" t="s">
        <v>2730</v>
      </c>
      <c r="AF970" t="s">
        <v>2730</v>
      </c>
      <c r="AG970" t="s">
        <v>2730</v>
      </c>
      <c r="AH970" t="s">
        <v>2730</v>
      </c>
    </row>
    <row r="971" spans="1:34">
      <c r="A971" s="149" t="str">
        <f>HYPERLINK("http://www.ofsted.gov.uk/inspection-reports/find-inspection-report/provider/ELS/141968 ","Ofsted School Webpage")</f>
        <v>Ofsted School Webpage</v>
      </c>
      <c r="B971">
        <v>141968</v>
      </c>
      <c r="C971">
        <v>3556002</v>
      </c>
      <c r="D971" t="s">
        <v>2382</v>
      </c>
      <c r="E971" t="s">
        <v>37</v>
      </c>
      <c r="F971" t="s">
        <v>184</v>
      </c>
      <c r="G971" t="s">
        <v>318</v>
      </c>
      <c r="H971" t="s">
        <v>2729</v>
      </c>
      <c r="I971" t="s">
        <v>2730</v>
      </c>
      <c r="J971" t="s">
        <v>186</v>
      </c>
      <c r="K971" t="s">
        <v>205</v>
      </c>
      <c r="L971" t="s">
        <v>205</v>
      </c>
      <c r="M971" t="s">
        <v>853</v>
      </c>
      <c r="N971" t="s">
        <v>2383</v>
      </c>
      <c r="O971">
        <v>10008628</v>
      </c>
      <c r="P971" s="120">
        <v>42556</v>
      </c>
      <c r="Q971" s="120">
        <v>42558</v>
      </c>
      <c r="R971" s="120">
        <v>42627</v>
      </c>
      <c r="S971" t="s">
        <v>249</v>
      </c>
      <c r="T971">
        <v>2</v>
      </c>
      <c r="U971" t="s">
        <v>128</v>
      </c>
      <c r="V971">
        <v>2</v>
      </c>
      <c r="W971">
        <v>1</v>
      </c>
      <c r="X971">
        <v>2</v>
      </c>
      <c r="Y971">
        <v>2</v>
      </c>
      <c r="Z971" t="s">
        <v>2730</v>
      </c>
      <c r="AA971" t="s">
        <v>2730</v>
      </c>
      <c r="AB971" t="s">
        <v>2732</v>
      </c>
      <c r="AC971" t="s">
        <v>2730</v>
      </c>
      <c r="AD971" t="s">
        <v>2730</v>
      </c>
      <c r="AE971" t="s">
        <v>2730</v>
      </c>
      <c r="AF971" t="s">
        <v>2730</v>
      </c>
      <c r="AG971" t="s">
        <v>2730</v>
      </c>
      <c r="AH971" t="s">
        <v>2730</v>
      </c>
    </row>
    <row r="972" spans="1:34">
      <c r="A972" s="149" t="str">
        <f>HYPERLINK("http://www.ofsted.gov.uk/inspection-reports/find-inspection-report/provider/ELS/135948 ","Ofsted School Webpage")</f>
        <v>Ofsted School Webpage</v>
      </c>
      <c r="B972">
        <v>135948</v>
      </c>
      <c r="C972">
        <v>3526067</v>
      </c>
      <c r="D972" t="s">
        <v>2384</v>
      </c>
      <c r="E972" t="s">
        <v>37</v>
      </c>
      <c r="F972" t="s">
        <v>184</v>
      </c>
      <c r="G972" t="s">
        <v>184</v>
      </c>
      <c r="H972" t="s">
        <v>2729</v>
      </c>
      <c r="I972" t="s">
        <v>2730</v>
      </c>
      <c r="J972" t="s">
        <v>186</v>
      </c>
      <c r="K972" t="s">
        <v>205</v>
      </c>
      <c r="L972" t="s">
        <v>205</v>
      </c>
      <c r="M972" t="s">
        <v>306</v>
      </c>
      <c r="N972" t="s">
        <v>2385</v>
      </c>
      <c r="O972">
        <v>10020756</v>
      </c>
      <c r="P972" s="120">
        <v>42689</v>
      </c>
      <c r="Q972" s="120">
        <v>42691</v>
      </c>
      <c r="R972" s="120">
        <v>42751</v>
      </c>
      <c r="S972" t="s">
        <v>196</v>
      </c>
      <c r="T972">
        <v>3</v>
      </c>
      <c r="U972" t="s">
        <v>128</v>
      </c>
      <c r="V972">
        <v>3</v>
      </c>
      <c r="W972">
        <v>3</v>
      </c>
      <c r="X972">
        <v>3</v>
      </c>
      <c r="Y972">
        <v>3</v>
      </c>
      <c r="Z972" t="s">
        <v>2730</v>
      </c>
      <c r="AA972" t="s">
        <v>2730</v>
      </c>
      <c r="AB972" t="s">
        <v>2732</v>
      </c>
      <c r="AC972" t="s">
        <v>2730</v>
      </c>
      <c r="AD972" t="s">
        <v>2730</v>
      </c>
      <c r="AE972" t="s">
        <v>2730</v>
      </c>
      <c r="AF972" t="s">
        <v>2730</v>
      </c>
      <c r="AG972" t="s">
        <v>2730</v>
      </c>
      <c r="AH972" t="s">
        <v>2730</v>
      </c>
    </row>
    <row r="973" spans="1:34">
      <c r="A973" s="149" t="str">
        <f>HYPERLINK("http://www.ofsted.gov.uk/inspection-reports/find-inspection-report/provider/ELS/110930 ","Ofsted School Webpage")</f>
        <v>Ofsted School Webpage</v>
      </c>
      <c r="B973">
        <v>110930</v>
      </c>
      <c r="C973">
        <v>8736017</v>
      </c>
      <c r="D973" t="s">
        <v>3103</v>
      </c>
      <c r="E973" t="s">
        <v>37</v>
      </c>
      <c r="F973" t="s">
        <v>184</v>
      </c>
      <c r="G973" t="s">
        <v>441</v>
      </c>
      <c r="H973" t="s">
        <v>2729</v>
      </c>
      <c r="I973" t="s">
        <v>2730</v>
      </c>
      <c r="J973" t="s">
        <v>186</v>
      </c>
      <c r="K973" t="s">
        <v>220</v>
      </c>
      <c r="L973" t="s">
        <v>220</v>
      </c>
      <c r="M973" t="s">
        <v>284</v>
      </c>
      <c r="N973" t="s">
        <v>718</v>
      </c>
      <c r="O973">
        <v>10008885</v>
      </c>
      <c r="P973" s="120">
        <v>42682</v>
      </c>
      <c r="Q973" s="120">
        <v>42684</v>
      </c>
      <c r="R973" s="120">
        <v>42726</v>
      </c>
      <c r="S973" t="s">
        <v>196</v>
      </c>
      <c r="T973">
        <v>1</v>
      </c>
      <c r="U973" t="s">
        <v>128</v>
      </c>
      <c r="V973">
        <v>1</v>
      </c>
      <c r="W973">
        <v>1</v>
      </c>
      <c r="X973">
        <v>1</v>
      </c>
      <c r="Y973">
        <v>1</v>
      </c>
      <c r="Z973" t="s">
        <v>2730</v>
      </c>
      <c r="AA973">
        <v>1</v>
      </c>
      <c r="AB973" t="s">
        <v>2732</v>
      </c>
      <c r="AC973" t="s">
        <v>2730</v>
      </c>
      <c r="AD973" t="s">
        <v>2730</v>
      </c>
      <c r="AE973" t="s">
        <v>2730</v>
      </c>
      <c r="AF973" t="s">
        <v>2730</v>
      </c>
      <c r="AG973" t="s">
        <v>2730</v>
      </c>
      <c r="AH973" t="s">
        <v>2730</v>
      </c>
    </row>
    <row r="974" spans="1:34">
      <c r="A974" s="149" t="str">
        <f>HYPERLINK("http://www.ofsted.gov.uk/inspection-reports/find-inspection-report/provider/ELS/130245 ","Ofsted School Webpage")</f>
        <v>Ofsted School Webpage</v>
      </c>
      <c r="B974">
        <v>130245</v>
      </c>
      <c r="C974">
        <v>3806119</v>
      </c>
      <c r="D974" t="s">
        <v>1560</v>
      </c>
      <c r="E974" t="s">
        <v>37</v>
      </c>
      <c r="F974" t="s">
        <v>304</v>
      </c>
      <c r="G974" t="s">
        <v>223</v>
      </c>
      <c r="H974" t="s">
        <v>2729</v>
      </c>
      <c r="I974" t="s">
        <v>2730</v>
      </c>
      <c r="J974" t="s">
        <v>186</v>
      </c>
      <c r="K974" t="s">
        <v>245</v>
      </c>
      <c r="L974" t="s">
        <v>246</v>
      </c>
      <c r="M974" t="s">
        <v>339</v>
      </c>
      <c r="N974" t="s">
        <v>1561</v>
      </c>
      <c r="O974">
        <v>10033915</v>
      </c>
      <c r="P974" s="120">
        <v>42927</v>
      </c>
      <c r="Q974" s="120">
        <v>42929</v>
      </c>
      <c r="R974" s="120">
        <v>43039</v>
      </c>
      <c r="S974" t="s">
        <v>196</v>
      </c>
      <c r="T974">
        <v>4</v>
      </c>
      <c r="U974" t="s">
        <v>128</v>
      </c>
      <c r="V974">
        <v>4</v>
      </c>
      <c r="W974">
        <v>4</v>
      </c>
      <c r="X974">
        <v>3</v>
      </c>
      <c r="Y974">
        <v>3</v>
      </c>
      <c r="Z974" t="s">
        <v>2730</v>
      </c>
      <c r="AA974" t="s">
        <v>2730</v>
      </c>
      <c r="AB974" t="s">
        <v>2733</v>
      </c>
      <c r="AC974" t="s">
        <v>2730</v>
      </c>
      <c r="AD974" t="s">
        <v>2730</v>
      </c>
      <c r="AE974" t="s">
        <v>2730</v>
      </c>
      <c r="AF974" t="s">
        <v>2730</v>
      </c>
      <c r="AG974" t="s">
        <v>2730</v>
      </c>
      <c r="AH974" t="s">
        <v>2730</v>
      </c>
    </row>
    <row r="975" spans="1:34">
      <c r="A975" s="149" t="str">
        <f>HYPERLINK("http://www.ofsted.gov.uk/inspection-reports/find-inspection-report/provider/ELS/131825 ","Ofsted School Webpage")</f>
        <v>Ofsted School Webpage</v>
      </c>
      <c r="B975">
        <v>131825</v>
      </c>
      <c r="C975">
        <v>8216004</v>
      </c>
      <c r="D975" t="s">
        <v>1562</v>
      </c>
      <c r="E975" t="s">
        <v>37</v>
      </c>
      <c r="F975" t="s">
        <v>184</v>
      </c>
      <c r="G975" t="s">
        <v>223</v>
      </c>
      <c r="H975" t="s">
        <v>2729</v>
      </c>
      <c r="I975" t="s">
        <v>2730</v>
      </c>
      <c r="J975" t="s">
        <v>186</v>
      </c>
      <c r="K975" t="s">
        <v>220</v>
      </c>
      <c r="L975" t="s">
        <v>220</v>
      </c>
      <c r="M975" t="s">
        <v>221</v>
      </c>
      <c r="N975" t="s">
        <v>1563</v>
      </c>
      <c r="O975">
        <v>10033545</v>
      </c>
      <c r="P975" s="120">
        <v>42878</v>
      </c>
      <c r="Q975" s="120">
        <v>42880</v>
      </c>
      <c r="R975" s="120">
        <v>42920</v>
      </c>
      <c r="S975" t="s">
        <v>196</v>
      </c>
      <c r="T975">
        <v>4</v>
      </c>
      <c r="U975" t="s">
        <v>129</v>
      </c>
      <c r="V975">
        <v>4</v>
      </c>
      <c r="W975">
        <v>4</v>
      </c>
      <c r="X975">
        <v>3</v>
      </c>
      <c r="Y975">
        <v>3</v>
      </c>
      <c r="Z975" t="s">
        <v>2730</v>
      </c>
      <c r="AA975" t="s">
        <v>2730</v>
      </c>
      <c r="AB975" t="s">
        <v>2733</v>
      </c>
      <c r="AC975">
        <v>10043891</v>
      </c>
      <c r="AD975" t="s">
        <v>187</v>
      </c>
      <c r="AE975" s="120">
        <v>43048</v>
      </c>
      <c r="AF975" t="s">
        <v>2771</v>
      </c>
      <c r="AG975" s="120">
        <v>43089</v>
      </c>
      <c r="AH975" t="s">
        <v>217</v>
      </c>
    </row>
    <row r="976" spans="1:34">
      <c r="A976" s="149" t="str">
        <f>HYPERLINK("http://www.ofsted.gov.uk/inspection-reports/find-inspection-report/provider/ELS/134400 ","Ofsted School Webpage")</f>
        <v>Ofsted School Webpage</v>
      </c>
      <c r="B976">
        <v>134400</v>
      </c>
      <c r="C976">
        <v>2096363</v>
      </c>
      <c r="D976" t="s">
        <v>528</v>
      </c>
      <c r="E976" t="s">
        <v>37</v>
      </c>
      <c r="F976" t="s">
        <v>304</v>
      </c>
      <c r="G976" t="s">
        <v>223</v>
      </c>
      <c r="H976" t="s">
        <v>2729</v>
      </c>
      <c r="I976" t="s">
        <v>2730</v>
      </c>
      <c r="J976" t="s">
        <v>186</v>
      </c>
      <c r="K976" t="s">
        <v>232</v>
      </c>
      <c r="L976" t="s">
        <v>232</v>
      </c>
      <c r="M976" t="s">
        <v>529</v>
      </c>
      <c r="N976" t="s">
        <v>530</v>
      </c>
      <c r="O976">
        <v>10033423</v>
      </c>
      <c r="P976" s="120">
        <v>42802</v>
      </c>
      <c r="Q976" s="120">
        <v>42804</v>
      </c>
      <c r="R976" s="120">
        <v>42850</v>
      </c>
      <c r="S976" t="s">
        <v>196</v>
      </c>
      <c r="T976">
        <v>4</v>
      </c>
      <c r="U976" t="s">
        <v>129</v>
      </c>
      <c r="V976">
        <v>4</v>
      </c>
      <c r="W976">
        <v>4</v>
      </c>
      <c r="X976">
        <v>3</v>
      </c>
      <c r="Y976">
        <v>3</v>
      </c>
      <c r="Z976">
        <v>4</v>
      </c>
      <c r="AA976" t="s">
        <v>2730</v>
      </c>
      <c r="AB976" t="s">
        <v>2733</v>
      </c>
      <c r="AC976">
        <v>10039573</v>
      </c>
      <c r="AD976" t="s">
        <v>187</v>
      </c>
      <c r="AE976" s="120">
        <v>42990</v>
      </c>
      <c r="AF976" t="s">
        <v>2771</v>
      </c>
      <c r="AG976" s="120">
        <v>43059</v>
      </c>
      <c r="AH976" t="s">
        <v>217</v>
      </c>
    </row>
    <row r="977" spans="1:34">
      <c r="A977" s="149" t="str">
        <f>HYPERLINK("http://www.ofsted.gov.uk/inspection-reports/find-inspection-report/provider/ELS/134137 ","Ofsted School Webpage")</f>
        <v>Ofsted School Webpage</v>
      </c>
      <c r="B977">
        <v>134137</v>
      </c>
      <c r="C977">
        <v>8236005</v>
      </c>
      <c r="D977" t="s">
        <v>1961</v>
      </c>
      <c r="E977" t="s">
        <v>37</v>
      </c>
      <c r="F977" t="s">
        <v>184</v>
      </c>
      <c r="G977" t="s">
        <v>184</v>
      </c>
      <c r="H977" t="s">
        <v>2729</v>
      </c>
      <c r="I977" t="s">
        <v>2730</v>
      </c>
      <c r="J977" t="s">
        <v>186</v>
      </c>
      <c r="K977" t="s">
        <v>220</v>
      </c>
      <c r="L977" t="s">
        <v>220</v>
      </c>
      <c r="M977" t="s">
        <v>415</v>
      </c>
      <c r="N977" t="s">
        <v>1962</v>
      </c>
      <c r="O977" t="s">
        <v>3104</v>
      </c>
      <c r="P977" s="120">
        <v>40519</v>
      </c>
      <c r="Q977" s="120">
        <v>40519</v>
      </c>
      <c r="R977" s="120">
        <v>40554</v>
      </c>
      <c r="S977" t="s">
        <v>655</v>
      </c>
      <c r="T977">
        <v>2</v>
      </c>
      <c r="U977" t="s">
        <v>2730</v>
      </c>
      <c r="V977" t="s">
        <v>2730</v>
      </c>
      <c r="W977" t="s">
        <v>2730</v>
      </c>
      <c r="X977">
        <v>2</v>
      </c>
      <c r="Y977">
        <v>2</v>
      </c>
      <c r="Z977">
        <v>8</v>
      </c>
      <c r="AA977" t="s">
        <v>2730</v>
      </c>
      <c r="AB977" t="s">
        <v>2730</v>
      </c>
      <c r="AC977" t="s">
        <v>2730</v>
      </c>
      <c r="AD977" t="s">
        <v>2730</v>
      </c>
      <c r="AE977" t="s">
        <v>2730</v>
      </c>
      <c r="AF977" t="s">
        <v>2730</v>
      </c>
      <c r="AG977" t="s">
        <v>2730</v>
      </c>
      <c r="AH977" t="s">
        <v>2730</v>
      </c>
    </row>
    <row r="978" spans="1:34">
      <c r="A978" s="149" t="str">
        <f>HYPERLINK("http://www.ofsted.gov.uk/inspection-reports/find-inspection-report/provider/ELS/136678 ","Ofsted School Webpage")</f>
        <v>Ofsted School Webpage</v>
      </c>
      <c r="B978">
        <v>136678</v>
      </c>
      <c r="C978">
        <v>3156589</v>
      </c>
      <c r="D978" t="s">
        <v>2410</v>
      </c>
      <c r="E978" t="s">
        <v>37</v>
      </c>
      <c r="F978" t="s">
        <v>184</v>
      </c>
      <c r="G978" t="s">
        <v>184</v>
      </c>
      <c r="H978" t="s">
        <v>2729</v>
      </c>
      <c r="I978" t="s">
        <v>2730</v>
      </c>
      <c r="J978" t="s">
        <v>186</v>
      </c>
      <c r="K978" t="s">
        <v>232</v>
      </c>
      <c r="L978" t="s">
        <v>232</v>
      </c>
      <c r="M978" t="s">
        <v>236</v>
      </c>
      <c r="N978" t="s">
        <v>2411</v>
      </c>
      <c r="O978" t="s">
        <v>2412</v>
      </c>
      <c r="P978" s="120">
        <v>42123</v>
      </c>
      <c r="Q978" s="120">
        <v>42125</v>
      </c>
      <c r="R978" s="120">
        <v>42164</v>
      </c>
      <c r="S978" t="s">
        <v>196</v>
      </c>
      <c r="T978">
        <v>2</v>
      </c>
      <c r="U978" t="s">
        <v>2730</v>
      </c>
      <c r="V978">
        <v>2</v>
      </c>
      <c r="W978" t="s">
        <v>2730</v>
      </c>
      <c r="X978">
        <v>2</v>
      </c>
      <c r="Y978">
        <v>2</v>
      </c>
      <c r="Z978">
        <v>9</v>
      </c>
      <c r="AA978">
        <v>9</v>
      </c>
      <c r="AB978" t="s">
        <v>2730</v>
      </c>
      <c r="AC978" t="s">
        <v>2730</v>
      </c>
      <c r="AD978" t="s">
        <v>2730</v>
      </c>
      <c r="AE978" t="s">
        <v>2730</v>
      </c>
      <c r="AF978" t="s">
        <v>2730</v>
      </c>
      <c r="AG978" t="s">
        <v>2730</v>
      </c>
      <c r="AH978" t="s">
        <v>2730</v>
      </c>
    </row>
    <row r="979" spans="1:34">
      <c r="A979" s="149" t="str">
        <f>HYPERLINK("http://www.ofsted.gov.uk/inspection-reports/find-inspection-report/provider/ELS/100303 ","Ofsted School Webpage")</f>
        <v>Ofsted School Webpage</v>
      </c>
      <c r="B979">
        <v>100303</v>
      </c>
      <c r="C979">
        <v>2116385</v>
      </c>
      <c r="D979" t="s">
        <v>2413</v>
      </c>
      <c r="E979" t="s">
        <v>37</v>
      </c>
      <c r="F979" t="s">
        <v>184</v>
      </c>
      <c r="G979" t="s">
        <v>184</v>
      </c>
      <c r="H979" t="s">
        <v>2729</v>
      </c>
      <c r="I979" t="s">
        <v>2730</v>
      </c>
      <c r="J979" t="s">
        <v>186</v>
      </c>
      <c r="K979" t="s">
        <v>232</v>
      </c>
      <c r="L979" t="s">
        <v>232</v>
      </c>
      <c r="M979" t="s">
        <v>539</v>
      </c>
      <c r="N979" t="s">
        <v>2414</v>
      </c>
      <c r="O979" t="s">
        <v>2415</v>
      </c>
      <c r="P979" s="120">
        <v>40626</v>
      </c>
      <c r="Q979" s="120">
        <v>40626</v>
      </c>
      <c r="R979" s="120">
        <v>40666</v>
      </c>
      <c r="S979" t="s">
        <v>655</v>
      </c>
      <c r="T979">
        <v>2</v>
      </c>
      <c r="U979" t="s">
        <v>2730</v>
      </c>
      <c r="V979" t="s">
        <v>2730</v>
      </c>
      <c r="W979" t="s">
        <v>2730</v>
      </c>
      <c r="X979">
        <v>2</v>
      </c>
      <c r="Y979">
        <v>2</v>
      </c>
      <c r="Z979">
        <v>2</v>
      </c>
      <c r="AA979" t="s">
        <v>2730</v>
      </c>
      <c r="AB979" t="s">
        <v>2730</v>
      </c>
      <c r="AC979" t="s">
        <v>2730</v>
      </c>
      <c r="AD979" t="s">
        <v>2730</v>
      </c>
      <c r="AE979" t="s">
        <v>2730</v>
      </c>
      <c r="AF979" t="s">
        <v>2730</v>
      </c>
      <c r="AG979" t="s">
        <v>2730</v>
      </c>
      <c r="AH979" t="s">
        <v>2730</v>
      </c>
    </row>
    <row r="980" spans="1:34">
      <c r="A980" s="149" t="str">
        <f>HYPERLINK("http://www.ofsted.gov.uk/inspection-reports/find-inspection-report/provider/ELS/134575 ","Ofsted School Webpage")</f>
        <v>Ofsted School Webpage</v>
      </c>
      <c r="B980">
        <v>134575</v>
      </c>
      <c r="C980">
        <v>3546006</v>
      </c>
      <c r="D980" t="s">
        <v>2416</v>
      </c>
      <c r="E980" t="s">
        <v>37</v>
      </c>
      <c r="F980" t="s">
        <v>184</v>
      </c>
      <c r="G980" t="s">
        <v>223</v>
      </c>
      <c r="H980" t="s">
        <v>2729</v>
      </c>
      <c r="I980" t="s">
        <v>2730</v>
      </c>
      <c r="J980" t="s">
        <v>186</v>
      </c>
      <c r="K980" t="s">
        <v>205</v>
      </c>
      <c r="L980" t="s">
        <v>205</v>
      </c>
      <c r="M980" t="s">
        <v>456</v>
      </c>
      <c r="N980" t="s">
        <v>2417</v>
      </c>
      <c r="O980">
        <v>10034026</v>
      </c>
      <c r="P980" s="120">
        <v>42906</v>
      </c>
      <c r="Q980" s="120">
        <v>42908</v>
      </c>
      <c r="R980" s="120">
        <v>42930</v>
      </c>
      <c r="S980" t="s">
        <v>196</v>
      </c>
      <c r="T980">
        <v>2</v>
      </c>
      <c r="U980" t="s">
        <v>128</v>
      </c>
      <c r="V980">
        <v>2</v>
      </c>
      <c r="W980">
        <v>2</v>
      </c>
      <c r="X980">
        <v>2</v>
      </c>
      <c r="Y980">
        <v>2</v>
      </c>
      <c r="Z980" t="s">
        <v>2730</v>
      </c>
      <c r="AA980" t="s">
        <v>2730</v>
      </c>
      <c r="AB980" t="s">
        <v>2732</v>
      </c>
      <c r="AC980" t="s">
        <v>2730</v>
      </c>
      <c r="AD980" t="s">
        <v>2730</v>
      </c>
      <c r="AE980" t="s">
        <v>2730</v>
      </c>
      <c r="AF980" t="s">
        <v>2730</v>
      </c>
      <c r="AG980" t="s">
        <v>2730</v>
      </c>
      <c r="AH980" t="s">
        <v>2730</v>
      </c>
    </row>
    <row r="981" spans="1:34">
      <c r="A981" s="149" t="str">
        <f>HYPERLINK("http://www.ofsted.gov.uk/inspection-reports/find-inspection-report/provider/ELS/139331 ","Ofsted School Webpage")</f>
        <v>Ofsted School Webpage</v>
      </c>
      <c r="B981">
        <v>139331</v>
      </c>
      <c r="C981">
        <v>2096000</v>
      </c>
      <c r="D981" t="s">
        <v>2418</v>
      </c>
      <c r="E981" t="s">
        <v>37</v>
      </c>
      <c r="F981" t="s">
        <v>184</v>
      </c>
      <c r="G981" t="s">
        <v>184</v>
      </c>
      <c r="H981" t="s">
        <v>2729</v>
      </c>
      <c r="I981" t="s">
        <v>2730</v>
      </c>
      <c r="J981" t="s">
        <v>186</v>
      </c>
      <c r="K981" t="s">
        <v>232</v>
      </c>
      <c r="L981" t="s">
        <v>232</v>
      </c>
      <c r="M981" t="s">
        <v>529</v>
      </c>
      <c r="N981" t="s">
        <v>2419</v>
      </c>
      <c r="O981">
        <v>10026297</v>
      </c>
      <c r="P981" s="120">
        <v>43046</v>
      </c>
      <c r="Q981" s="120">
        <v>43048</v>
      </c>
      <c r="R981" s="120">
        <v>43080</v>
      </c>
      <c r="S981" t="s">
        <v>196</v>
      </c>
      <c r="T981">
        <v>2</v>
      </c>
      <c r="U981" t="s">
        <v>128</v>
      </c>
      <c r="V981">
        <v>2</v>
      </c>
      <c r="W981">
        <v>2</v>
      </c>
      <c r="X981">
        <v>2</v>
      </c>
      <c r="Y981">
        <v>2</v>
      </c>
      <c r="Z981">
        <v>2</v>
      </c>
      <c r="AA981" t="s">
        <v>2730</v>
      </c>
      <c r="AB981" t="s">
        <v>2732</v>
      </c>
      <c r="AC981" t="s">
        <v>2730</v>
      </c>
      <c r="AD981" t="s">
        <v>2730</v>
      </c>
      <c r="AE981" t="s">
        <v>2730</v>
      </c>
      <c r="AF981" t="s">
        <v>2730</v>
      </c>
      <c r="AG981" t="s">
        <v>2730</v>
      </c>
      <c r="AH981" t="s">
        <v>2730</v>
      </c>
    </row>
    <row r="982" spans="1:34">
      <c r="A982" s="149" t="str">
        <f>HYPERLINK("http://www.ofsted.gov.uk/inspection-reports/find-inspection-report/provider/ELS/100294 ","Ofsted School Webpage")</f>
        <v>Ofsted School Webpage</v>
      </c>
      <c r="B982">
        <v>100294</v>
      </c>
      <c r="C982">
        <v>2046331</v>
      </c>
      <c r="D982" t="s">
        <v>2156</v>
      </c>
      <c r="E982" t="s">
        <v>37</v>
      </c>
      <c r="F982" t="s">
        <v>1697</v>
      </c>
      <c r="G982" t="s">
        <v>318</v>
      </c>
      <c r="H982" t="s">
        <v>2729</v>
      </c>
      <c r="I982" t="s">
        <v>2730</v>
      </c>
      <c r="J982" t="s">
        <v>186</v>
      </c>
      <c r="K982" t="s">
        <v>232</v>
      </c>
      <c r="L982" t="s">
        <v>232</v>
      </c>
      <c r="M982" t="s">
        <v>479</v>
      </c>
      <c r="N982" t="s">
        <v>2157</v>
      </c>
      <c r="O982" t="s">
        <v>2158</v>
      </c>
      <c r="P982" s="120">
        <v>41947</v>
      </c>
      <c r="Q982" s="120">
        <v>41949</v>
      </c>
      <c r="R982" s="120">
        <v>41978</v>
      </c>
      <c r="S982" t="s">
        <v>196</v>
      </c>
      <c r="T982">
        <v>2</v>
      </c>
      <c r="U982" t="s">
        <v>2730</v>
      </c>
      <c r="V982">
        <v>2</v>
      </c>
      <c r="W982" t="s">
        <v>2730</v>
      </c>
      <c r="X982">
        <v>2</v>
      </c>
      <c r="Y982">
        <v>2</v>
      </c>
      <c r="Z982">
        <v>1</v>
      </c>
      <c r="AA982">
        <v>9</v>
      </c>
      <c r="AB982" t="s">
        <v>2730</v>
      </c>
      <c r="AC982" t="s">
        <v>2730</v>
      </c>
      <c r="AD982" t="s">
        <v>2730</v>
      </c>
      <c r="AE982" t="s">
        <v>2730</v>
      </c>
      <c r="AF982" t="s">
        <v>2730</v>
      </c>
      <c r="AG982" t="s">
        <v>2730</v>
      </c>
      <c r="AH982" t="s">
        <v>2730</v>
      </c>
    </row>
    <row r="983" spans="1:34">
      <c r="A983" s="149" t="str">
        <f>HYPERLINK("http://www.ofsted.gov.uk/inspection-reports/find-inspection-report/provider/ELS/131121 ","Ofsted School Webpage")</f>
        <v>Ofsted School Webpage</v>
      </c>
      <c r="B983">
        <v>131121</v>
      </c>
      <c r="C983">
        <v>3026106</v>
      </c>
      <c r="D983" t="s">
        <v>2159</v>
      </c>
      <c r="E983" t="s">
        <v>37</v>
      </c>
      <c r="F983" t="s">
        <v>825</v>
      </c>
      <c r="G983" t="s">
        <v>318</v>
      </c>
      <c r="H983" t="s">
        <v>2729</v>
      </c>
      <c r="I983" t="s">
        <v>2730</v>
      </c>
      <c r="J983" t="s">
        <v>186</v>
      </c>
      <c r="K983" t="s">
        <v>232</v>
      </c>
      <c r="L983" t="s">
        <v>232</v>
      </c>
      <c r="M983" t="s">
        <v>311</v>
      </c>
      <c r="N983" t="s">
        <v>2160</v>
      </c>
      <c r="O983" t="s">
        <v>3105</v>
      </c>
      <c r="P983" s="120">
        <v>42031</v>
      </c>
      <c r="Q983" s="120">
        <v>42033</v>
      </c>
      <c r="R983" s="120">
        <v>42080</v>
      </c>
      <c r="S983" t="s">
        <v>196</v>
      </c>
      <c r="T983">
        <v>4</v>
      </c>
      <c r="U983" t="s">
        <v>2730</v>
      </c>
      <c r="V983">
        <v>4</v>
      </c>
      <c r="W983" t="s">
        <v>2730</v>
      </c>
      <c r="X983">
        <v>4</v>
      </c>
      <c r="Y983">
        <v>4</v>
      </c>
      <c r="Z983">
        <v>4</v>
      </c>
      <c r="AA983">
        <v>9</v>
      </c>
      <c r="AB983" t="s">
        <v>2730</v>
      </c>
      <c r="AC983">
        <v>10033691</v>
      </c>
      <c r="AD983" t="s">
        <v>187</v>
      </c>
      <c r="AE983" s="120">
        <v>42908</v>
      </c>
      <c r="AF983" t="s">
        <v>2769</v>
      </c>
      <c r="AG983" s="120">
        <v>43003</v>
      </c>
      <c r="AH983" t="s">
        <v>217</v>
      </c>
    </row>
    <row r="984" spans="1:34">
      <c r="A984" s="149" t="str">
        <f>HYPERLINK("http://www.ofsted.gov.uk/inspection-reports/find-inspection-report/provider/ELS/100289 ","Ofsted School Webpage")</f>
        <v>Ofsted School Webpage</v>
      </c>
      <c r="B984">
        <v>100289</v>
      </c>
      <c r="C984">
        <v>2046233</v>
      </c>
      <c r="D984" t="s">
        <v>478</v>
      </c>
      <c r="E984" t="s">
        <v>37</v>
      </c>
      <c r="F984" t="s">
        <v>184</v>
      </c>
      <c r="G984" t="s">
        <v>184</v>
      </c>
      <c r="H984" t="s">
        <v>2729</v>
      </c>
      <c r="I984" t="s">
        <v>2730</v>
      </c>
      <c r="J984" t="s">
        <v>186</v>
      </c>
      <c r="K984" t="s">
        <v>232</v>
      </c>
      <c r="L984" t="s">
        <v>232</v>
      </c>
      <c r="M984" t="s">
        <v>479</v>
      </c>
      <c r="N984" t="s">
        <v>480</v>
      </c>
      <c r="O984">
        <v>10038148</v>
      </c>
      <c r="P984" s="120">
        <v>42990</v>
      </c>
      <c r="Q984" s="120">
        <v>42992</v>
      </c>
      <c r="R984" s="120">
        <v>43062</v>
      </c>
      <c r="S984" t="s">
        <v>196</v>
      </c>
      <c r="T984">
        <v>4</v>
      </c>
      <c r="U984" t="s">
        <v>128</v>
      </c>
      <c r="V984">
        <v>4</v>
      </c>
      <c r="W984">
        <v>4</v>
      </c>
      <c r="X984">
        <v>4</v>
      </c>
      <c r="Y984">
        <v>4</v>
      </c>
      <c r="Z984">
        <v>4</v>
      </c>
      <c r="AA984" t="s">
        <v>2730</v>
      </c>
      <c r="AB984" t="s">
        <v>2733</v>
      </c>
      <c r="AC984" t="s">
        <v>2730</v>
      </c>
      <c r="AD984" t="s">
        <v>2730</v>
      </c>
      <c r="AE984" s="120" t="s">
        <v>2730</v>
      </c>
      <c r="AF984" t="s">
        <v>2730</v>
      </c>
      <c r="AG984" s="120" t="s">
        <v>2730</v>
      </c>
      <c r="AH984" t="s">
        <v>2730</v>
      </c>
    </row>
    <row r="985" spans="1:34">
      <c r="A985" s="149" t="str">
        <f>HYPERLINK("http://www.ofsted.gov.uk/inspection-reports/find-inspection-report/provider/ELS/131435 ","Ofsted School Webpage")</f>
        <v>Ofsted School Webpage</v>
      </c>
      <c r="B985">
        <v>131435</v>
      </c>
      <c r="C985">
        <v>3556035</v>
      </c>
      <c r="D985" t="s">
        <v>478</v>
      </c>
      <c r="E985" t="s">
        <v>37</v>
      </c>
      <c r="F985" t="s">
        <v>184</v>
      </c>
      <c r="G985" t="s">
        <v>184</v>
      </c>
      <c r="H985" t="s">
        <v>2729</v>
      </c>
      <c r="I985" t="s">
        <v>2730</v>
      </c>
      <c r="J985" t="s">
        <v>186</v>
      </c>
      <c r="K985" t="s">
        <v>205</v>
      </c>
      <c r="L985" t="s">
        <v>205</v>
      </c>
      <c r="M985" t="s">
        <v>853</v>
      </c>
      <c r="N985" t="s">
        <v>1882</v>
      </c>
      <c r="O985">
        <v>10012865</v>
      </c>
      <c r="P985" s="120">
        <v>42864</v>
      </c>
      <c r="Q985" s="120">
        <v>42866</v>
      </c>
      <c r="R985" s="120">
        <v>42899</v>
      </c>
      <c r="S985" t="s">
        <v>196</v>
      </c>
      <c r="T985">
        <v>3</v>
      </c>
      <c r="U985" t="s">
        <v>128</v>
      </c>
      <c r="V985">
        <v>3</v>
      </c>
      <c r="W985">
        <v>2</v>
      </c>
      <c r="X985">
        <v>3</v>
      </c>
      <c r="Y985">
        <v>3</v>
      </c>
      <c r="Z985">
        <v>3</v>
      </c>
      <c r="AA985" t="s">
        <v>2730</v>
      </c>
      <c r="AB985" t="s">
        <v>2732</v>
      </c>
      <c r="AC985" t="s">
        <v>2730</v>
      </c>
      <c r="AD985" t="s">
        <v>2730</v>
      </c>
      <c r="AE985" t="s">
        <v>2730</v>
      </c>
      <c r="AF985" t="s">
        <v>2730</v>
      </c>
      <c r="AG985" t="s">
        <v>2730</v>
      </c>
      <c r="AH985" t="s">
        <v>2730</v>
      </c>
    </row>
    <row r="986" spans="1:34">
      <c r="A986" s="149" t="str">
        <f>HYPERLINK("http://www.ofsted.gov.uk/inspection-reports/find-inspection-report/provider/ELS/102948 ","Ofsted School Webpage")</f>
        <v>Ofsted School Webpage</v>
      </c>
      <c r="B986">
        <v>102948</v>
      </c>
      <c r="C986">
        <v>3186076</v>
      </c>
      <c r="D986" t="s">
        <v>2231</v>
      </c>
      <c r="E986" t="s">
        <v>37</v>
      </c>
      <c r="F986" t="s">
        <v>184</v>
      </c>
      <c r="G986" t="s">
        <v>184</v>
      </c>
      <c r="H986" t="s">
        <v>2729</v>
      </c>
      <c r="I986" t="s">
        <v>2730</v>
      </c>
      <c r="J986" t="s">
        <v>186</v>
      </c>
      <c r="K986" t="s">
        <v>232</v>
      </c>
      <c r="L986" t="s">
        <v>232</v>
      </c>
      <c r="M986" t="s">
        <v>233</v>
      </c>
      <c r="N986" t="s">
        <v>2232</v>
      </c>
      <c r="O986">
        <v>10008884</v>
      </c>
      <c r="P986" s="120">
        <v>42430</v>
      </c>
      <c r="Q986" s="120">
        <v>42432</v>
      </c>
      <c r="R986" s="120">
        <v>42471</v>
      </c>
      <c r="S986" t="s">
        <v>196</v>
      </c>
      <c r="T986">
        <v>1</v>
      </c>
      <c r="U986" t="s">
        <v>128</v>
      </c>
      <c r="V986">
        <v>1</v>
      </c>
      <c r="W986">
        <v>1</v>
      </c>
      <c r="X986">
        <v>1</v>
      </c>
      <c r="Y986">
        <v>1</v>
      </c>
      <c r="Z986">
        <v>2</v>
      </c>
      <c r="AA986">
        <v>1</v>
      </c>
      <c r="AB986" t="s">
        <v>2732</v>
      </c>
      <c r="AC986" t="s">
        <v>2730</v>
      </c>
      <c r="AD986" t="s">
        <v>2730</v>
      </c>
      <c r="AE986" t="s">
        <v>2730</v>
      </c>
      <c r="AF986" t="s">
        <v>2730</v>
      </c>
      <c r="AG986" t="s">
        <v>2730</v>
      </c>
      <c r="AH986" t="s">
        <v>2730</v>
      </c>
    </row>
    <row r="987" spans="1:34">
      <c r="A987" s="149" t="str">
        <f>HYPERLINK("http://www.ofsted.gov.uk/inspection-reports/find-inspection-report/provider/ELS/138873 ","Ofsted School Webpage")</f>
        <v>Ofsted School Webpage</v>
      </c>
      <c r="B987">
        <v>138873</v>
      </c>
      <c r="C987">
        <v>9316011</v>
      </c>
      <c r="D987" t="s">
        <v>2233</v>
      </c>
      <c r="E987" t="s">
        <v>37</v>
      </c>
      <c r="F987" t="s">
        <v>184</v>
      </c>
      <c r="G987" t="s">
        <v>184</v>
      </c>
      <c r="H987" t="s">
        <v>2729</v>
      </c>
      <c r="I987" t="s">
        <v>2730</v>
      </c>
      <c r="J987" t="s">
        <v>186</v>
      </c>
      <c r="K987" t="s">
        <v>181</v>
      </c>
      <c r="L987" t="s">
        <v>181</v>
      </c>
      <c r="M987" t="s">
        <v>242</v>
      </c>
      <c r="N987" t="s">
        <v>2234</v>
      </c>
      <c r="O987">
        <v>10025991</v>
      </c>
      <c r="P987" s="120">
        <v>42871</v>
      </c>
      <c r="Q987" s="120">
        <v>42873</v>
      </c>
      <c r="R987" s="120">
        <v>42902</v>
      </c>
      <c r="S987" t="s">
        <v>196</v>
      </c>
      <c r="T987">
        <v>3</v>
      </c>
      <c r="U987" t="s">
        <v>128</v>
      </c>
      <c r="V987">
        <v>3</v>
      </c>
      <c r="W987">
        <v>2</v>
      </c>
      <c r="X987">
        <v>3</v>
      </c>
      <c r="Y987">
        <v>3</v>
      </c>
      <c r="Z987" t="s">
        <v>2730</v>
      </c>
      <c r="AA987" t="s">
        <v>2730</v>
      </c>
      <c r="AB987" t="s">
        <v>2732</v>
      </c>
      <c r="AC987" t="s">
        <v>2730</v>
      </c>
      <c r="AD987" t="s">
        <v>2730</v>
      </c>
      <c r="AE987" t="s">
        <v>2730</v>
      </c>
      <c r="AF987" t="s">
        <v>2730</v>
      </c>
      <c r="AG987" t="s">
        <v>2730</v>
      </c>
      <c r="AH987" t="s">
        <v>2730</v>
      </c>
    </row>
    <row r="988" spans="1:34">
      <c r="A988" s="149" t="str">
        <f>HYPERLINK("http://www.ofsted.gov.uk/inspection-reports/find-inspection-report/provider/ELS/120739 ","Ofsted School Webpage")</f>
        <v>Ofsted School Webpage</v>
      </c>
      <c r="B988">
        <v>120739</v>
      </c>
      <c r="C988">
        <v>9256033</v>
      </c>
      <c r="D988" t="s">
        <v>2623</v>
      </c>
      <c r="E988" t="s">
        <v>37</v>
      </c>
      <c r="F988" t="s">
        <v>184</v>
      </c>
      <c r="G988" t="s">
        <v>184</v>
      </c>
      <c r="H988" t="s">
        <v>2729</v>
      </c>
      <c r="I988" t="s">
        <v>2730</v>
      </c>
      <c r="J988" t="s">
        <v>186</v>
      </c>
      <c r="K988" t="s">
        <v>214</v>
      </c>
      <c r="L988" t="s">
        <v>214</v>
      </c>
      <c r="M988" t="s">
        <v>684</v>
      </c>
      <c r="N988" t="s">
        <v>2624</v>
      </c>
      <c r="O988" t="s">
        <v>3106</v>
      </c>
      <c r="P988" s="120">
        <v>41794</v>
      </c>
      <c r="Q988" s="120">
        <v>41796</v>
      </c>
      <c r="R988" s="120">
        <v>41816</v>
      </c>
      <c r="S988" t="s">
        <v>196</v>
      </c>
      <c r="T988">
        <v>2</v>
      </c>
      <c r="U988" t="s">
        <v>2730</v>
      </c>
      <c r="V988">
        <v>2</v>
      </c>
      <c r="W988" t="s">
        <v>2730</v>
      </c>
      <c r="X988">
        <v>2</v>
      </c>
      <c r="Y988">
        <v>2</v>
      </c>
      <c r="Z988" t="s">
        <v>2730</v>
      </c>
      <c r="AA988" t="s">
        <v>2730</v>
      </c>
      <c r="AB988" t="s">
        <v>2730</v>
      </c>
      <c r="AC988" t="s">
        <v>2730</v>
      </c>
      <c r="AD988" t="s">
        <v>2730</v>
      </c>
      <c r="AE988" t="s">
        <v>2730</v>
      </c>
      <c r="AF988" t="s">
        <v>2730</v>
      </c>
      <c r="AG988" t="s">
        <v>2730</v>
      </c>
      <c r="AH988" t="s">
        <v>2730</v>
      </c>
    </row>
    <row r="989" spans="1:34">
      <c r="A989" s="149" t="str">
        <f>HYPERLINK("http://www.ofsted.gov.uk/inspection-reports/find-inspection-report/provider/ELS/134142 ","Ofsted School Webpage")</f>
        <v>Ofsted School Webpage</v>
      </c>
      <c r="B989">
        <v>134142</v>
      </c>
      <c r="C989">
        <v>2106393</v>
      </c>
      <c r="D989" t="s">
        <v>2625</v>
      </c>
      <c r="E989" t="s">
        <v>37</v>
      </c>
      <c r="F989" t="s">
        <v>184</v>
      </c>
      <c r="G989" t="s">
        <v>184</v>
      </c>
      <c r="H989" t="s">
        <v>2729</v>
      </c>
      <c r="I989" t="s">
        <v>2730</v>
      </c>
      <c r="J989" t="s">
        <v>186</v>
      </c>
      <c r="K989" t="s">
        <v>232</v>
      </c>
      <c r="L989" t="s">
        <v>232</v>
      </c>
      <c r="M989" t="s">
        <v>550</v>
      </c>
      <c r="N989" t="s">
        <v>2626</v>
      </c>
      <c r="O989" t="s">
        <v>2627</v>
      </c>
      <c r="P989" s="120">
        <v>41387</v>
      </c>
      <c r="Q989" s="120">
        <v>41389</v>
      </c>
      <c r="R989" s="120">
        <v>41410</v>
      </c>
      <c r="S989" t="s">
        <v>196</v>
      </c>
      <c r="T989">
        <v>2</v>
      </c>
      <c r="U989" t="s">
        <v>2730</v>
      </c>
      <c r="V989">
        <v>2</v>
      </c>
      <c r="W989" t="s">
        <v>2730</v>
      </c>
      <c r="X989">
        <v>2</v>
      </c>
      <c r="Y989">
        <v>2</v>
      </c>
      <c r="Z989" t="s">
        <v>2730</v>
      </c>
      <c r="AA989" t="s">
        <v>2730</v>
      </c>
      <c r="AB989" t="s">
        <v>2730</v>
      </c>
      <c r="AC989" t="s">
        <v>2730</v>
      </c>
      <c r="AD989" t="s">
        <v>2730</v>
      </c>
      <c r="AE989" t="s">
        <v>2730</v>
      </c>
      <c r="AF989" t="s">
        <v>2730</v>
      </c>
      <c r="AG989" t="s">
        <v>2730</v>
      </c>
      <c r="AH989" t="s">
        <v>2730</v>
      </c>
    </row>
    <row r="990" spans="1:34">
      <c r="A990" s="149" t="str">
        <f>HYPERLINK("http://www.ofsted.gov.uk/inspection-reports/find-inspection-report/provider/ELS/135472 ","Ofsted School Webpage")</f>
        <v>Ofsted School Webpage</v>
      </c>
      <c r="B990">
        <v>135472</v>
      </c>
      <c r="C990">
        <v>3176078</v>
      </c>
      <c r="D990" t="s">
        <v>1987</v>
      </c>
      <c r="E990" t="s">
        <v>37</v>
      </c>
      <c r="F990" t="s">
        <v>184</v>
      </c>
      <c r="G990" t="s">
        <v>184</v>
      </c>
      <c r="H990" t="s">
        <v>2729</v>
      </c>
      <c r="I990" t="s">
        <v>2730</v>
      </c>
      <c r="J990" t="s">
        <v>186</v>
      </c>
      <c r="K990" t="s">
        <v>232</v>
      </c>
      <c r="L990" t="s">
        <v>232</v>
      </c>
      <c r="M990" t="s">
        <v>805</v>
      </c>
      <c r="N990" t="s">
        <v>1988</v>
      </c>
      <c r="O990" t="s">
        <v>1989</v>
      </c>
      <c r="P990" s="120">
        <v>42123</v>
      </c>
      <c r="Q990" s="120">
        <v>42125</v>
      </c>
      <c r="R990" s="120">
        <v>42164</v>
      </c>
      <c r="S990" t="s">
        <v>196</v>
      </c>
      <c r="T990">
        <v>2</v>
      </c>
      <c r="U990" t="s">
        <v>2730</v>
      </c>
      <c r="V990">
        <v>2</v>
      </c>
      <c r="W990" t="s">
        <v>2730</v>
      </c>
      <c r="X990">
        <v>2</v>
      </c>
      <c r="Y990">
        <v>2</v>
      </c>
      <c r="Z990">
        <v>2</v>
      </c>
      <c r="AA990">
        <v>9</v>
      </c>
      <c r="AB990" t="s">
        <v>2730</v>
      </c>
      <c r="AC990" t="s">
        <v>2730</v>
      </c>
      <c r="AD990" t="s">
        <v>2730</v>
      </c>
      <c r="AE990" t="s">
        <v>2730</v>
      </c>
      <c r="AF990" t="s">
        <v>2730</v>
      </c>
      <c r="AG990" t="s">
        <v>2730</v>
      </c>
      <c r="AH990" t="s">
        <v>2730</v>
      </c>
    </row>
    <row r="991" spans="1:34">
      <c r="A991" s="149" t="str">
        <f>HYPERLINK("http://www.ofsted.gov.uk/inspection-reports/find-inspection-report/provider/ELS/137809 ","Ofsted School Webpage")</f>
        <v>Ofsted School Webpage</v>
      </c>
      <c r="B991">
        <v>137809</v>
      </c>
      <c r="C991">
        <v>2046004</v>
      </c>
      <c r="D991" t="s">
        <v>1990</v>
      </c>
      <c r="E991" t="s">
        <v>37</v>
      </c>
      <c r="F991" t="s">
        <v>184</v>
      </c>
      <c r="G991" t="s">
        <v>318</v>
      </c>
      <c r="H991" t="s">
        <v>2729</v>
      </c>
      <c r="I991" t="s">
        <v>2730</v>
      </c>
      <c r="J991" t="s">
        <v>186</v>
      </c>
      <c r="K991" t="s">
        <v>232</v>
      </c>
      <c r="L991" t="s">
        <v>232</v>
      </c>
      <c r="M991" t="s">
        <v>479</v>
      </c>
      <c r="N991" t="s">
        <v>1991</v>
      </c>
      <c r="O991" t="s">
        <v>1992</v>
      </c>
      <c r="P991" s="120">
        <v>41248</v>
      </c>
      <c r="Q991" s="120">
        <v>41249</v>
      </c>
      <c r="R991" s="120">
        <v>41281</v>
      </c>
      <c r="S991" t="s">
        <v>249</v>
      </c>
      <c r="T991">
        <v>2</v>
      </c>
      <c r="U991" t="s">
        <v>2730</v>
      </c>
      <c r="V991" t="s">
        <v>2730</v>
      </c>
      <c r="W991" t="s">
        <v>2730</v>
      </c>
      <c r="X991">
        <v>2</v>
      </c>
      <c r="Y991">
        <v>2</v>
      </c>
      <c r="Z991">
        <v>8</v>
      </c>
      <c r="AA991" t="s">
        <v>2730</v>
      </c>
      <c r="AB991" t="s">
        <v>2730</v>
      </c>
      <c r="AC991" t="s">
        <v>2730</v>
      </c>
      <c r="AD991" t="s">
        <v>2730</v>
      </c>
      <c r="AE991" t="s">
        <v>2730</v>
      </c>
      <c r="AF991" t="s">
        <v>2730</v>
      </c>
      <c r="AG991" t="s">
        <v>2730</v>
      </c>
      <c r="AH991" t="s">
        <v>2730</v>
      </c>
    </row>
    <row r="992" spans="1:34">
      <c r="A992" s="149" t="str">
        <f>HYPERLINK("http://www.ofsted.gov.uk/inspection-reports/find-inspection-report/provider/ELS/116540 ","Ofsted School Webpage")</f>
        <v>Ofsted School Webpage</v>
      </c>
      <c r="B992">
        <v>116540</v>
      </c>
      <c r="C992">
        <v>8506014</v>
      </c>
      <c r="D992" t="s">
        <v>2632</v>
      </c>
      <c r="E992" t="s">
        <v>37</v>
      </c>
      <c r="F992" t="s">
        <v>184</v>
      </c>
      <c r="G992" t="s">
        <v>184</v>
      </c>
      <c r="H992" t="s">
        <v>2729</v>
      </c>
      <c r="I992" t="s">
        <v>2730</v>
      </c>
      <c r="J992" t="s">
        <v>186</v>
      </c>
      <c r="K992" t="s">
        <v>181</v>
      </c>
      <c r="L992" t="s">
        <v>181</v>
      </c>
      <c r="M992" t="s">
        <v>201</v>
      </c>
      <c r="N992" t="s">
        <v>2633</v>
      </c>
      <c r="O992">
        <v>10020950</v>
      </c>
      <c r="P992" s="120">
        <v>42647</v>
      </c>
      <c r="Q992" s="120">
        <v>42649</v>
      </c>
      <c r="R992" s="120">
        <v>42696</v>
      </c>
      <c r="S992" t="s">
        <v>196</v>
      </c>
      <c r="T992">
        <v>4</v>
      </c>
      <c r="U992" t="s">
        <v>129</v>
      </c>
      <c r="V992">
        <v>4</v>
      </c>
      <c r="W992">
        <v>4</v>
      </c>
      <c r="X992">
        <v>2</v>
      </c>
      <c r="Y992">
        <v>2</v>
      </c>
      <c r="Z992">
        <v>4</v>
      </c>
      <c r="AA992" t="s">
        <v>2730</v>
      </c>
      <c r="AB992" t="s">
        <v>2733</v>
      </c>
      <c r="AC992">
        <v>10033996</v>
      </c>
      <c r="AD992" t="s">
        <v>187</v>
      </c>
      <c r="AE992" s="120">
        <v>42853</v>
      </c>
      <c r="AF992" t="s">
        <v>2769</v>
      </c>
      <c r="AG992" s="120">
        <v>42873</v>
      </c>
      <c r="AH992" t="s">
        <v>189</v>
      </c>
    </row>
    <row r="993" spans="1:34">
      <c r="A993" s="149" t="str">
        <f>HYPERLINK("http://www.ofsted.gov.uk/inspection-reports/find-inspection-report/provider/ELS/131164 ","Ofsted School Webpage")</f>
        <v>Ofsted School Webpage</v>
      </c>
      <c r="B993">
        <v>131164</v>
      </c>
      <c r="C993">
        <v>3306094</v>
      </c>
      <c r="D993" t="s">
        <v>2634</v>
      </c>
      <c r="E993" t="s">
        <v>37</v>
      </c>
      <c r="F993" t="s">
        <v>184</v>
      </c>
      <c r="G993" t="s">
        <v>223</v>
      </c>
      <c r="H993" t="s">
        <v>2729</v>
      </c>
      <c r="I993" t="s">
        <v>2730</v>
      </c>
      <c r="J993" t="s">
        <v>186</v>
      </c>
      <c r="K993" t="s">
        <v>193</v>
      </c>
      <c r="L993" t="s">
        <v>193</v>
      </c>
      <c r="M993" t="s">
        <v>210</v>
      </c>
      <c r="N993" t="s">
        <v>2635</v>
      </c>
      <c r="O993" t="s">
        <v>2636</v>
      </c>
      <c r="P993" s="120">
        <v>41772</v>
      </c>
      <c r="Q993" s="120">
        <v>41774</v>
      </c>
      <c r="R993" s="120">
        <v>41801</v>
      </c>
      <c r="S993" t="s">
        <v>196</v>
      </c>
      <c r="T993">
        <v>3</v>
      </c>
      <c r="U993" t="s">
        <v>2730</v>
      </c>
      <c r="V993">
        <v>3</v>
      </c>
      <c r="W993" t="s">
        <v>2730</v>
      </c>
      <c r="X993">
        <v>3</v>
      </c>
      <c r="Y993">
        <v>3</v>
      </c>
      <c r="Z993" t="s">
        <v>2730</v>
      </c>
      <c r="AA993" t="s">
        <v>2730</v>
      </c>
      <c r="AB993" t="s">
        <v>2730</v>
      </c>
      <c r="AC993" t="s">
        <v>2730</v>
      </c>
      <c r="AD993" t="s">
        <v>2730</v>
      </c>
      <c r="AE993" s="120" t="s">
        <v>2730</v>
      </c>
      <c r="AF993" t="s">
        <v>2730</v>
      </c>
      <c r="AG993" s="120" t="s">
        <v>2730</v>
      </c>
      <c r="AH993" t="s">
        <v>2730</v>
      </c>
    </row>
    <row r="994" spans="1:34">
      <c r="A994" s="149" t="str">
        <f>HYPERLINK("http://www.ofsted.gov.uk/inspection-reports/find-inspection-report/provider/ELS/142674 ","Ofsted School Webpage")</f>
        <v>Ofsted School Webpage</v>
      </c>
      <c r="B994">
        <v>142674</v>
      </c>
      <c r="C994">
        <v>3846004</v>
      </c>
      <c r="D994" t="s">
        <v>2467</v>
      </c>
      <c r="E994" t="s">
        <v>38</v>
      </c>
      <c r="F994" t="s">
        <v>184</v>
      </c>
      <c r="G994" t="s">
        <v>184</v>
      </c>
      <c r="H994" t="s">
        <v>2729</v>
      </c>
      <c r="I994" t="s">
        <v>2730</v>
      </c>
      <c r="J994" t="s">
        <v>186</v>
      </c>
      <c r="K994" t="s">
        <v>245</v>
      </c>
      <c r="L994" t="s">
        <v>246</v>
      </c>
      <c r="M994" t="s">
        <v>563</v>
      </c>
      <c r="N994" t="s">
        <v>2468</v>
      </c>
      <c r="O994">
        <v>10025964</v>
      </c>
      <c r="P994" s="120">
        <v>42766</v>
      </c>
      <c r="Q994" s="120">
        <v>42768</v>
      </c>
      <c r="R994" s="120">
        <v>42810</v>
      </c>
      <c r="S994" t="s">
        <v>249</v>
      </c>
      <c r="T994">
        <v>2</v>
      </c>
      <c r="U994" t="s">
        <v>128</v>
      </c>
      <c r="V994">
        <v>1</v>
      </c>
      <c r="W994">
        <v>2</v>
      </c>
      <c r="X994">
        <v>2</v>
      </c>
      <c r="Y994">
        <v>2</v>
      </c>
      <c r="Z994" t="s">
        <v>2730</v>
      </c>
      <c r="AA994" t="s">
        <v>2730</v>
      </c>
      <c r="AB994" t="s">
        <v>2732</v>
      </c>
      <c r="AC994" t="s">
        <v>2730</v>
      </c>
      <c r="AD994" t="s">
        <v>2730</v>
      </c>
      <c r="AE994" s="120" t="s">
        <v>2730</v>
      </c>
      <c r="AF994" t="s">
        <v>2730</v>
      </c>
      <c r="AG994" s="120" t="s">
        <v>2730</v>
      </c>
      <c r="AH994" t="s">
        <v>2730</v>
      </c>
    </row>
    <row r="995" spans="1:34">
      <c r="A995" s="149" t="str">
        <f>HYPERLINK("http://www.ofsted.gov.uk/inspection-reports/find-inspection-report/provider/ELS/142675 ","Ofsted School Webpage")</f>
        <v>Ofsted School Webpage</v>
      </c>
      <c r="B995">
        <v>142675</v>
      </c>
      <c r="C995">
        <v>3516004</v>
      </c>
      <c r="D995" t="s">
        <v>2469</v>
      </c>
      <c r="E995" t="s">
        <v>38</v>
      </c>
      <c r="F995" t="s">
        <v>184</v>
      </c>
      <c r="G995" t="s">
        <v>184</v>
      </c>
      <c r="H995" t="s">
        <v>2729</v>
      </c>
      <c r="I995" t="s">
        <v>2730</v>
      </c>
      <c r="J995" t="s">
        <v>186</v>
      </c>
      <c r="K995" t="s">
        <v>205</v>
      </c>
      <c r="L995" t="s">
        <v>205</v>
      </c>
      <c r="M995" t="s">
        <v>453</v>
      </c>
      <c r="N995" t="s">
        <v>2470</v>
      </c>
      <c r="O995">
        <v>10034042</v>
      </c>
      <c r="P995" s="120">
        <v>42912</v>
      </c>
      <c r="Q995" s="120">
        <v>42914</v>
      </c>
      <c r="R995" s="120">
        <v>42940</v>
      </c>
      <c r="S995" t="s">
        <v>249</v>
      </c>
      <c r="T995">
        <v>2</v>
      </c>
      <c r="U995" t="s">
        <v>128</v>
      </c>
      <c r="V995">
        <v>2</v>
      </c>
      <c r="W995">
        <v>2</v>
      </c>
      <c r="X995">
        <v>2</v>
      </c>
      <c r="Y995">
        <v>2</v>
      </c>
      <c r="Z995" t="s">
        <v>2730</v>
      </c>
      <c r="AA995">
        <v>2</v>
      </c>
      <c r="AB995" t="s">
        <v>2732</v>
      </c>
      <c r="AC995" t="s">
        <v>2730</v>
      </c>
      <c r="AD995" t="s">
        <v>2730</v>
      </c>
      <c r="AE995" t="s">
        <v>2730</v>
      </c>
      <c r="AF995" t="s">
        <v>2730</v>
      </c>
      <c r="AG995" t="s">
        <v>2730</v>
      </c>
      <c r="AH995" t="s">
        <v>2730</v>
      </c>
    </row>
    <row r="996" spans="1:34">
      <c r="A996" s="149" t="str">
        <f>HYPERLINK("http://www.ofsted.gov.uk/inspection-reports/find-inspection-report/provider/ELS/142763 ","Ofsted School Webpage")</f>
        <v>Ofsted School Webpage</v>
      </c>
      <c r="B996">
        <v>142763</v>
      </c>
      <c r="C996">
        <v>8786065</v>
      </c>
      <c r="D996" t="s">
        <v>514</v>
      </c>
      <c r="E996" t="s">
        <v>38</v>
      </c>
      <c r="F996" t="s">
        <v>184</v>
      </c>
      <c r="G996" t="s">
        <v>184</v>
      </c>
      <c r="H996" t="s">
        <v>2729</v>
      </c>
      <c r="I996" t="s">
        <v>2730</v>
      </c>
      <c r="J996" t="s">
        <v>186</v>
      </c>
      <c r="K996" t="s">
        <v>225</v>
      </c>
      <c r="L996" t="s">
        <v>225</v>
      </c>
      <c r="M996" t="s">
        <v>367</v>
      </c>
      <c r="N996" t="s">
        <v>515</v>
      </c>
      <c r="O996">
        <v>10033896</v>
      </c>
      <c r="P996" s="120">
        <v>43026</v>
      </c>
      <c r="Q996" s="120">
        <v>43028</v>
      </c>
      <c r="R996" s="120">
        <v>43052</v>
      </c>
      <c r="S996" t="s">
        <v>249</v>
      </c>
      <c r="T996">
        <v>2</v>
      </c>
      <c r="U996" t="s">
        <v>128</v>
      </c>
      <c r="V996">
        <v>2</v>
      </c>
      <c r="W996">
        <v>2</v>
      </c>
      <c r="X996">
        <v>2</v>
      </c>
      <c r="Y996">
        <v>2</v>
      </c>
      <c r="Z996" t="s">
        <v>2730</v>
      </c>
      <c r="AA996" t="s">
        <v>2730</v>
      </c>
      <c r="AB996" t="s">
        <v>2732</v>
      </c>
      <c r="AC996" t="s">
        <v>2730</v>
      </c>
      <c r="AD996" t="s">
        <v>2730</v>
      </c>
      <c r="AE996" t="s">
        <v>2730</v>
      </c>
      <c r="AF996" t="s">
        <v>2730</v>
      </c>
      <c r="AG996" t="s">
        <v>2730</v>
      </c>
      <c r="AH996" t="s">
        <v>2730</v>
      </c>
    </row>
    <row r="997" spans="1:34">
      <c r="A997" s="149" t="str">
        <f>HYPERLINK("http://www.ofsted.gov.uk/inspection-reports/find-inspection-report/provider/ELS/142773 ","Ofsted School Webpage")</f>
        <v>Ofsted School Webpage</v>
      </c>
      <c r="B997">
        <v>142773</v>
      </c>
      <c r="C997">
        <v>3536003</v>
      </c>
      <c r="D997" t="s">
        <v>798</v>
      </c>
      <c r="E997" t="s">
        <v>37</v>
      </c>
      <c r="F997" t="s">
        <v>184</v>
      </c>
      <c r="G997" t="s">
        <v>304</v>
      </c>
      <c r="H997" t="s">
        <v>2729</v>
      </c>
      <c r="I997" t="s">
        <v>2730</v>
      </c>
      <c r="J997" t="s">
        <v>186</v>
      </c>
      <c r="K997" t="s">
        <v>205</v>
      </c>
      <c r="L997" t="s">
        <v>205</v>
      </c>
      <c r="M997" t="s">
        <v>468</v>
      </c>
      <c r="N997" t="s">
        <v>799</v>
      </c>
      <c r="O997">
        <v>10021744</v>
      </c>
      <c r="P997" s="120">
        <v>42822</v>
      </c>
      <c r="Q997" s="120">
        <v>42824</v>
      </c>
      <c r="R997" s="120">
        <v>42867</v>
      </c>
      <c r="S997" t="s">
        <v>249</v>
      </c>
      <c r="T997">
        <v>4</v>
      </c>
      <c r="U997" t="s">
        <v>129</v>
      </c>
      <c r="V997">
        <v>4</v>
      </c>
      <c r="W997">
        <v>4</v>
      </c>
      <c r="X997">
        <v>3</v>
      </c>
      <c r="Y997">
        <v>3</v>
      </c>
      <c r="Z997" t="s">
        <v>2730</v>
      </c>
      <c r="AA997" t="s">
        <v>2730</v>
      </c>
      <c r="AB997" t="s">
        <v>2733</v>
      </c>
      <c r="AC997" t="s">
        <v>2730</v>
      </c>
      <c r="AD997" t="s">
        <v>2730</v>
      </c>
      <c r="AE997" t="s">
        <v>2730</v>
      </c>
      <c r="AF997" t="s">
        <v>2730</v>
      </c>
      <c r="AG997" t="s">
        <v>2730</v>
      </c>
      <c r="AH997" t="s">
        <v>2730</v>
      </c>
    </row>
    <row r="998" spans="1:34">
      <c r="A998" s="149" t="str">
        <f>HYPERLINK("http://www.ofsted.gov.uk/inspection-reports/find-inspection-report/provider/ELS/142931 ","Ofsted School Webpage")</f>
        <v>Ofsted School Webpage</v>
      </c>
      <c r="B998">
        <v>142931</v>
      </c>
      <c r="C998">
        <v>8896015</v>
      </c>
      <c r="D998" t="s">
        <v>2260</v>
      </c>
      <c r="E998" t="s">
        <v>37</v>
      </c>
      <c r="F998" t="s">
        <v>184</v>
      </c>
      <c r="G998" t="s">
        <v>304</v>
      </c>
      <c r="H998" t="s">
        <v>2729</v>
      </c>
      <c r="I998" t="s">
        <v>2730</v>
      </c>
      <c r="J998" t="s">
        <v>186</v>
      </c>
      <c r="K998" t="s">
        <v>205</v>
      </c>
      <c r="L998" t="s">
        <v>205</v>
      </c>
      <c r="M998" t="s">
        <v>485</v>
      </c>
      <c r="N998" t="s">
        <v>2261</v>
      </c>
      <c r="O998" t="s">
        <v>2730</v>
      </c>
      <c r="P998" s="120" t="s">
        <v>2730</v>
      </c>
      <c r="Q998" s="120" t="s">
        <v>2730</v>
      </c>
      <c r="R998" s="120" t="s">
        <v>2730</v>
      </c>
      <c r="S998" t="s">
        <v>2730</v>
      </c>
      <c r="T998" t="s">
        <v>2730</v>
      </c>
      <c r="U998" t="s">
        <v>2730</v>
      </c>
      <c r="V998" t="s">
        <v>2730</v>
      </c>
      <c r="W998" t="s">
        <v>2730</v>
      </c>
      <c r="X998" t="s">
        <v>2730</v>
      </c>
      <c r="Y998" t="s">
        <v>2730</v>
      </c>
      <c r="Z998" t="s">
        <v>2730</v>
      </c>
      <c r="AA998" t="s">
        <v>2730</v>
      </c>
      <c r="AB998" t="s">
        <v>2730</v>
      </c>
      <c r="AC998" t="s">
        <v>2730</v>
      </c>
      <c r="AD998" t="s">
        <v>2730</v>
      </c>
      <c r="AE998" t="s">
        <v>2730</v>
      </c>
      <c r="AF998" t="s">
        <v>2730</v>
      </c>
      <c r="AG998" t="s">
        <v>2730</v>
      </c>
      <c r="AH998" t="s">
        <v>2730</v>
      </c>
    </row>
    <row r="999" spans="1:34">
      <c r="A999" s="149" t="str">
        <f>HYPERLINK("http://www.ofsted.gov.uk/inspection-reports/find-inspection-report/provider/ELS/143947 ","Ofsted School Webpage")</f>
        <v>Ofsted School Webpage</v>
      </c>
      <c r="B999">
        <v>143947</v>
      </c>
      <c r="C999">
        <v>8786068</v>
      </c>
      <c r="D999" t="s">
        <v>2515</v>
      </c>
      <c r="E999" t="s">
        <v>37</v>
      </c>
      <c r="F999" t="s">
        <v>184</v>
      </c>
      <c r="G999" t="s">
        <v>184</v>
      </c>
      <c r="H999" t="s">
        <v>2729</v>
      </c>
      <c r="I999" t="s">
        <v>2730</v>
      </c>
      <c r="J999" t="s">
        <v>186</v>
      </c>
      <c r="K999" t="s">
        <v>225</v>
      </c>
      <c r="L999" t="s">
        <v>225</v>
      </c>
      <c r="M999" t="s">
        <v>367</v>
      </c>
      <c r="N999" t="s">
        <v>2516</v>
      </c>
      <c r="O999" t="s">
        <v>2730</v>
      </c>
      <c r="P999" s="120" t="s">
        <v>2730</v>
      </c>
      <c r="Q999" s="120" t="s">
        <v>2730</v>
      </c>
      <c r="R999" s="120" t="s">
        <v>2730</v>
      </c>
      <c r="S999" t="s">
        <v>2730</v>
      </c>
      <c r="T999" t="s">
        <v>2730</v>
      </c>
      <c r="U999" t="s">
        <v>2730</v>
      </c>
      <c r="V999" t="s">
        <v>2730</v>
      </c>
      <c r="W999" t="s">
        <v>2730</v>
      </c>
      <c r="X999" t="s">
        <v>2730</v>
      </c>
      <c r="Y999" t="s">
        <v>2730</v>
      </c>
      <c r="Z999" t="s">
        <v>2730</v>
      </c>
      <c r="AA999" t="s">
        <v>2730</v>
      </c>
      <c r="AB999" t="s">
        <v>2730</v>
      </c>
      <c r="AC999" t="s">
        <v>2730</v>
      </c>
      <c r="AD999" t="s">
        <v>2730</v>
      </c>
      <c r="AE999" t="s">
        <v>2730</v>
      </c>
      <c r="AF999" t="s">
        <v>2730</v>
      </c>
      <c r="AG999" t="s">
        <v>2730</v>
      </c>
      <c r="AH999" t="s">
        <v>2730</v>
      </c>
    </row>
    <row r="1000" spans="1:34">
      <c r="A1000" s="149" t="str">
        <f>HYPERLINK("http://www.ofsted.gov.uk/inspection-reports/find-inspection-report/provider/ELS/144033 ","Ofsted School Webpage")</f>
        <v>Ofsted School Webpage</v>
      </c>
      <c r="B1000">
        <v>144033</v>
      </c>
      <c r="C1000">
        <v>8696019</v>
      </c>
      <c r="D1000" t="s">
        <v>2517</v>
      </c>
      <c r="E1000" t="s">
        <v>38</v>
      </c>
      <c r="F1000" t="s">
        <v>184</v>
      </c>
      <c r="G1000" t="s">
        <v>184</v>
      </c>
      <c r="H1000" t="s">
        <v>2729</v>
      </c>
      <c r="I1000" t="s">
        <v>2730</v>
      </c>
      <c r="J1000" t="s">
        <v>186</v>
      </c>
      <c r="K1000" t="s">
        <v>181</v>
      </c>
      <c r="L1000" t="s">
        <v>181</v>
      </c>
      <c r="M1000" t="s">
        <v>599</v>
      </c>
      <c r="N1000" t="s">
        <v>2518</v>
      </c>
      <c r="O1000" t="s">
        <v>2730</v>
      </c>
      <c r="P1000" s="120" t="s">
        <v>2730</v>
      </c>
      <c r="Q1000" s="120" t="s">
        <v>2730</v>
      </c>
      <c r="R1000" s="120" t="s">
        <v>2730</v>
      </c>
      <c r="S1000" t="s">
        <v>2730</v>
      </c>
      <c r="T1000" t="s">
        <v>2730</v>
      </c>
      <c r="U1000" t="s">
        <v>2730</v>
      </c>
      <c r="V1000" t="s">
        <v>2730</v>
      </c>
      <c r="W1000" t="s">
        <v>2730</v>
      </c>
      <c r="X1000" t="s">
        <v>2730</v>
      </c>
      <c r="Y1000" t="s">
        <v>2730</v>
      </c>
      <c r="Z1000" t="s">
        <v>2730</v>
      </c>
      <c r="AA1000" t="s">
        <v>2730</v>
      </c>
      <c r="AB1000" t="s">
        <v>2730</v>
      </c>
      <c r="AC1000" t="s">
        <v>2730</v>
      </c>
      <c r="AD1000" t="s">
        <v>2730</v>
      </c>
      <c r="AE1000" t="s">
        <v>2730</v>
      </c>
      <c r="AF1000" t="s">
        <v>2730</v>
      </c>
      <c r="AG1000" t="s">
        <v>2730</v>
      </c>
      <c r="AH1000" t="s">
        <v>2730</v>
      </c>
    </row>
    <row r="1001" spans="1:34">
      <c r="A1001" s="149" t="str">
        <f>HYPERLINK("http://www.ofsted.gov.uk/inspection-reports/find-inspection-report/provider/ELS/143174 ","Ofsted School Webpage")</f>
        <v>Ofsted School Webpage</v>
      </c>
      <c r="B1001">
        <v>143174</v>
      </c>
      <c r="C1001">
        <v>3306031</v>
      </c>
      <c r="D1001" t="s">
        <v>2481</v>
      </c>
      <c r="E1001" t="s">
        <v>37</v>
      </c>
      <c r="F1001" t="s">
        <v>184</v>
      </c>
      <c r="G1001" t="s">
        <v>184</v>
      </c>
      <c r="H1001" t="s">
        <v>2729</v>
      </c>
      <c r="I1001" t="s">
        <v>2730</v>
      </c>
      <c r="J1001" t="s">
        <v>186</v>
      </c>
      <c r="K1001" t="s">
        <v>193</v>
      </c>
      <c r="L1001" t="s">
        <v>193</v>
      </c>
      <c r="M1001" t="s">
        <v>210</v>
      </c>
      <c r="N1001" t="s">
        <v>2482</v>
      </c>
      <c r="O1001" t="s">
        <v>2730</v>
      </c>
      <c r="P1001" s="120" t="s">
        <v>2730</v>
      </c>
      <c r="Q1001" s="120" t="s">
        <v>2730</v>
      </c>
      <c r="R1001" s="120" t="s">
        <v>2730</v>
      </c>
      <c r="S1001" t="s">
        <v>2730</v>
      </c>
      <c r="T1001" t="s">
        <v>2730</v>
      </c>
      <c r="U1001" t="s">
        <v>2730</v>
      </c>
      <c r="V1001" t="s">
        <v>2730</v>
      </c>
      <c r="W1001" t="s">
        <v>2730</v>
      </c>
      <c r="X1001" t="s">
        <v>2730</v>
      </c>
      <c r="Y1001" t="s">
        <v>2730</v>
      </c>
      <c r="Z1001" t="s">
        <v>2730</v>
      </c>
      <c r="AA1001" t="s">
        <v>2730</v>
      </c>
      <c r="AB1001" t="s">
        <v>2730</v>
      </c>
      <c r="AC1001" t="s">
        <v>2730</v>
      </c>
      <c r="AD1001" t="s">
        <v>2730</v>
      </c>
      <c r="AE1001" t="s">
        <v>2730</v>
      </c>
      <c r="AF1001" t="s">
        <v>2730</v>
      </c>
      <c r="AG1001" t="s">
        <v>2730</v>
      </c>
      <c r="AH1001" t="s">
        <v>2730</v>
      </c>
    </row>
    <row r="1002" spans="1:34">
      <c r="A1002" s="149" t="str">
        <f>HYPERLINK("http://www.ofsted.gov.uk/inspection-reports/find-inspection-report/provider/ELS/143406 ","Ofsted School Webpage")</f>
        <v>Ofsted School Webpage</v>
      </c>
      <c r="B1002">
        <v>143406</v>
      </c>
      <c r="C1002">
        <v>3176005</v>
      </c>
      <c r="D1002" t="s">
        <v>804</v>
      </c>
      <c r="E1002" t="s">
        <v>38</v>
      </c>
      <c r="F1002" t="s">
        <v>184</v>
      </c>
      <c r="G1002" t="s">
        <v>184</v>
      </c>
      <c r="H1002" t="s">
        <v>2729</v>
      </c>
      <c r="I1002" t="s">
        <v>2730</v>
      </c>
      <c r="J1002" t="s">
        <v>186</v>
      </c>
      <c r="K1002" t="s">
        <v>232</v>
      </c>
      <c r="L1002" t="s">
        <v>232</v>
      </c>
      <c r="M1002" t="s">
        <v>805</v>
      </c>
      <c r="N1002" t="s">
        <v>806</v>
      </c>
      <c r="O1002">
        <v>10035820</v>
      </c>
      <c r="P1002" s="120">
        <v>43018</v>
      </c>
      <c r="Q1002" s="120">
        <v>43020</v>
      </c>
      <c r="R1002" s="120">
        <v>43077</v>
      </c>
      <c r="S1002" t="s">
        <v>249</v>
      </c>
      <c r="T1002">
        <v>4</v>
      </c>
      <c r="U1002" t="s">
        <v>129</v>
      </c>
      <c r="V1002">
        <v>4</v>
      </c>
      <c r="W1002">
        <v>4</v>
      </c>
      <c r="X1002">
        <v>0</v>
      </c>
      <c r="Y1002">
        <v>0</v>
      </c>
      <c r="Z1002" t="s">
        <v>2730</v>
      </c>
      <c r="AA1002" t="s">
        <v>2730</v>
      </c>
      <c r="AB1002" t="s">
        <v>2733</v>
      </c>
      <c r="AC1002" t="s">
        <v>2730</v>
      </c>
      <c r="AD1002" t="s">
        <v>2730</v>
      </c>
      <c r="AE1002" t="s">
        <v>2730</v>
      </c>
      <c r="AF1002" t="s">
        <v>2730</v>
      </c>
      <c r="AG1002" t="s">
        <v>2730</v>
      </c>
      <c r="AH1002" t="s">
        <v>2730</v>
      </c>
    </row>
    <row r="1003" spans="1:34">
      <c r="A1003" s="149" t="str">
        <f>HYPERLINK("http://www.ofsted.gov.uk/inspection-reports/find-inspection-report/provider/ELS/143407 ","Ofsted School Webpage")</f>
        <v>Ofsted School Webpage</v>
      </c>
      <c r="B1003">
        <v>143407</v>
      </c>
      <c r="C1003">
        <v>8786066</v>
      </c>
      <c r="D1003" t="s">
        <v>807</v>
      </c>
      <c r="E1003" t="s">
        <v>37</v>
      </c>
      <c r="F1003" t="s">
        <v>184</v>
      </c>
      <c r="G1003" t="s">
        <v>184</v>
      </c>
      <c r="H1003" t="s">
        <v>2729</v>
      </c>
      <c r="I1003" t="s">
        <v>2730</v>
      </c>
      <c r="J1003" t="s">
        <v>186</v>
      </c>
      <c r="K1003" t="s">
        <v>225</v>
      </c>
      <c r="L1003" t="s">
        <v>225</v>
      </c>
      <c r="M1003" t="s">
        <v>367</v>
      </c>
      <c r="N1003" t="s">
        <v>808</v>
      </c>
      <c r="O1003" t="s">
        <v>2730</v>
      </c>
      <c r="P1003" s="120" t="s">
        <v>2730</v>
      </c>
      <c r="Q1003" s="120" t="s">
        <v>2730</v>
      </c>
      <c r="R1003" s="120" t="s">
        <v>2730</v>
      </c>
      <c r="S1003" t="s">
        <v>2730</v>
      </c>
      <c r="T1003" t="s">
        <v>2730</v>
      </c>
      <c r="U1003" t="s">
        <v>2730</v>
      </c>
      <c r="V1003" t="s">
        <v>2730</v>
      </c>
      <c r="W1003" t="s">
        <v>2730</v>
      </c>
      <c r="X1003" t="s">
        <v>2730</v>
      </c>
      <c r="Y1003" t="s">
        <v>2730</v>
      </c>
      <c r="Z1003" t="s">
        <v>2730</v>
      </c>
      <c r="AA1003" t="s">
        <v>2730</v>
      </c>
      <c r="AB1003" t="s">
        <v>2730</v>
      </c>
      <c r="AC1003" t="s">
        <v>2730</v>
      </c>
      <c r="AD1003" t="s">
        <v>2730</v>
      </c>
      <c r="AE1003" t="s">
        <v>2730</v>
      </c>
      <c r="AF1003" t="s">
        <v>2730</v>
      </c>
      <c r="AG1003" t="s">
        <v>2730</v>
      </c>
      <c r="AH1003" t="s">
        <v>2730</v>
      </c>
    </row>
    <row r="1004" spans="1:34">
      <c r="A1004" s="149" t="str">
        <f>HYPERLINK("http://www.ofsted.gov.uk/inspection-reports/find-inspection-report/provider/ELS/143418 ","Ofsted School Webpage")</f>
        <v>Ofsted School Webpage</v>
      </c>
      <c r="B1004">
        <v>143418</v>
      </c>
      <c r="C1004">
        <v>3306032</v>
      </c>
      <c r="D1004" t="s">
        <v>809</v>
      </c>
      <c r="E1004" t="s">
        <v>37</v>
      </c>
      <c r="F1004" t="s">
        <v>184</v>
      </c>
      <c r="G1004" t="s">
        <v>184</v>
      </c>
      <c r="H1004" t="s">
        <v>2729</v>
      </c>
      <c r="I1004" t="s">
        <v>2730</v>
      </c>
      <c r="J1004" t="s">
        <v>186</v>
      </c>
      <c r="K1004" t="s">
        <v>193</v>
      </c>
      <c r="L1004" t="s">
        <v>193</v>
      </c>
      <c r="M1004" t="s">
        <v>210</v>
      </c>
      <c r="N1004" t="s">
        <v>810</v>
      </c>
      <c r="O1004">
        <v>10033591</v>
      </c>
      <c r="P1004" s="120">
        <v>42899</v>
      </c>
      <c r="Q1004" s="120">
        <v>42901</v>
      </c>
      <c r="R1004" s="120">
        <v>42937</v>
      </c>
      <c r="S1004" t="s">
        <v>249</v>
      </c>
      <c r="T1004">
        <v>2</v>
      </c>
      <c r="U1004" t="s">
        <v>128</v>
      </c>
      <c r="V1004">
        <v>2</v>
      </c>
      <c r="W1004">
        <v>1</v>
      </c>
      <c r="X1004">
        <v>2</v>
      </c>
      <c r="Y1004">
        <v>2</v>
      </c>
      <c r="Z1004" t="s">
        <v>2730</v>
      </c>
      <c r="AA1004" t="s">
        <v>2730</v>
      </c>
      <c r="AB1004" t="s">
        <v>2732</v>
      </c>
      <c r="AC1004" t="s">
        <v>2730</v>
      </c>
      <c r="AD1004" t="s">
        <v>2730</v>
      </c>
      <c r="AE1004" t="s">
        <v>2730</v>
      </c>
      <c r="AF1004" t="s">
        <v>2730</v>
      </c>
      <c r="AG1004" t="s">
        <v>2730</v>
      </c>
      <c r="AH1004" t="s">
        <v>2730</v>
      </c>
    </row>
    <row r="1005" spans="1:34">
      <c r="A1005" s="149" t="str">
        <f>HYPERLINK("http://www.ofsted.gov.uk/inspection-reports/find-inspection-report/provider/ELS/143425 ","Ofsted School Webpage")</f>
        <v>Ofsted School Webpage</v>
      </c>
      <c r="B1005">
        <v>143425</v>
      </c>
      <c r="C1005">
        <v>3146000</v>
      </c>
      <c r="D1005" t="s">
        <v>811</v>
      </c>
      <c r="E1005" t="s">
        <v>37</v>
      </c>
      <c r="F1005" t="s">
        <v>184</v>
      </c>
      <c r="G1005" t="s">
        <v>184</v>
      </c>
      <c r="H1005" t="s">
        <v>2729</v>
      </c>
      <c r="I1005" t="s">
        <v>2730</v>
      </c>
      <c r="J1005" t="s">
        <v>186</v>
      </c>
      <c r="K1005" t="s">
        <v>232</v>
      </c>
      <c r="L1005" t="s">
        <v>232</v>
      </c>
      <c r="M1005" t="s">
        <v>239</v>
      </c>
      <c r="N1005" t="s">
        <v>812</v>
      </c>
      <c r="O1005" t="s">
        <v>2730</v>
      </c>
      <c r="P1005" s="120" t="s">
        <v>2730</v>
      </c>
      <c r="Q1005" s="120" t="s">
        <v>2730</v>
      </c>
      <c r="R1005" s="120" t="s">
        <v>2730</v>
      </c>
      <c r="S1005" t="s">
        <v>2730</v>
      </c>
      <c r="T1005" t="s">
        <v>2730</v>
      </c>
      <c r="U1005" t="s">
        <v>2730</v>
      </c>
      <c r="V1005" t="s">
        <v>2730</v>
      </c>
      <c r="W1005" t="s">
        <v>2730</v>
      </c>
      <c r="X1005" t="s">
        <v>2730</v>
      </c>
      <c r="Y1005" t="s">
        <v>2730</v>
      </c>
      <c r="Z1005" t="s">
        <v>2730</v>
      </c>
      <c r="AA1005" t="s">
        <v>2730</v>
      </c>
      <c r="AB1005" t="s">
        <v>2730</v>
      </c>
      <c r="AC1005" t="s">
        <v>2730</v>
      </c>
      <c r="AD1005" t="s">
        <v>2730</v>
      </c>
      <c r="AE1005" t="s">
        <v>2730</v>
      </c>
      <c r="AF1005" t="s">
        <v>2730</v>
      </c>
      <c r="AG1005" t="s">
        <v>2730</v>
      </c>
      <c r="AH1005" t="s">
        <v>2730</v>
      </c>
    </row>
    <row r="1006" spans="1:34">
      <c r="A1006" s="149" t="str">
        <f>HYPERLINK("http://www.ofsted.gov.uk/inspection-reports/find-inspection-report/provider/ELS/143429 ","Ofsted School Webpage")</f>
        <v>Ofsted School Webpage</v>
      </c>
      <c r="B1006">
        <v>143429</v>
      </c>
      <c r="C1006">
        <v>8076001</v>
      </c>
      <c r="D1006" t="s">
        <v>813</v>
      </c>
      <c r="E1006" t="s">
        <v>37</v>
      </c>
      <c r="F1006" t="s">
        <v>184</v>
      </c>
      <c r="G1006" t="s">
        <v>184</v>
      </c>
      <c r="H1006" t="s">
        <v>2729</v>
      </c>
      <c r="I1006" t="s">
        <v>2730</v>
      </c>
      <c r="J1006" t="s">
        <v>186</v>
      </c>
      <c r="K1006" t="s">
        <v>245</v>
      </c>
      <c r="L1006" t="s">
        <v>277</v>
      </c>
      <c r="M1006" t="s">
        <v>814</v>
      </c>
      <c r="N1006" t="s">
        <v>815</v>
      </c>
      <c r="O1006" t="s">
        <v>2730</v>
      </c>
      <c r="P1006" s="120" t="s">
        <v>2730</v>
      </c>
      <c r="Q1006" s="120" t="s">
        <v>2730</v>
      </c>
      <c r="R1006" s="120" t="s">
        <v>2730</v>
      </c>
      <c r="S1006" t="s">
        <v>2730</v>
      </c>
      <c r="T1006" t="s">
        <v>2730</v>
      </c>
      <c r="U1006" t="s">
        <v>2730</v>
      </c>
      <c r="V1006" t="s">
        <v>2730</v>
      </c>
      <c r="W1006" t="s">
        <v>2730</v>
      </c>
      <c r="X1006" t="s">
        <v>2730</v>
      </c>
      <c r="Y1006" t="s">
        <v>2730</v>
      </c>
      <c r="Z1006" t="s">
        <v>2730</v>
      </c>
      <c r="AA1006" t="s">
        <v>2730</v>
      </c>
      <c r="AB1006" t="s">
        <v>2730</v>
      </c>
      <c r="AC1006" t="s">
        <v>2730</v>
      </c>
      <c r="AD1006" t="s">
        <v>2730</v>
      </c>
      <c r="AE1006" t="s">
        <v>2730</v>
      </c>
      <c r="AF1006" t="s">
        <v>2730</v>
      </c>
      <c r="AG1006" t="s">
        <v>2730</v>
      </c>
      <c r="AH1006" t="s">
        <v>2730</v>
      </c>
    </row>
    <row r="1007" spans="1:34">
      <c r="A1007" s="149" t="str">
        <f>HYPERLINK("http://www.ofsted.gov.uk/inspection-reports/find-inspection-report/provider/ELS/144730 ","Ofsted School Webpage")</f>
        <v>Ofsted School Webpage</v>
      </c>
      <c r="B1007">
        <v>144730</v>
      </c>
      <c r="C1007">
        <v>9366011</v>
      </c>
      <c r="D1007" t="s">
        <v>827</v>
      </c>
      <c r="E1007" t="s">
        <v>37</v>
      </c>
      <c r="F1007" t="s">
        <v>184</v>
      </c>
      <c r="G1007" t="s">
        <v>184</v>
      </c>
      <c r="H1007" t="s">
        <v>2729</v>
      </c>
      <c r="I1007" t="s">
        <v>2730</v>
      </c>
      <c r="J1007" t="s">
        <v>186</v>
      </c>
      <c r="K1007" t="s">
        <v>181</v>
      </c>
      <c r="L1007" t="s">
        <v>181</v>
      </c>
      <c r="M1007" t="s">
        <v>582</v>
      </c>
      <c r="N1007" t="s">
        <v>828</v>
      </c>
      <c r="O1007" t="s">
        <v>2730</v>
      </c>
      <c r="P1007" s="120" t="s">
        <v>2730</v>
      </c>
      <c r="Q1007" s="120" t="s">
        <v>2730</v>
      </c>
      <c r="R1007" s="120" t="s">
        <v>2730</v>
      </c>
      <c r="S1007" t="s">
        <v>2730</v>
      </c>
      <c r="T1007" t="s">
        <v>2730</v>
      </c>
      <c r="U1007" t="s">
        <v>2730</v>
      </c>
      <c r="V1007" t="s">
        <v>2730</v>
      </c>
      <c r="W1007" t="s">
        <v>2730</v>
      </c>
      <c r="X1007" t="s">
        <v>2730</v>
      </c>
      <c r="Y1007" t="s">
        <v>2730</v>
      </c>
      <c r="Z1007" t="s">
        <v>2730</v>
      </c>
      <c r="AA1007" t="s">
        <v>2730</v>
      </c>
      <c r="AB1007" t="s">
        <v>2730</v>
      </c>
      <c r="AC1007" t="s">
        <v>2730</v>
      </c>
      <c r="AD1007" t="s">
        <v>2730</v>
      </c>
      <c r="AE1007" t="s">
        <v>2730</v>
      </c>
      <c r="AF1007" t="s">
        <v>2730</v>
      </c>
      <c r="AG1007" t="s">
        <v>2730</v>
      </c>
      <c r="AH1007" t="s">
        <v>2730</v>
      </c>
    </row>
    <row r="1008" spans="1:34">
      <c r="A1008" s="149" t="str">
        <f>HYPERLINK("http://www.ofsted.gov.uk/inspection-reports/find-inspection-report/provider/ELS/144738 ","Ofsted School Webpage")</f>
        <v>Ofsted School Webpage</v>
      </c>
      <c r="B1008">
        <v>144738</v>
      </c>
      <c r="C1008">
        <v>3046005</v>
      </c>
      <c r="D1008" t="s">
        <v>829</v>
      </c>
      <c r="E1008" t="s">
        <v>37</v>
      </c>
      <c r="F1008" t="s">
        <v>184</v>
      </c>
      <c r="G1008" t="s">
        <v>825</v>
      </c>
      <c r="H1008" t="s">
        <v>2729</v>
      </c>
      <c r="I1008" t="s">
        <v>2730</v>
      </c>
      <c r="J1008" t="s">
        <v>186</v>
      </c>
      <c r="K1008" t="s">
        <v>232</v>
      </c>
      <c r="L1008" t="s">
        <v>232</v>
      </c>
      <c r="M1008" t="s">
        <v>749</v>
      </c>
      <c r="N1008" t="s">
        <v>830</v>
      </c>
      <c r="O1008" t="s">
        <v>2730</v>
      </c>
      <c r="P1008" s="120" t="s">
        <v>2730</v>
      </c>
      <c r="Q1008" s="120" t="s">
        <v>2730</v>
      </c>
      <c r="R1008" s="120" t="s">
        <v>2730</v>
      </c>
      <c r="S1008" t="s">
        <v>2730</v>
      </c>
      <c r="T1008" t="s">
        <v>2730</v>
      </c>
      <c r="U1008" t="s">
        <v>2730</v>
      </c>
      <c r="V1008" t="s">
        <v>2730</v>
      </c>
      <c r="W1008" t="s">
        <v>2730</v>
      </c>
      <c r="X1008" t="s">
        <v>2730</v>
      </c>
      <c r="Y1008" t="s">
        <v>2730</v>
      </c>
      <c r="Z1008" t="s">
        <v>2730</v>
      </c>
      <c r="AA1008" t="s">
        <v>2730</v>
      </c>
      <c r="AB1008" t="s">
        <v>2730</v>
      </c>
      <c r="AC1008" t="s">
        <v>2730</v>
      </c>
      <c r="AD1008" t="s">
        <v>2730</v>
      </c>
      <c r="AE1008" t="s">
        <v>2730</v>
      </c>
      <c r="AF1008" t="s">
        <v>2730</v>
      </c>
      <c r="AG1008" t="s">
        <v>2730</v>
      </c>
      <c r="AH1008" t="s">
        <v>2730</v>
      </c>
    </row>
    <row r="1009" spans="1:34">
      <c r="A1009" s="149" t="str">
        <f>HYPERLINK("http://www.ofsted.gov.uk/inspection-reports/find-inspection-report/provider/ELS/144775 ","Ofsted School Webpage")</f>
        <v>Ofsted School Webpage</v>
      </c>
      <c r="B1009">
        <v>144775</v>
      </c>
      <c r="C1009">
        <v>8816068</v>
      </c>
      <c r="D1009" t="s">
        <v>831</v>
      </c>
      <c r="E1009" t="s">
        <v>38</v>
      </c>
      <c r="F1009" t="s">
        <v>184</v>
      </c>
      <c r="G1009" t="s">
        <v>184</v>
      </c>
      <c r="H1009" t="s">
        <v>2729</v>
      </c>
      <c r="I1009" t="s">
        <v>2730</v>
      </c>
      <c r="J1009" t="s">
        <v>186</v>
      </c>
      <c r="K1009" t="s">
        <v>220</v>
      </c>
      <c r="L1009" t="s">
        <v>220</v>
      </c>
      <c r="M1009" t="s">
        <v>323</v>
      </c>
      <c r="N1009" t="s">
        <v>832</v>
      </c>
      <c r="O1009" t="s">
        <v>2730</v>
      </c>
      <c r="P1009" s="120" t="s">
        <v>2730</v>
      </c>
      <c r="Q1009" s="120" t="s">
        <v>2730</v>
      </c>
      <c r="R1009" s="120" t="s">
        <v>2730</v>
      </c>
      <c r="S1009" t="s">
        <v>2730</v>
      </c>
      <c r="T1009" t="s">
        <v>2730</v>
      </c>
      <c r="U1009" t="s">
        <v>2730</v>
      </c>
      <c r="V1009" t="s">
        <v>2730</v>
      </c>
      <c r="W1009" t="s">
        <v>2730</v>
      </c>
      <c r="X1009" t="s">
        <v>2730</v>
      </c>
      <c r="Y1009" t="s">
        <v>2730</v>
      </c>
      <c r="Z1009" t="s">
        <v>2730</v>
      </c>
      <c r="AA1009" t="s">
        <v>2730</v>
      </c>
      <c r="AB1009" t="s">
        <v>2730</v>
      </c>
      <c r="AC1009" t="s">
        <v>2730</v>
      </c>
      <c r="AD1009" t="s">
        <v>2730</v>
      </c>
      <c r="AE1009" t="s">
        <v>2730</v>
      </c>
      <c r="AF1009" t="s">
        <v>2730</v>
      </c>
      <c r="AG1009" t="s">
        <v>2730</v>
      </c>
      <c r="AH1009" t="s">
        <v>2730</v>
      </c>
    </row>
    <row r="1010" spans="1:34">
      <c r="A1010" s="149" t="str">
        <f>HYPERLINK("http://www.ofsted.gov.uk/inspection-reports/find-inspection-report/provider/ELS/144776 ","Ofsted School Webpage")</f>
        <v>Ofsted School Webpage</v>
      </c>
      <c r="B1010">
        <v>144776</v>
      </c>
      <c r="C1010">
        <v>8266017</v>
      </c>
      <c r="D1010" t="s">
        <v>2495</v>
      </c>
      <c r="E1010" t="s">
        <v>38</v>
      </c>
      <c r="F1010" t="s">
        <v>184</v>
      </c>
      <c r="G1010" t="s">
        <v>184</v>
      </c>
      <c r="H1010" t="s">
        <v>2729</v>
      </c>
      <c r="I1010" t="s">
        <v>2730</v>
      </c>
      <c r="J1010" t="s">
        <v>186</v>
      </c>
      <c r="K1010" t="s">
        <v>181</v>
      </c>
      <c r="L1010" t="s">
        <v>181</v>
      </c>
      <c r="M1010" t="s">
        <v>2188</v>
      </c>
      <c r="N1010" t="s">
        <v>2496</v>
      </c>
      <c r="O1010" t="s">
        <v>2730</v>
      </c>
      <c r="P1010" s="120" t="s">
        <v>2730</v>
      </c>
      <c r="Q1010" s="120" t="s">
        <v>2730</v>
      </c>
      <c r="R1010" s="120" t="s">
        <v>2730</v>
      </c>
      <c r="S1010" t="s">
        <v>2730</v>
      </c>
      <c r="T1010" t="s">
        <v>2730</v>
      </c>
      <c r="U1010" t="s">
        <v>2730</v>
      </c>
      <c r="V1010" t="s">
        <v>2730</v>
      </c>
      <c r="W1010" t="s">
        <v>2730</v>
      </c>
      <c r="X1010" t="s">
        <v>2730</v>
      </c>
      <c r="Y1010" t="s">
        <v>2730</v>
      </c>
      <c r="Z1010" t="s">
        <v>2730</v>
      </c>
      <c r="AA1010" t="s">
        <v>2730</v>
      </c>
      <c r="AB1010" t="s">
        <v>2730</v>
      </c>
      <c r="AC1010" t="s">
        <v>2730</v>
      </c>
      <c r="AD1010" t="s">
        <v>2730</v>
      </c>
      <c r="AE1010" t="s">
        <v>2730</v>
      </c>
      <c r="AF1010" t="s">
        <v>2730</v>
      </c>
      <c r="AG1010" t="s">
        <v>2730</v>
      </c>
      <c r="AH1010" t="s">
        <v>2730</v>
      </c>
    </row>
    <row r="1011" spans="1:34">
      <c r="A1011" s="149" t="str">
        <f>HYPERLINK("http://www.ofsted.gov.uk/inspection-reports/find-inspection-report/provider/ELS/144795 ","Ofsted School Webpage")</f>
        <v>Ofsted School Webpage</v>
      </c>
      <c r="B1011">
        <v>144795</v>
      </c>
      <c r="C1011">
        <v>2136004</v>
      </c>
      <c r="D1011" t="s">
        <v>2497</v>
      </c>
      <c r="E1011" t="s">
        <v>37</v>
      </c>
      <c r="F1011" t="s">
        <v>184</v>
      </c>
      <c r="G1011" t="s">
        <v>184</v>
      </c>
      <c r="H1011" t="s">
        <v>2729</v>
      </c>
      <c r="I1011" t="s">
        <v>2730</v>
      </c>
      <c r="J1011" t="s">
        <v>186</v>
      </c>
      <c r="K1011" t="s">
        <v>232</v>
      </c>
      <c r="L1011" t="s">
        <v>232</v>
      </c>
      <c r="M1011" t="s">
        <v>679</v>
      </c>
      <c r="N1011" t="s">
        <v>2498</v>
      </c>
      <c r="O1011" t="s">
        <v>2730</v>
      </c>
      <c r="P1011" s="120" t="s">
        <v>2730</v>
      </c>
      <c r="Q1011" s="120" t="s">
        <v>2730</v>
      </c>
      <c r="R1011" s="120" t="s">
        <v>2730</v>
      </c>
      <c r="S1011" t="s">
        <v>2730</v>
      </c>
      <c r="T1011" t="s">
        <v>2730</v>
      </c>
      <c r="U1011" t="s">
        <v>2730</v>
      </c>
      <c r="V1011" t="s">
        <v>2730</v>
      </c>
      <c r="W1011" t="s">
        <v>2730</v>
      </c>
      <c r="X1011" t="s">
        <v>2730</v>
      </c>
      <c r="Y1011" t="s">
        <v>2730</v>
      </c>
      <c r="Z1011" t="s">
        <v>2730</v>
      </c>
      <c r="AA1011" t="s">
        <v>2730</v>
      </c>
      <c r="AB1011" t="s">
        <v>2730</v>
      </c>
      <c r="AC1011" t="s">
        <v>2730</v>
      </c>
      <c r="AD1011" t="s">
        <v>2730</v>
      </c>
      <c r="AE1011" t="s">
        <v>2730</v>
      </c>
      <c r="AF1011" t="s">
        <v>2730</v>
      </c>
      <c r="AG1011" t="s">
        <v>2730</v>
      </c>
      <c r="AH1011" t="s">
        <v>2730</v>
      </c>
    </row>
    <row r="1012" spans="1:34">
      <c r="A1012" s="149" t="str">
        <f>HYPERLINK("http://www.ofsted.gov.uk/inspection-reports/find-inspection-report/provider/ELS/144796 ","Ofsted School Webpage")</f>
        <v>Ofsted School Webpage</v>
      </c>
      <c r="B1012">
        <v>144796</v>
      </c>
      <c r="C1012">
        <v>3046006</v>
      </c>
      <c r="D1012" t="s">
        <v>2499</v>
      </c>
      <c r="E1012" t="s">
        <v>38</v>
      </c>
      <c r="F1012" t="s">
        <v>184</v>
      </c>
      <c r="G1012" t="s">
        <v>184</v>
      </c>
      <c r="H1012" t="s">
        <v>2729</v>
      </c>
      <c r="I1012" t="s">
        <v>2730</v>
      </c>
      <c r="J1012" t="s">
        <v>186</v>
      </c>
      <c r="K1012" t="s">
        <v>232</v>
      </c>
      <c r="L1012" t="s">
        <v>232</v>
      </c>
      <c r="M1012" t="s">
        <v>749</v>
      </c>
      <c r="N1012" t="s">
        <v>2500</v>
      </c>
      <c r="O1012" t="s">
        <v>2730</v>
      </c>
      <c r="P1012" s="120" t="s">
        <v>2730</v>
      </c>
      <c r="Q1012" s="120" t="s">
        <v>2730</v>
      </c>
      <c r="R1012" s="120" t="s">
        <v>2730</v>
      </c>
      <c r="S1012" t="s">
        <v>2730</v>
      </c>
      <c r="T1012" t="s">
        <v>2730</v>
      </c>
      <c r="U1012" t="s">
        <v>2730</v>
      </c>
      <c r="V1012" t="s">
        <v>2730</v>
      </c>
      <c r="W1012" t="s">
        <v>2730</v>
      </c>
      <c r="X1012" t="s">
        <v>2730</v>
      </c>
      <c r="Y1012" t="s">
        <v>2730</v>
      </c>
      <c r="Z1012" t="s">
        <v>2730</v>
      </c>
      <c r="AA1012" t="s">
        <v>2730</v>
      </c>
      <c r="AB1012" t="s">
        <v>2730</v>
      </c>
      <c r="AC1012" t="s">
        <v>2730</v>
      </c>
      <c r="AD1012" t="s">
        <v>2730</v>
      </c>
      <c r="AE1012" t="s">
        <v>2730</v>
      </c>
      <c r="AF1012" t="s">
        <v>2730</v>
      </c>
      <c r="AG1012" t="s">
        <v>2730</v>
      </c>
      <c r="AH1012" t="s">
        <v>2730</v>
      </c>
    </row>
    <row r="1013" spans="1:34">
      <c r="A1013" s="149" t="str">
        <f>HYPERLINK("http://www.ofsted.gov.uk/inspection-reports/find-inspection-report/provider/ELS/144801 ","Ofsted School Webpage")</f>
        <v>Ofsted School Webpage</v>
      </c>
      <c r="B1013">
        <v>144801</v>
      </c>
      <c r="C1013">
        <v>9316018</v>
      </c>
      <c r="D1013" t="s">
        <v>2742</v>
      </c>
      <c r="E1013" t="s">
        <v>37</v>
      </c>
      <c r="F1013" t="s">
        <v>184</v>
      </c>
      <c r="G1013" t="s">
        <v>184</v>
      </c>
      <c r="H1013" t="s">
        <v>2729</v>
      </c>
      <c r="I1013" t="s">
        <v>2730</v>
      </c>
      <c r="J1013" t="s">
        <v>186</v>
      </c>
      <c r="K1013" t="s">
        <v>181</v>
      </c>
      <c r="L1013" t="s">
        <v>181</v>
      </c>
      <c r="M1013" t="s">
        <v>242</v>
      </c>
      <c r="N1013" t="s">
        <v>2743</v>
      </c>
      <c r="O1013" t="s">
        <v>2730</v>
      </c>
      <c r="P1013" s="120" t="s">
        <v>2730</v>
      </c>
      <c r="Q1013" s="120" t="s">
        <v>2730</v>
      </c>
      <c r="R1013" s="120" t="s">
        <v>2730</v>
      </c>
      <c r="S1013" t="s">
        <v>2730</v>
      </c>
      <c r="T1013" t="s">
        <v>2730</v>
      </c>
      <c r="U1013" t="s">
        <v>2730</v>
      </c>
      <c r="V1013" t="s">
        <v>2730</v>
      </c>
      <c r="W1013" t="s">
        <v>2730</v>
      </c>
      <c r="X1013" t="s">
        <v>2730</v>
      </c>
      <c r="Y1013" t="s">
        <v>2730</v>
      </c>
      <c r="Z1013" t="s">
        <v>2730</v>
      </c>
      <c r="AA1013" t="s">
        <v>2730</v>
      </c>
      <c r="AB1013" t="s">
        <v>2730</v>
      </c>
      <c r="AC1013" t="s">
        <v>2730</v>
      </c>
      <c r="AD1013" t="s">
        <v>2730</v>
      </c>
      <c r="AE1013" t="s">
        <v>2730</v>
      </c>
      <c r="AF1013" t="s">
        <v>2730</v>
      </c>
      <c r="AG1013" t="s">
        <v>2730</v>
      </c>
      <c r="AH1013" t="s">
        <v>2730</v>
      </c>
    </row>
    <row r="1014" spans="1:34">
      <c r="A1014" s="149" t="str">
        <f>HYPERLINK("http://www.ofsted.gov.uk/inspection-reports/find-inspection-report/provider/ELS/145194 ","Ofsted School Webpage")</f>
        <v>Ofsted School Webpage</v>
      </c>
      <c r="B1014">
        <v>145194</v>
      </c>
      <c r="C1014">
        <v>8886074</v>
      </c>
      <c r="D1014" t="s">
        <v>2737</v>
      </c>
      <c r="E1014" t="s">
        <v>38</v>
      </c>
      <c r="F1014" t="s">
        <v>184</v>
      </c>
      <c r="G1014" t="s">
        <v>184</v>
      </c>
      <c r="H1014" t="s">
        <v>2729</v>
      </c>
      <c r="I1014" t="s">
        <v>2730</v>
      </c>
      <c r="J1014" t="s">
        <v>186</v>
      </c>
      <c r="K1014" t="s">
        <v>205</v>
      </c>
      <c r="L1014" t="s">
        <v>205</v>
      </c>
      <c r="M1014" t="s">
        <v>206</v>
      </c>
      <c r="N1014" t="s">
        <v>2738</v>
      </c>
      <c r="O1014" t="s">
        <v>2730</v>
      </c>
      <c r="P1014" s="120" t="s">
        <v>2730</v>
      </c>
      <c r="Q1014" s="120" t="s">
        <v>2730</v>
      </c>
      <c r="R1014" s="120" t="s">
        <v>2730</v>
      </c>
      <c r="S1014" t="s">
        <v>2730</v>
      </c>
      <c r="T1014" t="s">
        <v>2730</v>
      </c>
      <c r="U1014" t="s">
        <v>2730</v>
      </c>
      <c r="V1014" t="s">
        <v>2730</v>
      </c>
      <c r="W1014" t="s">
        <v>2730</v>
      </c>
      <c r="X1014" t="s">
        <v>2730</v>
      </c>
      <c r="Y1014" t="s">
        <v>2730</v>
      </c>
      <c r="Z1014" t="s">
        <v>2730</v>
      </c>
      <c r="AA1014" t="s">
        <v>2730</v>
      </c>
      <c r="AB1014" t="s">
        <v>2730</v>
      </c>
      <c r="AC1014" t="s">
        <v>2730</v>
      </c>
      <c r="AD1014" t="s">
        <v>2730</v>
      </c>
      <c r="AE1014" t="s">
        <v>2730</v>
      </c>
      <c r="AF1014" t="s">
        <v>2730</v>
      </c>
      <c r="AG1014" t="s">
        <v>2730</v>
      </c>
      <c r="AH1014" t="s">
        <v>2730</v>
      </c>
    </row>
    <row r="1015" spans="1:34">
      <c r="A1015" s="149" t="str">
        <f>HYPERLINK("http://www.ofsted.gov.uk/inspection-reports/find-inspection-report/provider/ELS/145239 ","Ofsted School Webpage")</f>
        <v>Ofsted School Webpage</v>
      </c>
      <c r="B1015">
        <v>145239</v>
      </c>
      <c r="C1015">
        <v>3926001</v>
      </c>
      <c r="D1015" t="s">
        <v>837</v>
      </c>
      <c r="E1015" t="s">
        <v>38</v>
      </c>
      <c r="F1015" t="s">
        <v>184</v>
      </c>
      <c r="G1015" t="s">
        <v>184</v>
      </c>
      <c r="H1015" t="s">
        <v>2729</v>
      </c>
      <c r="I1015" t="s">
        <v>2730</v>
      </c>
      <c r="J1015" t="s">
        <v>186</v>
      </c>
      <c r="K1015" t="s">
        <v>245</v>
      </c>
      <c r="L1015" t="s">
        <v>277</v>
      </c>
      <c r="M1015" t="s">
        <v>838</v>
      </c>
      <c r="N1015" t="s">
        <v>839</v>
      </c>
      <c r="O1015" t="s">
        <v>2730</v>
      </c>
      <c r="P1015" s="120" t="s">
        <v>2730</v>
      </c>
      <c r="Q1015" s="120" t="s">
        <v>2730</v>
      </c>
      <c r="R1015" s="120" t="s">
        <v>2730</v>
      </c>
      <c r="S1015" t="s">
        <v>2730</v>
      </c>
      <c r="T1015" t="s">
        <v>2730</v>
      </c>
      <c r="U1015" t="s">
        <v>2730</v>
      </c>
      <c r="V1015" t="s">
        <v>2730</v>
      </c>
      <c r="W1015" t="s">
        <v>2730</v>
      </c>
      <c r="X1015" t="s">
        <v>2730</v>
      </c>
      <c r="Y1015" t="s">
        <v>2730</v>
      </c>
      <c r="Z1015" t="s">
        <v>2730</v>
      </c>
      <c r="AA1015" t="s">
        <v>2730</v>
      </c>
      <c r="AB1015" t="s">
        <v>2730</v>
      </c>
      <c r="AC1015" t="s">
        <v>2730</v>
      </c>
      <c r="AD1015" t="s">
        <v>2730</v>
      </c>
      <c r="AE1015" t="s">
        <v>2730</v>
      </c>
      <c r="AF1015" t="s">
        <v>2730</v>
      </c>
      <c r="AG1015" t="s">
        <v>2730</v>
      </c>
      <c r="AH1015" t="s">
        <v>2730</v>
      </c>
    </row>
    <row r="1016" spans="1:34">
      <c r="A1016" s="149" t="str">
        <f>HYPERLINK("http://www.ofsted.gov.uk/inspection-reports/find-inspection-report/provider/ELS/145290 ","Ofsted School Webpage")</f>
        <v>Ofsted School Webpage</v>
      </c>
      <c r="B1016">
        <v>145290</v>
      </c>
      <c r="C1016">
        <v>3576005</v>
      </c>
      <c r="D1016" t="s">
        <v>2740</v>
      </c>
      <c r="E1016" t="s">
        <v>38</v>
      </c>
      <c r="F1016" t="s">
        <v>184</v>
      </c>
      <c r="G1016" t="s">
        <v>184</v>
      </c>
      <c r="H1016" t="s">
        <v>2729</v>
      </c>
      <c r="I1016" t="s">
        <v>2730</v>
      </c>
      <c r="J1016" t="s">
        <v>186</v>
      </c>
      <c r="K1016" t="s">
        <v>205</v>
      </c>
      <c r="L1016" t="s">
        <v>205</v>
      </c>
      <c r="M1016" t="s">
        <v>857</v>
      </c>
      <c r="N1016" t="s">
        <v>2741</v>
      </c>
      <c r="O1016" t="s">
        <v>2730</v>
      </c>
      <c r="P1016" s="120" t="s">
        <v>2730</v>
      </c>
      <c r="Q1016" s="120" t="s">
        <v>2730</v>
      </c>
      <c r="R1016" s="120" t="s">
        <v>2730</v>
      </c>
      <c r="S1016" t="s">
        <v>2730</v>
      </c>
      <c r="T1016" t="s">
        <v>2730</v>
      </c>
      <c r="U1016" t="s">
        <v>2730</v>
      </c>
      <c r="V1016" t="s">
        <v>2730</v>
      </c>
      <c r="W1016" t="s">
        <v>2730</v>
      </c>
      <c r="X1016" t="s">
        <v>2730</v>
      </c>
      <c r="Y1016" t="s">
        <v>2730</v>
      </c>
      <c r="Z1016" t="s">
        <v>2730</v>
      </c>
      <c r="AA1016" t="s">
        <v>2730</v>
      </c>
      <c r="AB1016" t="s">
        <v>2730</v>
      </c>
      <c r="AC1016" t="s">
        <v>2730</v>
      </c>
      <c r="AD1016" t="s">
        <v>2730</v>
      </c>
      <c r="AE1016" t="s">
        <v>2730</v>
      </c>
      <c r="AF1016" t="s">
        <v>2730</v>
      </c>
      <c r="AG1016" t="s">
        <v>2730</v>
      </c>
      <c r="AH1016" t="s">
        <v>2730</v>
      </c>
    </row>
    <row r="1017" spans="1:34">
      <c r="A1017" s="149" t="str">
        <f>HYPERLINK("http://www.ofsted.gov.uk/inspection-reports/find-inspection-report/provider/ELS/145293 ","Ofsted School Webpage")</f>
        <v>Ofsted School Webpage</v>
      </c>
      <c r="B1017">
        <v>145293</v>
      </c>
      <c r="C1017">
        <v>9336008</v>
      </c>
      <c r="D1017" t="s">
        <v>840</v>
      </c>
      <c r="E1017" t="s">
        <v>38</v>
      </c>
      <c r="F1017" t="s">
        <v>184</v>
      </c>
      <c r="G1017" t="s">
        <v>184</v>
      </c>
      <c r="H1017" t="s">
        <v>2729</v>
      </c>
      <c r="I1017" t="s">
        <v>2730</v>
      </c>
      <c r="J1017" t="s">
        <v>186</v>
      </c>
      <c r="K1017" t="s">
        <v>225</v>
      </c>
      <c r="L1017" t="s">
        <v>225</v>
      </c>
      <c r="M1017" t="s">
        <v>262</v>
      </c>
      <c r="N1017" t="s">
        <v>841</v>
      </c>
      <c r="O1017" t="s">
        <v>2730</v>
      </c>
      <c r="P1017" s="120" t="s">
        <v>2730</v>
      </c>
      <c r="Q1017" s="120" t="s">
        <v>2730</v>
      </c>
      <c r="R1017" s="120" t="s">
        <v>2730</v>
      </c>
      <c r="S1017" t="s">
        <v>2730</v>
      </c>
      <c r="T1017" t="s">
        <v>2730</v>
      </c>
      <c r="U1017" t="s">
        <v>2730</v>
      </c>
      <c r="V1017" t="s">
        <v>2730</v>
      </c>
      <c r="W1017" t="s">
        <v>2730</v>
      </c>
      <c r="X1017" t="s">
        <v>2730</v>
      </c>
      <c r="Y1017" t="s">
        <v>2730</v>
      </c>
      <c r="Z1017" t="s">
        <v>2730</v>
      </c>
      <c r="AA1017" t="s">
        <v>2730</v>
      </c>
      <c r="AB1017" t="s">
        <v>2730</v>
      </c>
      <c r="AC1017" t="s">
        <v>2730</v>
      </c>
      <c r="AD1017" t="s">
        <v>2730</v>
      </c>
      <c r="AE1017" t="s">
        <v>2730</v>
      </c>
      <c r="AF1017" t="s">
        <v>2730</v>
      </c>
      <c r="AG1017" t="s">
        <v>2730</v>
      </c>
      <c r="AH1017" t="s">
        <v>2730</v>
      </c>
    </row>
    <row r="1018" spans="1:34">
      <c r="A1018" s="149" t="str">
        <f>HYPERLINK("http://www.ofsted.gov.uk/inspection-reports/find-inspection-report/provider/ELS/143042 ","Ofsted School Webpage")</f>
        <v>Ofsted School Webpage</v>
      </c>
      <c r="B1018">
        <v>143042</v>
      </c>
      <c r="C1018">
        <v>9316016</v>
      </c>
      <c r="D1018" t="s">
        <v>516</v>
      </c>
      <c r="E1018" t="s">
        <v>37</v>
      </c>
      <c r="F1018" t="s">
        <v>184</v>
      </c>
      <c r="G1018" t="s">
        <v>184</v>
      </c>
      <c r="H1018" t="s">
        <v>2729</v>
      </c>
      <c r="I1018" t="s">
        <v>2730</v>
      </c>
      <c r="J1018" t="s">
        <v>186</v>
      </c>
      <c r="K1018" t="s">
        <v>181</v>
      </c>
      <c r="L1018" t="s">
        <v>181</v>
      </c>
      <c r="M1018" t="s">
        <v>242</v>
      </c>
      <c r="N1018" t="s">
        <v>517</v>
      </c>
      <c r="O1018">
        <v>10039170</v>
      </c>
      <c r="P1018" s="120">
        <v>43004</v>
      </c>
      <c r="Q1018" s="120">
        <v>43006</v>
      </c>
      <c r="R1018" s="120">
        <v>43041</v>
      </c>
      <c r="S1018" t="s">
        <v>249</v>
      </c>
      <c r="T1018">
        <v>2</v>
      </c>
      <c r="U1018" t="s">
        <v>128</v>
      </c>
      <c r="V1018">
        <v>2</v>
      </c>
      <c r="W1018">
        <v>2</v>
      </c>
      <c r="X1018">
        <v>2</v>
      </c>
      <c r="Y1018">
        <v>2</v>
      </c>
      <c r="Z1018" t="s">
        <v>2730</v>
      </c>
      <c r="AA1018">
        <v>2</v>
      </c>
      <c r="AB1018" t="s">
        <v>2732</v>
      </c>
      <c r="AC1018" t="s">
        <v>2730</v>
      </c>
      <c r="AD1018" t="s">
        <v>2730</v>
      </c>
      <c r="AE1018" t="s">
        <v>2730</v>
      </c>
      <c r="AF1018" t="s">
        <v>2730</v>
      </c>
      <c r="AG1018" t="s">
        <v>2730</v>
      </c>
      <c r="AH1018" t="s">
        <v>2730</v>
      </c>
    </row>
    <row r="1019" spans="1:34">
      <c r="A1019" s="149" t="str">
        <f>HYPERLINK("http://www.ofsted.gov.uk/inspection-reports/find-inspection-report/provider/ELS/143046 ","Ofsted School Webpage")</f>
        <v>Ofsted School Webpage</v>
      </c>
      <c r="B1019">
        <v>143046</v>
      </c>
      <c r="C1019">
        <v>8466024</v>
      </c>
      <c r="D1019" t="s">
        <v>2688</v>
      </c>
      <c r="E1019" t="s">
        <v>37</v>
      </c>
      <c r="F1019" t="s">
        <v>184</v>
      </c>
      <c r="G1019" t="s">
        <v>184</v>
      </c>
      <c r="H1019" t="s">
        <v>2729</v>
      </c>
      <c r="I1019" t="s">
        <v>2730</v>
      </c>
      <c r="J1019" t="s">
        <v>186</v>
      </c>
      <c r="K1019" t="s">
        <v>181</v>
      </c>
      <c r="L1019" t="s">
        <v>181</v>
      </c>
      <c r="M1019" t="s">
        <v>409</v>
      </c>
      <c r="N1019" t="s">
        <v>2689</v>
      </c>
      <c r="O1019" t="s">
        <v>2730</v>
      </c>
      <c r="P1019" s="120" t="s">
        <v>2730</v>
      </c>
      <c r="Q1019" s="120" t="s">
        <v>2730</v>
      </c>
      <c r="R1019" s="120" t="s">
        <v>2730</v>
      </c>
      <c r="S1019" t="s">
        <v>2730</v>
      </c>
      <c r="T1019" t="s">
        <v>2730</v>
      </c>
      <c r="U1019" t="s">
        <v>2730</v>
      </c>
      <c r="V1019" t="s">
        <v>2730</v>
      </c>
      <c r="W1019" t="s">
        <v>2730</v>
      </c>
      <c r="X1019" t="s">
        <v>2730</v>
      </c>
      <c r="Y1019" t="s">
        <v>2730</v>
      </c>
      <c r="Z1019" t="s">
        <v>2730</v>
      </c>
      <c r="AA1019" t="s">
        <v>2730</v>
      </c>
      <c r="AB1019" t="s">
        <v>2730</v>
      </c>
      <c r="AC1019" t="s">
        <v>2730</v>
      </c>
      <c r="AD1019" t="s">
        <v>2730</v>
      </c>
      <c r="AE1019" t="s">
        <v>2730</v>
      </c>
      <c r="AF1019" t="s">
        <v>2730</v>
      </c>
      <c r="AG1019" t="s">
        <v>2730</v>
      </c>
      <c r="AH1019" t="s">
        <v>2730</v>
      </c>
    </row>
    <row r="1020" spans="1:34">
      <c r="A1020" s="149" t="str">
        <f>HYPERLINK("http://www.ofsted.gov.uk/inspection-reports/find-inspection-report/provider/ELS/143048 ","Ofsted School Webpage")</f>
        <v>Ofsted School Webpage</v>
      </c>
      <c r="B1020">
        <v>143048</v>
      </c>
      <c r="C1020">
        <v>3186007</v>
      </c>
      <c r="D1020" t="s">
        <v>2690</v>
      </c>
      <c r="E1020" t="s">
        <v>37</v>
      </c>
      <c r="F1020" t="s">
        <v>184</v>
      </c>
      <c r="G1020" t="s">
        <v>184</v>
      </c>
      <c r="H1020" t="s">
        <v>2729</v>
      </c>
      <c r="I1020" t="s">
        <v>2730</v>
      </c>
      <c r="J1020" t="s">
        <v>186</v>
      </c>
      <c r="K1020" t="s">
        <v>232</v>
      </c>
      <c r="L1020" t="s">
        <v>232</v>
      </c>
      <c r="M1020" t="s">
        <v>233</v>
      </c>
      <c r="N1020" t="s">
        <v>2691</v>
      </c>
      <c r="O1020">
        <v>10041013</v>
      </c>
      <c r="P1020" s="120">
        <v>43060</v>
      </c>
      <c r="Q1020" s="120">
        <v>43062</v>
      </c>
      <c r="R1020" s="120">
        <v>43091</v>
      </c>
      <c r="S1020" t="s">
        <v>249</v>
      </c>
      <c r="T1020">
        <v>2</v>
      </c>
      <c r="U1020" t="s">
        <v>128</v>
      </c>
      <c r="V1020">
        <v>2</v>
      </c>
      <c r="W1020">
        <v>2</v>
      </c>
      <c r="X1020">
        <v>2</v>
      </c>
      <c r="Y1020">
        <v>2</v>
      </c>
      <c r="Z1020" t="s">
        <v>2730</v>
      </c>
      <c r="AA1020" t="s">
        <v>2730</v>
      </c>
      <c r="AB1020" t="s">
        <v>2732</v>
      </c>
      <c r="AC1020" t="s">
        <v>2730</v>
      </c>
      <c r="AD1020" t="s">
        <v>2730</v>
      </c>
      <c r="AE1020" t="s">
        <v>2730</v>
      </c>
      <c r="AF1020" t="s">
        <v>2730</v>
      </c>
      <c r="AG1020" t="s">
        <v>2730</v>
      </c>
      <c r="AH1020" t="s">
        <v>2730</v>
      </c>
    </row>
    <row r="1021" spans="1:34">
      <c r="A1021" s="149" t="str">
        <f>HYPERLINK("http://www.ofsted.gov.uk/inspection-reports/find-inspection-report/provider/ELS/143049 ","Ofsted School Webpage")</f>
        <v>Ofsted School Webpage</v>
      </c>
      <c r="B1021">
        <v>143049</v>
      </c>
      <c r="C1021">
        <v>3926005</v>
      </c>
      <c r="D1021" t="s">
        <v>2692</v>
      </c>
      <c r="E1021" t="s">
        <v>37</v>
      </c>
      <c r="F1021" t="s">
        <v>184</v>
      </c>
      <c r="G1021" t="s">
        <v>212</v>
      </c>
      <c r="H1021" t="s">
        <v>2729</v>
      </c>
      <c r="I1021" t="s">
        <v>2730</v>
      </c>
      <c r="J1021" t="s">
        <v>186</v>
      </c>
      <c r="K1021" t="s">
        <v>245</v>
      </c>
      <c r="L1021" t="s">
        <v>277</v>
      </c>
      <c r="M1021" t="s">
        <v>838</v>
      </c>
      <c r="N1021" t="s">
        <v>2693</v>
      </c>
      <c r="O1021" t="s">
        <v>2730</v>
      </c>
      <c r="P1021" s="120" t="s">
        <v>2730</v>
      </c>
      <c r="Q1021" s="120" t="s">
        <v>2730</v>
      </c>
      <c r="R1021" s="120" t="s">
        <v>2730</v>
      </c>
      <c r="S1021" t="s">
        <v>2730</v>
      </c>
      <c r="T1021" t="s">
        <v>2730</v>
      </c>
      <c r="U1021" t="s">
        <v>2730</v>
      </c>
      <c r="V1021" t="s">
        <v>2730</v>
      </c>
      <c r="W1021" t="s">
        <v>2730</v>
      </c>
      <c r="X1021" t="s">
        <v>2730</v>
      </c>
      <c r="Y1021" t="s">
        <v>2730</v>
      </c>
      <c r="Z1021" t="s">
        <v>2730</v>
      </c>
      <c r="AA1021" t="s">
        <v>2730</v>
      </c>
      <c r="AB1021" t="s">
        <v>2730</v>
      </c>
      <c r="AC1021" t="s">
        <v>2730</v>
      </c>
      <c r="AD1021" t="s">
        <v>2730</v>
      </c>
      <c r="AE1021" t="s">
        <v>2730</v>
      </c>
      <c r="AF1021" t="s">
        <v>2730</v>
      </c>
      <c r="AG1021" t="s">
        <v>2730</v>
      </c>
      <c r="AH1021" t="s">
        <v>2730</v>
      </c>
    </row>
    <row r="1022" spans="1:34">
      <c r="A1022" s="149" t="str">
        <f>HYPERLINK("http://www.ofsted.gov.uk/inspection-reports/find-inspection-report/provider/ELS/144619 ","Ofsted School Webpage")</f>
        <v>Ofsted School Webpage</v>
      </c>
      <c r="B1022">
        <v>144619</v>
      </c>
      <c r="C1022">
        <v>8556040</v>
      </c>
      <c r="D1022" t="s">
        <v>2682</v>
      </c>
      <c r="E1022" t="s">
        <v>38</v>
      </c>
      <c r="F1022" t="s">
        <v>184</v>
      </c>
      <c r="G1022" t="s">
        <v>184</v>
      </c>
      <c r="H1022" t="s">
        <v>2729</v>
      </c>
      <c r="I1022" t="s">
        <v>2730</v>
      </c>
      <c r="J1022" t="s">
        <v>186</v>
      </c>
      <c r="K1022" t="s">
        <v>214</v>
      </c>
      <c r="L1022" t="s">
        <v>214</v>
      </c>
      <c r="M1022" t="s">
        <v>281</v>
      </c>
      <c r="N1022" t="s">
        <v>2683</v>
      </c>
      <c r="O1022" t="s">
        <v>2730</v>
      </c>
      <c r="P1022" s="120" t="s">
        <v>2730</v>
      </c>
      <c r="Q1022" s="120" t="s">
        <v>2730</v>
      </c>
      <c r="R1022" s="120" t="s">
        <v>2730</v>
      </c>
      <c r="S1022" t="s">
        <v>2730</v>
      </c>
      <c r="T1022" t="s">
        <v>2730</v>
      </c>
      <c r="U1022" t="s">
        <v>2730</v>
      </c>
      <c r="V1022" t="s">
        <v>2730</v>
      </c>
      <c r="W1022" t="s">
        <v>2730</v>
      </c>
      <c r="X1022" t="s">
        <v>2730</v>
      </c>
      <c r="Y1022" t="s">
        <v>2730</v>
      </c>
      <c r="Z1022" t="s">
        <v>2730</v>
      </c>
      <c r="AA1022" t="s">
        <v>2730</v>
      </c>
      <c r="AB1022" t="s">
        <v>2730</v>
      </c>
      <c r="AC1022" t="s">
        <v>2730</v>
      </c>
      <c r="AD1022" t="s">
        <v>2730</v>
      </c>
      <c r="AE1022" t="s">
        <v>2730</v>
      </c>
      <c r="AF1022" t="s">
        <v>2730</v>
      </c>
      <c r="AG1022" t="s">
        <v>2730</v>
      </c>
      <c r="AH1022" t="s">
        <v>2730</v>
      </c>
    </row>
    <row r="1023" spans="1:34">
      <c r="A1023" s="149" t="str">
        <f>HYPERLINK("http://www.ofsted.gov.uk/inspection-reports/find-inspection-report/provider/ELS/144620 ","Ofsted School Webpage")</f>
        <v>Ofsted School Webpage</v>
      </c>
      <c r="B1023">
        <v>144620</v>
      </c>
      <c r="C1023">
        <v>3836005</v>
      </c>
      <c r="D1023" t="s">
        <v>2684</v>
      </c>
      <c r="E1023" t="s">
        <v>37</v>
      </c>
      <c r="F1023" t="s">
        <v>184</v>
      </c>
      <c r="G1023" t="s">
        <v>184</v>
      </c>
      <c r="H1023" t="s">
        <v>2729</v>
      </c>
      <c r="I1023" t="s">
        <v>2730</v>
      </c>
      <c r="J1023" t="s">
        <v>186</v>
      </c>
      <c r="K1023" t="s">
        <v>245</v>
      </c>
      <c r="L1023" t="s">
        <v>246</v>
      </c>
      <c r="M1023" t="s">
        <v>714</v>
      </c>
      <c r="N1023" t="s">
        <v>2685</v>
      </c>
      <c r="O1023" t="s">
        <v>2730</v>
      </c>
      <c r="P1023" s="120" t="s">
        <v>2730</v>
      </c>
      <c r="Q1023" s="120" t="s">
        <v>2730</v>
      </c>
      <c r="R1023" s="120" t="s">
        <v>2730</v>
      </c>
      <c r="S1023" t="s">
        <v>2730</v>
      </c>
      <c r="T1023" t="s">
        <v>2730</v>
      </c>
      <c r="U1023" t="s">
        <v>2730</v>
      </c>
      <c r="V1023" t="s">
        <v>2730</v>
      </c>
      <c r="W1023" t="s">
        <v>2730</v>
      </c>
      <c r="X1023" t="s">
        <v>2730</v>
      </c>
      <c r="Y1023" t="s">
        <v>2730</v>
      </c>
      <c r="Z1023" t="s">
        <v>2730</v>
      </c>
      <c r="AA1023" t="s">
        <v>2730</v>
      </c>
      <c r="AB1023" t="s">
        <v>2730</v>
      </c>
      <c r="AC1023" t="s">
        <v>2730</v>
      </c>
      <c r="AD1023" t="s">
        <v>2730</v>
      </c>
      <c r="AE1023" t="s">
        <v>2730</v>
      </c>
      <c r="AF1023" t="s">
        <v>2730</v>
      </c>
      <c r="AG1023" t="s">
        <v>2730</v>
      </c>
      <c r="AH1023" t="s">
        <v>2730</v>
      </c>
    </row>
    <row r="1024" spans="1:34">
      <c r="A1024" s="149" t="str">
        <f>HYPERLINK("http://www.ofsted.gov.uk/inspection-reports/find-inspection-report/provider/ELS/144717 ","Ofsted School Webpage")</f>
        <v>Ofsted School Webpage</v>
      </c>
      <c r="B1024">
        <v>144717</v>
      </c>
      <c r="C1024">
        <v>8846016</v>
      </c>
      <c r="D1024" t="s">
        <v>2686</v>
      </c>
      <c r="E1024" t="s">
        <v>37</v>
      </c>
      <c r="F1024" t="s">
        <v>184</v>
      </c>
      <c r="G1024" t="s">
        <v>184</v>
      </c>
      <c r="H1024" t="s">
        <v>2729</v>
      </c>
      <c r="I1024" t="s">
        <v>2730</v>
      </c>
      <c r="J1024" t="s">
        <v>186</v>
      </c>
      <c r="K1024" t="s">
        <v>193</v>
      </c>
      <c r="L1024" t="s">
        <v>193</v>
      </c>
      <c r="M1024" t="s">
        <v>1077</v>
      </c>
      <c r="N1024" t="s">
        <v>2687</v>
      </c>
      <c r="O1024" t="s">
        <v>2730</v>
      </c>
      <c r="P1024" s="120" t="s">
        <v>2730</v>
      </c>
      <c r="Q1024" s="120" t="s">
        <v>2730</v>
      </c>
      <c r="R1024" s="120" t="s">
        <v>2730</v>
      </c>
      <c r="S1024" t="s">
        <v>2730</v>
      </c>
      <c r="T1024" t="s">
        <v>2730</v>
      </c>
      <c r="U1024" t="s">
        <v>2730</v>
      </c>
      <c r="V1024" t="s">
        <v>2730</v>
      </c>
      <c r="W1024" t="s">
        <v>2730</v>
      </c>
      <c r="X1024" t="s">
        <v>2730</v>
      </c>
      <c r="Y1024" t="s">
        <v>2730</v>
      </c>
      <c r="Z1024" t="s">
        <v>2730</v>
      </c>
      <c r="AA1024" t="s">
        <v>2730</v>
      </c>
      <c r="AB1024" t="s">
        <v>2730</v>
      </c>
      <c r="AC1024" t="s">
        <v>2730</v>
      </c>
      <c r="AD1024" t="s">
        <v>2730</v>
      </c>
      <c r="AE1024" t="s">
        <v>2730</v>
      </c>
      <c r="AF1024" t="s">
        <v>2730</v>
      </c>
      <c r="AG1024" t="s">
        <v>2730</v>
      </c>
      <c r="AH1024" t="s">
        <v>2730</v>
      </c>
    </row>
    <row r="1025" spans="1:34">
      <c r="A1025" s="149" t="str">
        <f>HYPERLINK("http://www.ofsted.gov.uk/inspection-reports/find-inspection-report/provider/ELS/144725 ","Ofsted School Webpage")</f>
        <v>Ofsted School Webpage</v>
      </c>
      <c r="B1025">
        <v>144725</v>
      </c>
      <c r="C1025">
        <v>3426002</v>
      </c>
      <c r="D1025" t="s">
        <v>818</v>
      </c>
      <c r="E1025" t="s">
        <v>38</v>
      </c>
      <c r="F1025" t="s">
        <v>184</v>
      </c>
      <c r="G1025" t="s">
        <v>184</v>
      </c>
      <c r="H1025" t="s">
        <v>2729</v>
      </c>
      <c r="I1025" t="s">
        <v>2730</v>
      </c>
      <c r="J1025" t="s">
        <v>186</v>
      </c>
      <c r="K1025" t="s">
        <v>205</v>
      </c>
      <c r="L1025" t="s">
        <v>205</v>
      </c>
      <c r="M1025" t="s">
        <v>819</v>
      </c>
      <c r="N1025" t="s">
        <v>820</v>
      </c>
      <c r="O1025" t="s">
        <v>2730</v>
      </c>
      <c r="P1025" s="120" t="s">
        <v>2730</v>
      </c>
      <c r="Q1025" s="120" t="s">
        <v>2730</v>
      </c>
      <c r="R1025" s="120" t="s">
        <v>2730</v>
      </c>
      <c r="S1025" t="s">
        <v>2730</v>
      </c>
      <c r="T1025" t="s">
        <v>2730</v>
      </c>
      <c r="U1025" t="s">
        <v>2730</v>
      </c>
      <c r="V1025" t="s">
        <v>2730</v>
      </c>
      <c r="W1025" t="s">
        <v>2730</v>
      </c>
      <c r="X1025" t="s">
        <v>2730</v>
      </c>
      <c r="Y1025" t="s">
        <v>2730</v>
      </c>
      <c r="Z1025" t="s">
        <v>2730</v>
      </c>
      <c r="AA1025" t="s">
        <v>2730</v>
      </c>
      <c r="AB1025" t="s">
        <v>2730</v>
      </c>
      <c r="AC1025" t="s">
        <v>2730</v>
      </c>
      <c r="AD1025" t="s">
        <v>2730</v>
      </c>
      <c r="AE1025" t="s">
        <v>2730</v>
      </c>
      <c r="AF1025" t="s">
        <v>2730</v>
      </c>
      <c r="AG1025" t="s">
        <v>2730</v>
      </c>
      <c r="AH1025" t="s">
        <v>2730</v>
      </c>
    </row>
    <row r="1026" spans="1:34">
      <c r="A1026" s="149" t="str">
        <f>HYPERLINK("http://www.ofsted.gov.uk/inspection-reports/find-inspection-report/provider/ELS/144726 ","Ofsted School Webpage")</f>
        <v>Ofsted School Webpage</v>
      </c>
      <c r="B1026">
        <v>144726</v>
      </c>
      <c r="C1026">
        <v>9196008</v>
      </c>
      <c r="D1026" t="s">
        <v>821</v>
      </c>
      <c r="E1026" t="s">
        <v>38</v>
      </c>
      <c r="F1026" t="s">
        <v>184</v>
      </c>
      <c r="G1026" t="s">
        <v>184</v>
      </c>
      <c r="H1026" t="s">
        <v>2729</v>
      </c>
      <c r="I1026" t="s">
        <v>2730</v>
      </c>
      <c r="J1026" t="s">
        <v>186</v>
      </c>
      <c r="K1026" t="s">
        <v>220</v>
      </c>
      <c r="L1026" t="s">
        <v>220</v>
      </c>
      <c r="M1026" t="s">
        <v>822</v>
      </c>
      <c r="N1026" t="s">
        <v>823</v>
      </c>
      <c r="O1026" t="s">
        <v>2730</v>
      </c>
      <c r="P1026" s="120" t="s">
        <v>2730</v>
      </c>
      <c r="Q1026" s="120" t="s">
        <v>2730</v>
      </c>
      <c r="R1026" s="120" t="s">
        <v>2730</v>
      </c>
      <c r="S1026" t="s">
        <v>2730</v>
      </c>
      <c r="T1026" t="s">
        <v>2730</v>
      </c>
      <c r="U1026" t="s">
        <v>2730</v>
      </c>
      <c r="V1026" t="s">
        <v>2730</v>
      </c>
      <c r="W1026" t="s">
        <v>2730</v>
      </c>
      <c r="X1026" t="s">
        <v>2730</v>
      </c>
      <c r="Y1026" t="s">
        <v>2730</v>
      </c>
      <c r="Z1026" t="s">
        <v>2730</v>
      </c>
      <c r="AA1026" t="s">
        <v>2730</v>
      </c>
      <c r="AB1026" t="s">
        <v>2730</v>
      </c>
      <c r="AC1026" t="s">
        <v>2730</v>
      </c>
      <c r="AD1026" t="s">
        <v>2730</v>
      </c>
      <c r="AE1026" t="s">
        <v>2730</v>
      </c>
      <c r="AF1026" t="s">
        <v>2730</v>
      </c>
      <c r="AG1026" t="s">
        <v>2730</v>
      </c>
      <c r="AH1026" t="s">
        <v>2730</v>
      </c>
    </row>
    <row r="1027" spans="1:34">
      <c r="A1027" s="149" t="str">
        <f>HYPERLINK("http://www.ofsted.gov.uk/inspection-reports/find-inspection-report/provider/ELS/144727 ","Ofsted School Webpage")</f>
        <v>Ofsted School Webpage</v>
      </c>
      <c r="B1027">
        <v>144727</v>
      </c>
      <c r="C1027">
        <v>3026012</v>
      </c>
      <c r="D1027" t="s">
        <v>824</v>
      </c>
      <c r="E1027" t="s">
        <v>37</v>
      </c>
      <c r="F1027" t="s">
        <v>825</v>
      </c>
      <c r="G1027" t="s">
        <v>184</v>
      </c>
      <c r="H1027" t="s">
        <v>2729</v>
      </c>
      <c r="I1027" t="s">
        <v>2730</v>
      </c>
      <c r="J1027" t="s">
        <v>186</v>
      </c>
      <c r="K1027" t="s">
        <v>232</v>
      </c>
      <c r="L1027" t="s">
        <v>232</v>
      </c>
      <c r="M1027" t="s">
        <v>311</v>
      </c>
      <c r="N1027" t="s">
        <v>826</v>
      </c>
      <c r="O1027" t="s">
        <v>2730</v>
      </c>
      <c r="P1027" s="120" t="s">
        <v>2730</v>
      </c>
      <c r="Q1027" s="120" t="s">
        <v>2730</v>
      </c>
      <c r="R1027" s="120" t="s">
        <v>2730</v>
      </c>
      <c r="S1027" t="s">
        <v>2730</v>
      </c>
      <c r="T1027" t="s">
        <v>2730</v>
      </c>
      <c r="U1027" t="s">
        <v>2730</v>
      </c>
      <c r="V1027" t="s">
        <v>2730</v>
      </c>
      <c r="W1027" t="s">
        <v>2730</v>
      </c>
      <c r="X1027" t="s">
        <v>2730</v>
      </c>
      <c r="Y1027" t="s">
        <v>2730</v>
      </c>
      <c r="Z1027" t="s">
        <v>2730</v>
      </c>
      <c r="AA1027" t="s">
        <v>2730</v>
      </c>
      <c r="AB1027" t="s">
        <v>2730</v>
      </c>
      <c r="AC1027" t="s">
        <v>2730</v>
      </c>
      <c r="AD1027" t="s">
        <v>2730</v>
      </c>
      <c r="AE1027" t="s">
        <v>2730</v>
      </c>
      <c r="AF1027" t="s">
        <v>2730</v>
      </c>
      <c r="AG1027" t="s">
        <v>2730</v>
      </c>
      <c r="AH1027" t="s">
        <v>2730</v>
      </c>
    </row>
    <row r="1028" spans="1:34">
      <c r="A1028" s="149" t="str">
        <f>HYPERLINK("http://www.ofsted.gov.uk/inspection-reports/find-inspection-report/provider/ELS/138599 ","Ofsted School Webpage")</f>
        <v>Ofsted School Webpage</v>
      </c>
      <c r="B1028">
        <v>138599</v>
      </c>
      <c r="C1028">
        <v>2076001</v>
      </c>
      <c r="D1028" t="s">
        <v>2320</v>
      </c>
      <c r="E1028" t="s">
        <v>37</v>
      </c>
      <c r="F1028" t="s">
        <v>184</v>
      </c>
      <c r="G1028" t="s">
        <v>184</v>
      </c>
      <c r="H1028" t="s">
        <v>2729</v>
      </c>
      <c r="I1028" t="s">
        <v>2730</v>
      </c>
      <c r="J1028" t="s">
        <v>186</v>
      </c>
      <c r="K1028" t="s">
        <v>232</v>
      </c>
      <c r="L1028" t="s">
        <v>232</v>
      </c>
      <c r="M1028" t="s">
        <v>294</v>
      </c>
      <c r="N1028" t="s">
        <v>2321</v>
      </c>
      <c r="O1028">
        <v>10012784</v>
      </c>
      <c r="P1028" s="120">
        <v>42542</v>
      </c>
      <c r="Q1028" s="120">
        <v>42544</v>
      </c>
      <c r="R1028" s="120">
        <v>42613</v>
      </c>
      <c r="S1028" t="s">
        <v>196</v>
      </c>
      <c r="T1028">
        <v>2</v>
      </c>
      <c r="U1028" t="s">
        <v>128</v>
      </c>
      <c r="V1028">
        <v>2</v>
      </c>
      <c r="W1028">
        <v>1</v>
      </c>
      <c r="X1028">
        <v>2</v>
      </c>
      <c r="Y1028">
        <v>2</v>
      </c>
      <c r="Z1028">
        <v>2</v>
      </c>
      <c r="AA1028" t="s">
        <v>2730</v>
      </c>
      <c r="AB1028" t="s">
        <v>2732</v>
      </c>
      <c r="AC1028" t="s">
        <v>2730</v>
      </c>
      <c r="AD1028" t="s">
        <v>2730</v>
      </c>
      <c r="AE1028" t="s">
        <v>2730</v>
      </c>
      <c r="AF1028" t="s">
        <v>2730</v>
      </c>
      <c r="AG1028" t="s">
        <v>2730</v>
      </c>
      <c r="AH1028" t="s">
        <v>2730</v>
      </c>
    </row>
    <row r="1029" spans="1:34">
      <c r="A1029" s="149" t="str">
        <f>HYPERLINK("http://www.ofsted.gov.uk/inspection-reports/find-inspection-report/provider/ELS/138777 ","Ofsted School Webpage")</f>
        <v>Ofsted School Webpage</v>
      </c>
      <c r="B1029">
        <v>138777</v>
      </c>
      <c r="C1029">
        <v>2026002</v>
      </c>
      <c r="D1029" t="s">
        <v>2320</v>
      </c>
      <c r="E1029" t="s">
        <v>37</v>
      </c>
      <c r="F1029" t="s">
        <v>184</v>
      </c>
      <c r="G1029" t="s">
        <v>184</v>
      </c>
      <c r="H1029" t="s">
        <v>2729</v>
      </c>
      <c r="I1029" t="s">
        <v>2730</v>
      </c>
      <c r="J1029" t="s">
        <v>186</v>
      </c>
      <c r="K1029" t="s">
        <v>232</v>
      </c>
      <c r="L1029" t="s">
        <v>232</v>
      </c>
      <c r="M1029" t="s">
        <v>536</v>
      </c>
      <c r="N1029" t="s">
        <v>2322</v>
      </c>
      <c r="O1029">
        <v>10012786</v>
      </c>
      <c r="P1029" s="120">
        <v>43053</v>
      </c>
      <c r="Q1029" s="120">
        <v>43055</v>
      </c>
      <c r="R1029" s="120">
        <v>43089</v>
      </c>
      <c r="S1029" t="s">
        <v>196</v>
      </c>
      <c r="T1029">
        <v>2</v>
      </c>
      <c r="U1029" t="s">
        <v>128</v>
      </c>
      <c r="V1029">
        <v>2</v>
      </c>
      <c r="W1029">
        <v>2</v>
      </c>
      <c r="X1029">
        <v>2</v>
      </c>
      <c r="Y1029">
        <v>2</v>
      </c>
      <c r="Z1029">
        <v>2</v>
      </c>
      <c r="AA1029" t="s">
        <v>2730</v>
      </c>
      <c r="AB1029" t="s">
        <v>2732</v>
      </c>
      <c r="AC1029" t="s">
        <v>2730</v>
      </c>
      <c r="AD1029" t="s">
        <v>2730</v>
      </c>
      <c r="AE1029" s="120" t="s">
        <v>2730</v>
      </c>
      <c r="AF1029" t="s">
        <v>2730</v>
      </c>
      <c r="AG1029" s="120" t="s">
        <v>2730</v>
      </c>
      <c r="AH1029" t="s">
        <v>2730</v>
      </c>
    </row>
    <row r="1030" spans="1:34">
      <c r="A1030" s="149" t="str">
        <f>HYPERLINK("http://www.ofsted.gov.uk/inspection-reports/find-inspection-report/provider/ELS/100545 ","Ofsted School Webpage")</f>
        <v>Ofsted School Webpage</v>
      </c>
      <c r="B1030">
        <v>100545</v>
      </c>
      <c r="C1030">
        <v>2076387</v>
      </c>
      <c r="D1030" t="s">
        <v>2323</v>
      </c>
      <c r="E1030" t="s">
        <v>37</v>
      </c>
      <c r="F1030" t="s">
        <v>184</v>
      </c>
      <c r="G1030" t="s">
        <v>184</v>
      </c>
      <c r="H1030" t="s">
        <v>2729</v>
      </c>
      <c r="I1030" t="s">
        <v>2730</v>
      </c>
      <c r="J1030" t="s">
        <v>186</v>
      </c>
      <c r="K1030" t="s">
        <v>232</v>
      </c>
      <c r="L1030" t="s">
        <v>232</v>
      </c>
      <c r="M1030" t="s">
        <v>294</v>
      </c>
      <c r="N1030" t="s">
        <v>2324</v>
      </c>
      <c r="O1030" t="s">
        <v>2325</v>
      </c>
      <c r="P1030" s="120">
        <v>40500</v>
      </c>
      <c r="Q1030" s="120">
        <v>40500</v>
      </c>
      <c r="R1030" s="120">
        <v>40521</v>
      </c>
      <c r="S1030" t="s">
        <v>655</v>
      </c>
      <c r="T1030">
        <v>1</v>
      </c>
      <c r="U1030" t="s">
        <v>2730</v>
      </c>
      <c r="V1030" t="s">
        <v>2730</v>
      </c>
      <c r="W1030" t="s">
        <v>2730</v>
      </c>
      <c r="X1030">
        <v>2</v>
      </c>
      <c r="Y1030">
        <v>1</v>
      </c>
      <c r="Z1030">
        <v>2</v>
      </c>
      <c r="AA1030" t="s">
        <v>2730</v>
      </c>
      <c r="AB1030" t="s">
        <v>2730</v>
      </c>
      <c r="AC1030" t="s">
        <v>2730</v>
      </c>
      <c r="AD1030" t="s">
        <v>2730</v>
      </c>
      <c r="AE1030" t="s">
        <v>2730</v>
      </c>
      <c r="AF1030" t="s">
        <v>2730</v>
      </c>
      <c r="AG1030" t="s">
        <v>2730</v>
      </c>
      <c r="AH1030" t="s">
        <v>2730</v>
      </c>
    </row>
    <row r="1031" spans="1:34">
      <c r="A1031" s="149" t="str">
        <f>HYPERLINK("http://www.ofsted.gov.uk/inspection-reports/find-inspection-report/provider/ELS/136747 ","Ofsted School Webpage")</f>
        <v>Ofsted School Webpage</v>
      </c>
      <c r="B1031">
        <v>136747</v>
      </c>
      <c r="C1031">
        <v>2076000</v>
      </c>
      <c r="D1031" t="s">
        <v>1803</v>
      </c>
      <c r="E1031" t="s">
        <v>37</v>
      </c>
      <c r="F1031" t="s">
        <v>184</v>
      </c>
      <c r="G1031" t="s">
        <v>184</v>
      </c>
      <c r="H1031" t="s">
        <v>2729</v>
      </c>
      <c r="I1031" t="s">
        <v>2730</v>
      </c>
      <c r="J1031" t="s">
        <v>186</v>
      </c>
      <c r="K1031" t="s">
        <v>232</v>
      </c>
      <c r="L1031" t="s">
        <v>232</v>
      </c>
      <c r="M1031" t="s">
        <v>294</v>
      </c>
      <c r="N1031" t="s">
        <v>1804</v>
      </c>
      <c r="O1031">
        <v>10006122</v>
      </c>
      <c r="P1031" s="120">
        <v>42346</v>
      </c>
      <c r="Q1031" s="120">
        <v>42348</v>
      </c>
      <c r="R1031" s="120">
        <v>42383</v>
      </c>
      <c r="S1031" t="s">
        <v>196</v>
      </c>
      <c r="T1031">
        <v>2</v>
      </c>
      <c r="U1031" t="s">
        <v>128</v>
      </c>
      <c r="V1031">
        <v>2</v>
      </c>
      <c r="W1031">
        <v>2</v>
      </c>
      <c r="X1031">
        <v>2</v>
      </c>
      <c r="Y1031">
        <v>2</v>
      </c>
      <c r="Z1031">
        <v>2</v>
      </c>
      <c r="AA1031" t="s">
        <v>2730</v>
      </c>
      <c r="AB1031" t="s">
        <v>2732</v>
      </c>
      <c r="AC1031" t="s">
        <v>2730</v>
      </c>
      <c r="AD1031" t="s">
        <v>2730</v>
      </c>
      <c r="AE1031" t="s">
        <v>2730</v>
      </c>
      <c r="AF1031" t="s">
        <v>2730</v>
      </c>
      <c r="AG1031" t="s">
        <v>2730</v>
      </c>
      <c r="AH1031" t="s">
        <v>2730</v>
      </c>
    </row>
    <row r="1032" spans="1:34">
      <c r="A1032" s="149" t="str">
        <f>HYPERLINK("http://www.ofsted.gov.uk/inspection-reports/find-inspection-report/provider/ELS/100547 ","Ofsted School Webpage")</f>
        <v>Ofsted School Webpage</v>
      </c>
      <c r="B1032">
        <v>100547</v>
      </c>
      <c r="C1032">
        <v>2076391</v>
      </c>
      <c r="D1032" t="s">
        <v>2328</v>
      </c>
      <c r="E1032" t="s">
        <v>37</v>
      </c>
      <c r="F1032" t="s">
        <v>184</v>
      </c>
      <c r="G1032" t="s">
        <v>184</v>
      </c>
      <c r="H1032" t="s">
        <v>2729</v>
      </c>
      <c r="I1032" t="s">
        <v>2730</v>
      </c>
      <c r="J1032" t="s">
        <v>186</v>
      </c>
      <c r="K1032" t="s">
        <v>232</v>
      </c>
      <c r="L1032" t="s">
        <v>232</v>
      </c>
      <c r="M1032" t="s">
        <v>294</v>
      </c>
      <c r="N1032" t="s">
        <v>2329</v>
      </c>
      <c r="O1032" t="s">
        <v>2330</v>
      </c>
      <c r="P1032" s="120">
        <v>41241</v>
      </c>
      <c r="Q1032" s="120">
        <v>41242</v>
      </c>
      <c r="R1032" s="120">
        <v>41263</v>
      </c>
      <c r="S1032" t="s">
        <v>196</v>
      </c>
      <c r="T1032">
        <v>2</v>
      </c>
      <c r="U1032" t="s">
        <v>2730</v>
      </c>
      <c r="V1032" t="s">
        <v>2730</v>
      </c>
      <c r="W1032" t="s">
        <v>2730</v>
      </c>
      <c r="X1032">
        <v>2</v>
      </c>
      <c r="Y1032">
        <v>1</v>
      </c>
      <c r="Z1032">
        <v>8</v>
      </c>
      <c r="AA1032" t="s">
        <v>2730</v>
      </c>
      <c r="AB1032" t="s">
        <v>2730</v>
      </c>
      <c r="AC1032" t="s">
        <v>2730</v>
      </c>
      <c r="AD1032" t="s">
        <v>2730</v>
      </c>
      <c r="AE1032" t="s">
        <v>2730</v>
      </c>
      <c r="AF1032" t="s">
        <v>2730</v>
      </c>
      <c r="AG1032" t="s">
        <v>2730</v>
      </c>
      <c r="AH1032" t="s">
        <v>2730</v>
      </c>
    </row>
    <row r="1033" spans="1:34">
      <c r="A1033" s="149" t="str">
        <f>HYPERLINK("http://www.ofsted.gov.uk/inspection-reports/find-inspection-report/provider/ELS/134386 ","Ofsted School Webpage")</f>
        <v>Ofsted School Webpage</v>
      </c>
      <c r="B1033">
        <v>134386</v>
      </c>
      <c r="C1033">
        <v>3806115</v>
      </c>
      <c r="D1033" t="s">
        <v>2331</v>
      </c>
      <c r="E1033" t="s">
        <v>37</v>
      </c>
      <c r="F1033" t="s">
        <v>184</v>
      </c>
      <c r="G1033" t="s">
        <v>223</v>
      </c>
      <c r="H1033" t="s">
        <v>2729</v>
      </c>
      <c r="I1033" t="s">
        <v>2730</v>
      </c>
      <c r="J1033" t="s">
        <v>186</v>
      </c>
      <c r="K1033" t="s">
        <v>245</v>
      </c>
      <c r="L1033" t="s">
        <v>246</v>
      </c>
      <c r="M1033" t="s">
        <v>339</v>
      </c>
      <c r="N1033" t="s">
        <v>2332</v>
      </c>
      <c r="O1033">
        <v>10012814</v>
      </c>
      <c r="P1033" s="120">
        <v>42507</v>
      </c>
      <c r="Q1033" s="120">
        <v>42509</v>
      </c>
      <c r="R1033" s="120">
        <v>42545</v>
      </c>
      <c r="S1033" t="s">
        <v>196</v>
      </c>
      <c r="T1033">
        <v>2</v>
      </c>
      <c r="U1033" t="s">
        <v>128</v>
      </c>
      <c r="V1033">
        <v>2</v>
      </c>
      <c r="W1033">
        <v>2</v>
      </c>
      <c r="X1033">
        <v>2</v>
      </c>
      <c r="Y1033">
        <v>2</v>
      </c>
      <c r="Z1033" t="s">
        <v>2730</v>
      </c>
      <c r="AA1033" t="s">
        <v>2730</v>
      </c>
      <c r="AB1033" t="s">
        <v>2732</v>
      </c>
      <c r="AC1033" t="s">
        <v>2730</v>
      </c>
      <c r="AD1033" t="s">
        <v>2730</v>
      </c>
      <c r="AE1033" t="s">
        <v>2730</v>
      </c>
      <c r="AF1033" t="s">
        <v>2730</v>
      </c>
      <c r="AG1033" t="s">
        <v>2730</v>
      </c>
      <c r="AH1033" t="s">
        <v>2730</v>
      </c>
    </row>
    <row r="1034" spans="1:34">
      <c r="A1034" s="149" t="str">
        <f>HYPERLINK("http://www.ofsted.gov.uk/inspection-reports/find-inspection-report/provider/ELS/140624 ","Ofsted School Webpage")</f>
        <v>Ofsted School Webpage</v>
      </c>
      <c r="B1034">
        <v>140624</v>
      </c>
      <c r="C1034">
        <v>8516000</v>
      </c>
      <c r="D1034" t="s">
        <v>2333</v>
      </c>
      <c r="E1034" t="s">
        <v>37</v>
      </c>
      <c r="F1034" t="s">
        <v>184</v>
      </c>
      <c r="G1034" t="s">
        <v>223</v>
      </c>
      <c r="H1034" t="s">
        <v>2729</v>
      </c>
      <c r="I1034" t="s">
        <v>2730</v>
      </c>
      <c r="J1034" t="s">
        <v>186</v>
      </c>
      <c r="K1034" t="s">
        <v>181</v>
      </c>
      <c r="L1034" t="s">
        <v>181</v>
      </c>
      <c r="M1034" t="s">
        <v>2334</v>
      </c>
      <c r="N1034" t="s">
        <v>2335</v>
      </c>
      <c r="O1034">
        <v>10025993</v>
      </c>
      <c r="P1034" s="120">
        <v>42920</v>
      </c>
      <c r="Q1034" s="120">
        <v>42922</v>
      </c>
      <c r="R1034" s="120">
        <v>42996</v>
      </c>
      <c r="S1034" t="s">
        <v>196</v>
      </c>
      <c r="T1034">
        <v>3</v>
      </c>
      <c r="U1034" t="s">
        <v>128</v>
      </c>
      <c r="V1034">
        <v>3</v>
      </c>
      <c r="W1034">
        <v>2</v>
      </c>
      <c r="X1034">
        <v>3</v>
      </c>
      <c r="Y1034">
        <v>3</v>
      </c>
      <c r="Z1034" t="s">
        <v>2730</v>
      </c>
      <c r="AA1034" t="s">
        <v>2730</v>
      </c>
      <c r="AB1034" t="s">
        <v>2732</v>
      </c>
      <c r="AC1034" t="s">
        <v>2730</v>
      </c>
      <c r="AD1034" t="s">
        <v>2730</v>
      </c>
      <c r="AE1034" t="s">
        <v>2730</v>
      </c>
      <c r="AF1034" t="s">
        <v>2730</v>
      </c>
      <c r="AG1034" t="s">
        <v>2730</v>
      </c>
      <c r="AH1034" t="s">
        <v>2730</v>
      </c>
    </row>
    <row r="1035" spans="1:34">
      <c r="A1035" s="149" t="str">
        <f>HYPERLINK("http://www.ofsted.gov.uk/inspection-reports/find-inspection-report/provider/ELS/100982 ","Ofsted School Webpage")</f>
        <v>Ofsted School Webpage</v>
      </c>
      <c r="B1035">
        <v>100982</v>
      </c>
      <c r="C1035">
        <v>2116383</v>
      </c>
      <c r="D1035" t="s">
        <v>1809</v>
      </c>
      <c r="E1035" t="s">
        <v>37</v>
      </c>
      <c r="F1035" t="s">
        <v>184</v>
      </c>
      <c r="G1035" t="s">
        <v>223</v>
      </c>
      <c r="H1035" t="s">
        <v>2729</v>
      </c>
      <c r="I1035" t="s">
        <v>2730</v>
      </c>
      <c r="J1035" t="s">
        <v>186</v>
      </c>
      <c r="K1035" t="s">
        <v>232</v>
      </c>
      <c r="L1035" t="s">
        <v>232</v>
      </c>
      <c r="M1035" t="s">
        <v>539</v>
      </c>
      <c r="N1035" t="s">
        <v>1810</v>
      </c>
      <c r="O1035">
        <v>10026274</v>
      </c>
      <c r="P1035" s="120">
        <v>43053</v>
      </c>
      <c r="Q1035" s="120">
        <v>43055</v>
      </c>
      <c r="R1035" s="120">
        <v>43089</v>
      </c>
      <c r="S1035" t="s">
        <v>196</v>
      </c>
      <c r="T1035">
        <v>2</v>
      </c>
      <c r="U1035" t="s">
        <v>128</v>
      </c>
      <c r="V1035">
        <v>2</v>
      </c>
      <c r="W1035">
        <v>2</v>
      </c>
      <c r="X1035">
        <v>2</v>
      </c>
      <c r="Y1035">
        <v>2</v>
      </c>
      <c r="Z1035" t="s">
        <v>2730</v>
      </c>
      <c r="AA1035">
        <v>0</v>
      </c>
      <c r="AB1035" t="s">
        <v>2732</v>
      </c>
      <c r="AC1035" t="s">
        <v>2730</v>
      </c>
      <c r="AD1035" t="s">
        <v>2730</v>
      </c>
      <c r="AE1035" t="s">
        <v>2730</v>
      </c>
      <c r="AF1035" t="s">
        <v>2730</v>
      </c>
      <c r="AG1035" t="s">
        <v>2730</v>
      </c>
      <c r="AH1035" t="s">
        <v>2730</v>
      </c>
    </row>
    <row r="1036" spans="1:34">
      <c r="A1036" s="149" t="str">
        <f>HYPERLINK("http://www.ofsted.gov.uk/inspection-reports/find-inspection-report/provider/ELS/101065 ","Ofsted School Webpage")</f>
        <v>Ofsted School Webpage</v>
      </c>
      <c r="B1036">
        <v>101065</v>
      </c>
      <c r="C1036">
        <v>2126144</v>
      </c>
      <c r="D1036" t="s">
        <v>494</v>
      </c>
      <c r="E1036" t="s">
        <v>37</v>
      </c>
      <c r="F1036" t="s">
        <v>184</v>
      </c>
      <c r="G1036" t="s">
        <v>184</v>
      </c>
      <c r="H1036" t="s">
        <v>2729</v>
      </c>
      <c r="I1036" t="s">
        <v>2730</v>
      </c>
      <c r="J1036" t="s">
        <v>186</v>
      </c>
      <c r="K1036" t="s">
        <v>232</v>
      </c>
      <c r="L1036" t="s">
        <v>232</v>
      </c>
      <c r="M1036" t="s">
        <v>435</v>
      </c>
      <c r="N1036" t="s">
        <v>495</v>
      </c>
      <c r="O1036">
        <v>10008537</v>
      </c>
      <c r="P1036" s="120">
        <v>43046</v>
      </c>
      <c r="Q1036" s="120">
        <v>43048</v>
      </c>
      <c r="R1036" s="120">
        <v>43066</v>
      </c>
      <c r="S1036" t="s">
        <v>196</v>
      </c>
      <c r="T1036">
        <v>1</v>
      </c>
      <c r="U1036" t="s">
        <v>128</v>
      </c>
      <c r="V1036">
        <v>1</v>
      </c>
      <c r="W1036">
        <v>1</v>
      </c>
      <c r="X1036">
        <v>1</v>
      </c>
      <c r="Y1036">
        <v>1</v>
      </c>
      <c r="Z1036">
        <v>1</v>
      </c>
      <c r="AA1036" t="s">
        <v>2730</v>
      </c>
      <c r="AB1036" t="s">
        <v>2732</v>
      </c>
      <c r="AC1036" t="s">
        <v>2730</v>
      </c>
      <c r="AD1036" t="s">
        <v>2730</v>
      </c>
      <c r="AE1036" t="s">
        <v>2730</v>
      </c>
      <c r="AF1036" t="s">
        <v>2730</v>
      </c>
      <c r="AG1036" t="s">
        <v>2730</v>
      </c>
      <c r="AH1036" t="s">
        <v>2730</v>
      </c>
    </row>
    <row r="1037" spans="1:34">
      <c r="A1037" s="149" t="str">
        <f>HYPERLINK("http://www.ofsted.gov.uk/inspection-reports/find-inspection-report/provider/ELS/131158 ","Ofsted School Webpage")</f>
        <v>Ofsted School Webpage</v>
      </c>
      <c r="B1037">
        <v>131158</v>
      </c>
      <c r="C1037">
        <v>3816012</v>
      </c>
      <c r="D1037" t="s">
        <v>2127</v>
      </c>
      <c r="E1037" t="s">
        <v>37</v>
      </c>
      <c r="F1037" t="s">
        <v>184</v>
      </c>
      <c r="G1037" t="s">
        <v>184</v>
      </c>
      <c r="H1037" t="s">
        <v>2729</v>
      </c>
      <c r="I1037" t="s">
        <v>2730</v>
      </c>
      <c r="J1037" t="s">
        <v>186</v>
      </c>
      <c r="K1037" t="s">
        <v>245</v>
      </c>
      <c r="L1037" t="s">
        <v>246</v>
      </c>
      <c r="M1037" t="s">
        <v>1376</v>
      </c>
      <c r="N1037" t="s">
        <v>2128</v>
      </c>
      <c r="O1037">
        <v>10025952</v>
      </c>
      <c r="P1037" s="120">
        <v>42815</v>
      </c>
      <c r="Q1037" s="120">
        <v>42817</v>
      </c>
      <c r="R1037" s="120">
        <v>42858</v>
      </c>
      <c r="S1037" t="s">
        <v>196</v>
      </c>
      <c r="T1037">
        <v>1</v>
      </c>
      <c r="U1037" t="s">
        <v>128</v>
      </c>
      <c r="V1037">
        <v>1</v>
      </c>
      <c r="W1037">
        <v>1</v>
      </c>
      <c r="X1037">
        <v>1</v>
      </c>
      <c r="Y1037">
        <v>1</v>
      </c>
      <c r="Z1037">
        <v>1</v>
      </c>
      <c r="AA1037" t="s">
        <v>2730</v>
      </c>
      <c r="AB1037" t="s">
        <v>2732</v>
      </c>
      <c r="AC1037" t="s">
        <v>2730</v>
      </c>
      <c r="AD1037" t="s">
        <v>2730</v>
      </c>
      <c r="AE1037" t="s">
        <v>2730</v>
      </c>
      <c r="AF1037" t="s">
        <v>2730</v>
      </c>
      <c r="AG1037" t="s">
        <v>2730</v>
      </c>
      <c r="AH1037" t="s">
        <v>2730</v>
      </c>
    </row>
    <row r="1038" spans="1:34">
      <c r="A1038" s="149" t="str">
        <f>HYPERLINK("http://www.ofsted.gov.uk/inspection-reports/find-inspection-report/provider/ELS/125789 ","Ofsted School Webpage")</f>
        <v>Ofsted School Webpage</v>
      </c>
      <c r="B1038">
        <v>125789</v>
      </c>
      <c r="C1038">
        <v>9376091</v>
      </c>
      <c r="D1038" t="s">
        <v>2129</v>
      </c>
      <c r="E1038" t="s">
        <v>37</v>
      </c>
      <c r="F1038" t="s">
        <v>184</v>
      </c>
      <c r="G1038" t="s">
        <v>184</v>
      </c>
      <c r="H1038" t="s">
        <v>2729</v>
      </c>
      <c r="I1038" t="s">
        <v>2730</v>
      </c>
      <c r="J1038" t="s">
        <v>186</v>
      </c>
      <c r="K1038" t="s">
        <v>193</v>
      </c>
      <c r="L1038" t="s">
        <v>193</v>
      </c>
      <c r="M1038" t="s">
        <v>377</v>
      </c>
      <c r="N1038" t="s">
        <v>2130</v>
      </c>
      <c r="O1038">
        <v>10033565</v>
      </c>
      <c r="P1038" s="120">
        <v>42920</v>
      </c>
      <c r="Q1038" s="120">
        <v>42922</v>
      </c>
      <c r="R1038" s="120">
        <v>42996</v>
      </c>
      <c r="S1038" t="s">
        <v>196</v>
      </c>
      <c r="T1038">
        <v>4</v>
      </c>
      <c r="U1038" t="s">
        <v>129</v>
      </c>
      <c r="V1038">
        <v>4</v>
      </c>
      <c r="W1038">
        <v>4</v>
      </c>
      <c r="X1038">
        <v>3</v>
      </c>
      <c r="Y1038">
        <v>3</v>
      </c>
      <c r="Z1038">
        <v>4</v>
      </c>
      <c r="AA1038" t="s">
        <v>2730</v>
      </c>
      <c r="AB1038" t="s">
        <v>2733</v>
      </c>
      <c r="AC1038" t="s">
        <v>2730</v>
      </c>
      <c r="AD1038" t="s">
        <v>2730</v>
      </c>
      <c r="AE1038" t="s">
        <v>2730</v>
      </c>
      <c r="AF1038" t="s">
        <v>2730</v>
      </c>
      <c r="AG1038" t="s">
        <v>2730</v>
      </c>
      <c r="AH1038" t="s">
        <v>2730</v>
      </c>
    </row>
    <row r="1039" spans="1:34">
      <c r="A1039" s="149" t="str">
        <f>HYPERLINK("http://www.ofsted.gov.uk/inspection-reports/find-inspection-report/provider/ELS/105585 ","Ofsted School Webpage")</f>
        <v>Ofsted School Webpage</v>
      </c>
      <c r="B1039">
        <v>105585</v>
      </c>
      <c r="C1039">
        <v>3526001</v>
      </c>
      <c r="D1039" t="s">
        <v>2131</v>
      </c>
      <c r="E1039" t="s">
        <v>37</v>
      </c>
      <c r="F1039" t="s">
        <v>184</v>
      </c>
      <c r="G1039" t="s">
        <v>212</v>
      </c>
      <c r="H1039" t="s">
        <v>2729</v>
      </c>
      <c r="I1039" t="s">
        <v>2730</v>
      </c>
      <c r="J1039" t="s">
        <v>186</v>
      </c>
      <c r="K1039" t="s">
        <v>205</v>
      </c>
      <c r="L1039" t="s">
        <v>205</v>
      </c>
      <c r="M1039" t="s">
        <v>306</v>
      </c>
      <c r="N1039" t="s">
        <v>2132</v>
      </c>
      <c r="O1039" t="s">
        <v>2730</v>
      </c>
      <c r="P1039" s="120" t="s">
        <v>2730</v>
      </c>
      <c r="Q1039" s="120" t="s">
        <v>2730</v>
      </c>
      <c r="R1039" s="120" t="s">
        <v>2730</v>
      </c>
      <c r="S1039" t="s">
        <v>2730</v>
      </c>
      <c r="T1039" t="s">
        <v>2730</v>
      </c>
      <c r="U1039" t="s">
        <v>2730</v>
      </c>
      <c r="V1039" t="s">
        <v>2730</v>
      </c>
      <c r="W1039" t="s">
        <v>2730</v>
      </c>
      <c r="X1039" t="s">
        <v>2730</v>
      </c>
      <c r="Y1039" t="s">
        <v>2730</v>
      </c>
      <c r="Z1039" t="s">
        <v>2730</v>
      </c>
      <c r="AA1039" t="s">
        <v>2730</v>
      </c>
      <c r="AB1039" t="s">
        <v>2730</v>
      </c>
      <c r="AC1039" t="s">
        <v>2730</v>
      </c>
      <c r="AD1039" t="s">
        <v>2730</v>
      </c>
      <c r="AE1039" t="s">
        <v>2730</v>
      </c>
      <c r="AF1039" t="s">
        <v>2730</v>
      </c>
      <c r="AG1039" t="s">
        <v>2730</v>
      </c>
      <c r="AH1039" t="s">
        <v>2730</v>
      </c>
    </row>
    <row r="1040" spans="1:34">
      <c r="A1040" s="149" t="str">
        <f>HYPERLINK("http://www.ofsted.gov.uk/inspection-reports/find-inspection-report/provider/ELS/113617 ","Ofsted School Webpage")</f>
        <v>Ofsted School Webpage</v>
      </c>
      <c r="B1040">
        <v>113617</v>
      </c>
      <c r="C1040">
        <v>8786040</v>
      </c>
      <c r="D1040" t="s">
        <v>2140</v>
      </c>
      <c r="E1040" t="s">
        <v>37</v>
      </c>
      <c r="F1040" t="s">
        <v>184</v>
      </c>
      <c r="G1040" t="s">
        <v>184</v>
      </c>
      <c r="H1040" t="s">
        <v>2729</v>
      </c>
      <c r="I1040" t="s">
        <v>2730</v>
      </c>
      <c r="J1040" t="s">
        <v>186</v>
      </c>
      <c r="K1040" t="s">
        <v>225</v>
      </c>
      <c r="L1040" t="s">
        <v>225</v>
      </c>
      <c r="M1040" t="s">
        <v>367</v>
      </c>
      <c r="N1040" t="s">
        <v>2141</v>
      </c>
      <c r="O1040">
        <v>10008562</v>
      </c>
      <c r="P1040" s="120">
        <v>42500</v>
      </c>
      <c r="Q1040" s="120">
        <v>42502</v>
      </c>
      <c r="R1040" s="120">
        <v>42542</v>
      </c>
      <c r="S1040" t="s">
        <v>196</v>
      </c>
      <c r="T1040">
        <v>2</v>
      </c>
      <c r="U1040" t="s">
        <v>128</v>
      </c>
      <c r="V1040">
        <v>2</v>
      </c>
      <c r="W1040">
        <v>2</v>
      </c>
      <c r="X1040">
        <v>2</v>
      </c>
      <c r="Y1040">
        <v>2</v>
      </c>
      <c r="Z1040">
        <v>2</v>
      </c>
      <c r="AA1040" t="s">
        <v>2730</v>
      </c>
      <c r="AB1040" t="s">
        <v>2732</v>
      </c>
      <c r="AC1040" t="s">
        <v>2730</v>
      </c>
      <c r="AD1040" t="s">
        <v>2730</v>
      </c>
      <c r="AE1040" t="s">
        <v>2730</v>
      </c>
      <c r="AF1040" t="s">
        <v>2730</v>
      </c>
      <c r="AG1040" t="s">
        <v>2730</v>
      </c>
      <c r="AH1040" t="s">
        <v>2730</v>
      </c>
    </row>
    <row r="1041" spans="1:34">
      <c r="A1041" s="149" t="str">
        <f>HYPERLINK("http://www.ofsted.gov.uk/inspection-reports/find-inspection-report/provider/ELS/135764 ","Ofsted School Webpage")</f>
        <v>Ofsted School Webpage</v>
      </c>
      <c r="B1041">
        <v>135764</v>
      </c>
      <c r="C1041">
        <v>2056000</v>
      </c>
      <c r="D1041" t="s">
        <v>3107</v>
      </c>
      <c r="E1041" t="s">
        <v>37</v>
      </c>
      <c r="F1041" t="s">
        <v>184</v>
      </c>
      <c r="G1041" t="s">
        <v>184</v>
      </c>
      <c r="H1041" t="s">
        <v>2729</v>
      </c>
      <c r="I1041" t="s">
        <v>2730</v>
      </c>
      <c r="J1041" t="s">
        <v>186</v>
      </c>
      <c r="K1041" t="s">
        <v>232</v>
      </c>
      <c r="L1041" t="s">
        <v>232</v>
      </c>
      <c r="M1041" t="s">
        <v>300</v>
      </c>
      <c r="N1041" t="s">
        <v>2068</v>
      </c>
      <c r="O1041" t="s">
        <v>2069</v>
      </c>
      <c r="P1041" s="120">
        <v>41338</v>
      </c>
      <c r="Q1041" s="120">
        <v>41340</v>
      </c>
      <c r="R1041" s="120">
        <v>41361</v>
      </c>
      <c r="S1041" t="s">
        <v>196</v>
      </c>
      <c r="T1041">
        <v>2</v>
      </c>
      <c r="U1041" t="s">
        <v>2730</v>
      </c>
      <c r="V1041">
        <v>2</v>
      </c>
      <c r="W1041" t="s">
        <v>2730</v>
      </c>
      <c r="X1041">
        <v>2</v>
      </c>
      <c r="Y1041">
        <v>2</v>
      </c>
      <c r="Z1041" t="s">
        <v>2730</v>
      </c>
      <c r="AA1041" t="s">
        <v>2730</v>
      </c>
      <c r="AB1041" t="s">
        <v>2730</v>
      </c>
      <c r="AC1041" t="s">
        <v>2730</v>
      </c>
      <c r="AD1041" t="s">
        <v>2730</v>
      </c>
      <c r="AE1041" t="s">
        <v>2730</v>
      </c>
      <c r="AF1041" t="s">
        <v>2730</v>
      </c>
      <c r="AG1041" t="s">
        <v>2730</v>
      </c>
      <c r="AH1041" t="s">
        <v>2730</v>
      </c>
    </row>
    <row r="1042" spans="1:34">
      <c r="A1042" s="149" t="str">
        <f>HYPERLINK("http://www.ofsted.gov.uk/inspection-reports/find-inspection-report/provider/ELS/122933 ","Ofsted School Webpage")</f>
        <v>Ofsted School Webpage</v>
      </c>
      <c r="B1042">
        <v>122933</v>
      </c>
      <c r="C1042">
        <v>8916015</v>
      </c>
      <c r="D1042" t="s">
        <v>2070</v>
      </c>
      <c r="E1042" t="s">
        <v>37</v>
      </c>
      <c r="F1042" t="s">
        <v>184</v>
      </c>
      <c r="G1042" t="s">
        <v>184</v>
      </c>
      <c r="H1042" t="s">
        <v>2729</v>
      </c>
      <c r="I1042" t="s">
        <v>2730</v>
      </c>
      <c r="J1042" t="s">
        <v>186</v>
      </c>
      <c r="K1042" t="s">
        <v>214</v>
      </c>
      <c r="L1042" t="s">
        <v>214</v>
      </c>
      <c r="M1042" t="s">
        <v>320</v>
      </c>
      <c r="N1042" t="s">
        <v>2071</v>
      </c>
      <c r="O1042">
        <v>10033529</v>
      </c>
      <c r="P1042" s="120">
        <v>43046</v>
      </c>
      <c r="Q1042" s="120">
        <v>43048</v>
      </c>
      <c r="R1042" s="120">
        <v>43080</v>
      </c>
      <c r="S1042" t="s">
        <v>196</v>
      </c>
      <c r="T1042">
        <v>2</v>
      </c>
      <c r="U1042" t="s">
        <v>128</v>
      </c>
      <c r="V1042">
        <v>2</v>
      </c>
      <c r="W1042">
        <v>1</v>
      </c>
      <c r="X1042">
        <v>2</v>
      </c>
      <c r="Y1042">
        <v>2</v>
      </c>
      <c r="Z1042">
        <v>2</v>
      </c>
      <c r="AA1042" t="s">
        <v>2730</v>
      </c>
      <c r="AB1042" t="s">
        <v>2732</v>
      </c>
      <c r="AC1042" t="s">
        <v>2730</v>
      </c>
      <c r="AD1042" t="s">
        <v>2730</v>
      </c>
      <c r="AE1042" t="s">
        <v>2730</v>
      </c>
      <c r="AF1042" t="s">
        <v>2730</v>
      </c>
      <c r="AG1042" t="s">
        <v>2730</v>
      </c>
      <c r="AH1042" t="s">
        <v>2730</v>
      </c>
    </row>
    <row r="1043" spans="1:34">
      <c r="A1043" s="149" t="str">
        <f>HYPERLINK("http://www.ofsted.gov.uk/inspection-reports/find-inspection-report/provider/ELS/139779 ","Ofsted School Webpage")</f>
        <v>Ofsted School Webpage</v>
      </c>
      <c r="B1043">
        <v>139779</v>
      </c>
      <c r="C1043">
        <v>9316012</v>
      </c>
      <c r="D1043" t="s">
        <v>374</v>
      </c>
      <c r="E1043" t="s">
        <v>37</v>
      </c>
      <c r="F1043" t="s">
        <v>184</v>
      </c>
      <c r="G1043" t="s">
        <v>184</v>
      </c>
      <c r="H1043" t="s">
        <v>2729</v>
      </c>
      <c r="I1043" t="s">
        <v>2730</v>
      </c>
      <c r="J1043" t="s">
        <v>186</v>
      </c>
      <c r="K1043" t="s">
        <v>181</v>
      </c>
      <c r="L1043" t="s">
        <v>181</v>
      </c>
      <c r="M1043" t="s">
        <v>242</v>
      </c>
      <c r="N1043" t="s">
        <v>375</v>
      </c>
      <c r="O1043">
        <v>10039166</v>
      </c>
      <c r="P1043" s="120">
        <v>42990</v>
      </c>
      <c r="Q1043" s="120">
        <v>42992</v>
      </c>
      <c r="R1043" s="120">
        <v>43018</v>
      </c>
      <c r="S1043" t="s">
        <v>196</v>
      </c>
      <c r="T1043">
        <v>2</v>
      </c>
      <c r="U1043" t="s">
        <v>128</v>
      </c>
      <c r="V1043">
        <v>2</v>
      </c>
      <c r="W1043">
        <v>2</v>
      </c>
      <c r="X1043">
        <v>2</v>
      </c>
      <c r="Y1043">
        <v>2</v>
      </c>
      <c r="Z1043" t="s">
        <v>2730</v>
      </c>
      <c r="AA1043" t="s">
        <v>2730</v>
      </c>
      <c r="AB1043" t="s">
        <v>2732</v>
      </c>
      <c r="AC1043" t="s">
        <v>2730</v>
      </c>
      <c r="AD1043" t="s">
        <v>2730</v>
      </c>
      <c r="AE1043" t="s">
        <v>2730</v>
      </c>
      <c r="AF1043" t="s">
        <v>2730</v>
      </c>
      <c r="AG1043" t="s">
        <v>2730</v>
      </c>
      <c r="AH1043" t="s">
        <v>2730</v>
      </c>
    </row>
    <row r="1044" spans="1:34">
      <c r="A1044" s="149" t="str">
        <f>HYPERLINK("http://www.ofsted.gov.uk/inspection-reports/find-inspection-report/provider/ELS/104267 ","Ofsted School Webpage")</f>
        <v>Ofsted School Webpage</v>
      </c>
      <c r="B1044">
        <v>104267</v>
      </c>
      <c r="C1044">
        <v>3356008</v>
      </c>
      <c r="D1044" t="s">
        <v>2072</v>
      </c>
      <c r="E1044" t="s">
        <v>37</v>
      </c>
      <c r="F1044" t="s">
        <v>184</v>
      </c>
      <c r="G1044" t="s">
        <v>223</v>
      </c>
      <c r="H1044" t="s">
        <v>2729</v>
      </c>
      <c r="I1044" t="s">
        <v>2730</v>
      </c>
      <c r="J1044" t="s">
        <v>186</v>
      </c>
      <c r="K1044" t="s">
        <v>193</v>
      </c>
      <c r="L1044" t="s">
        <v>193</v>
      </c>
      <c r="M1044" t="s">
        <v>1531</v>
      </c>
      <c r="N1044" t="s">
        <v>2073</v>
      </c>
      <c r="O1044">
        <v>10007690</v>
      </c>
      <c r="P1044" s="120">
        <v>42276</v>
      </c>
      <c r="Q1044" s="120">
        <v>42278</v>
      </c>
      <c r="R1044" s="120">
        <v>42326</v>
      </c>
      <c r="S1044" t="s">
        <v>196</v>
      </c>
      <c r="T1044">
        <v>4</v>
      </c>
      <c r="U1044" t="s">
        <v>129</v>
      </c>
      <c r="V1044">
        <v>4</v>
      </c>
      <c r="W1044">
        <v>4</v>
      </c>
      <c r="X1044">
        <v>4</v>
      </c>
      <c r="Y1044">
        <v>4</v>
      </c>
      <c r="Z1044">
        <v>4</v>
      </c>
      <c r="AA1044" t="s">
        <v>2730</v>
      </c>
      <c r="AB1044" t="s">
        <v>2733</v>
      </c>
      <c r="AC1044">
        <v>10025654</v>
      </c>
      <c r="AD1044" t="s">
        <v>187</v>
      </c>
      <c r="AE1044" s="120">
        <v>42661</v>
      </c>
      <c r="AF1044" t="s">
        <v>2769</v>
      </c>
      <c r="AG1044" s="120">
        <v>42705</v>
      </c>
      <c r="AH1044" t="s">
        <v>189</v>
      </c>
    </row>
    <row r="1045" spans="1:34">
      <c r="A1045" s="149" t="str">
        <f>HYPERLINK("http://www.ofsted.gov.uk/inspection-reports/find-inspection-report/provider/ELS/137560 ","Ofsted School Webpage")</f>
        <v>Ofsted School Webpage</v>
      </c>
      <c r="B1045">
        <v>137560</v>
      </c>
      <c r="C1045">
        <v>3306009</v>
      </c>
      <c r="D1045" t="s">
        <v>2398</v>
      </c>
      <c r="E1045" t="s">
        <v>37</v>
      </c>
      <c r="F1045" t="s">
        <v>184</v>
      </c>
      <c r="G1045" t="s">
        <v>223</v>
      </c>
      <c r="H1045" t="s">
        <v>2729</v>
      </c>
      <c r="I1045" t="s">
        <v>2730</v>
      </c>
      <c r="J1045" t="s">
        <v>186</v>
      </c>
      <c r="K1045" t="s">
        <v>193</v>
      </c>
      <c r="L1045" t="s">
        <v>193</v>
      </c>
      <c r="M1045" t="s">
        <v>210</v>
      </c>
      <c r="N1045" t="s">
        <v>2399</v>
      </c>
      <c r="O1045">
        <v>10034669</v>
      </c>
      <c r="P1045" s="120">
        <v>42865</v>
      </c>
      <c r="Q1045" s="120">
        <v>42867</v>
      </c>
      <c r="R1045" s="120">
        <v>42990</v>
      </c>
      <c r="S1045" t="s">
        <v>196</v>
      </c>
      <c r="T1045">
        <v>4</v>
      </c>
      <c r="U1045" t="s">
        <v>129</v>
      </c>
      <c r="V1045">
        <v>4</v>
      </c>
      <c r="W1045">
        <v>3</v>
      </c>
      <c r="X1045">
        <v>2</v>
      </c>
      <c r="Y1045">
        <v>2</v>
      </c>
      <c r="Z1045" t="s">
        <v>2730</v>
      </c>
      <c r="AA1045" t="s">
        <v>2730</v>
      </c>
      <c r="AB1045" t="s">
        <v>2733</v>
      </c>
      <c r="AC1045" t="s">
        <v>2730</v>
      </c>
      <c r="AD1045" t="s">
        <v>2730</v>
      </c>
      <c r="AE1045" t="s">
        <v>2730</v>
      </c>
      <c r="AF1045" t="s">
        <v>2730</v>
      </c>
      <c r="AG1045" t="s">
        <v>2730</v>
      </c>
      <c r="AH1045" t="s">
        <v>2730</v>
      </c>
    </row>
    <row r="1046" spans="1:34">
      <c r="A1046" s="149" t="str">
        <f>HYPERLINK("http://www.ofsted.gov.uk/inspection-reports/find-inspection-report/provider/ELS/101838 ","Ofsted School Webpage")</f>
        <v>Ofsted School Webpage</v>
      </c>
      <c r="B1046">
        <v>101838</v>
      </c>
      <c r="C1046">
        <v>3066063</v>
      </c>
      <c r="D1046" t="s">
        <v>2400</v>
      </c>
      <c r="E1046" t="s">
        <v>37</v>
      </c>
      <c r="F1046" t="s">
        <v>184</v>
      </c>
      <c r="G1046" t="s">
        <v>212</v>
      </c>
      <c r="H1046" t="s">
        <v>2729</v>
      </c>
      <c r="I1046" t="s">
        <v>2730</v>
      </c>
      <c r="J1046" t="s">
        <v>186</v>
      </c>
      <c r="K1046" t="s">
        <v>232</v>
      </c>
      <c r="L1046" t="s">
        <v>232</v>
      </c>
      <c r="M1046" t="s">
        <v>723</v>
      </c>
      <c r="N1046" t="s">
        <v>2401</v>
      </c>
      <c r="O1046" t="s">
        <v>2402</v>
      </c>
      <c r="P1046" s="120">
        <v>41954</v>
      </c>
      <c r="Q1046" s="120">
        <v>41956</v>
      </c>
      <c r="R1046" s="120">
        <v>41977</v>
      </c>
      <c r="S1046" t="s">
        <v>196</v>
      </c>
      <c r="T1046">
        <v>2</v>
      </c>
      <c r="U1046" t="s">
        <v>2730</v>
      </c>
      <c r="V1046">
        <v>2</v>
      </c>
      <c r="W1046" t="s">
        <v>2730</v>
      </c>
      <c r="X1046">
        <v>2</v>
      </c>
      <c r="Y1046">
        <v>2</v>
      </c>
      <c r="Z1046">
        <v>2</v>
      </c>
      <c r="AA1046">
        <v>9</v>
      </c>
      <c r="AB1046" t="s">
        <v>2730</v>
      </c>
      <c r="AC1046" t="s">
        <v>2730</v>
      </c>
      <c r="AD1046" t="s">
        <v>2730</v>
      </c>
      <c r="AE1046" t="s">
        <v>2730</v>
      </c>
      <c r="AF1046" t="s">
        <v>2730</v>
      </c>
      <c r="AG1046" t="s">
        <v>2730</v>
      </c>
      <c r="AH1046" t="s">
        <v>2730</v>
      </c>
    </row>
    <row r="1047" spans="1:34">
      <c r="A1047" s="149" t="str">
        <f>HYPERLINK("http://www.ofsted.gov.uk/inspection-reports/find-inspection-report/provider/ELS/134402 ","Ofsted School Webpage")</f>
        <v>Ofsted School Webpage</v>
      </c>
      <c r="B1047">
        <v>134402</v>
      </c>
      <c r="C1047">
        <v>2036300</v>
      </c>
      <c r="D1047" t="s">
        <v>2403</v>
      </c>
      <c r="E1047" t="s">
        <v>37</v>
      </c>
      <c r="F1047" t="s">
        <v>184</v>
      </c>
      <c r="G1047" t="s">
        <v>184</v>
      </c>
      <c r="H1047" t="s">
        <v>2729</v>
      </c>
      <c r="I1047" t="s">
        <v>2730</v>
      </c>
      <c r="J1047" t="s">
        <v>186</v>
      </c>
      <c r="K1047" t="s">
        <v>232</v>
      </c>
      <c r="L1047" t="s">
        <v>232</v>
      </c>
      <c r="M1047" t="s">
        <v>482</v>
      </c>
      <c r="N1047" t="s">
        <v>2404</v>
      </c>
      <c r="O1047" t="s">
        <v>2405</v>
      </c>
      <c r="P1047" s="120">
        <v>41716</v>
      </c>
      <c r="Q1047" s="120">
        <v>41718</v>
      </c>
      <c r="R1047" s="120">
        <v>41754</v>
      </c>
      <c r="S1047" t="s">
        <v>196</v>
      </c>
      <c r="T1047">
        <v>2</v>
      </c>
      <c r="U1047" t="s">
        <v>2730</v>
      </c>
      <c r="V1047">
        <v>2</v>
      </c>
      <c r="W1047" t="s">
        <v>2730</v>
      </c>
      <c r="X1047">
        <v>2</v>
      </c>
      <c r="Y1047">
        <v>2</v>
      </c>
      <c r="Z1047" t="s">
        <v>2730</v>
      </c>
      <c r="AA1047" t="s">
        <v>2730</v>
      </c>
      <c r="AB1047" t="s">
        <v>2730</v>
      </c>
      <c r="AC1047" t="s">
        <v>2730</v>
      </c>
      <c r="AD1047" t="s">
        <v>2730</v>
      </c>
      <c r="AE1047" t="s">
        <v>2730</v>
      </c>
      <c r="AF1047" t="s">
        <v>2730</v>
      </c>
      <c r="AG1047" t="s">
        <v>2730</v>
      </c>
      <c r="AH1047" t="s">
        <v>2730</v>
      </c>
    </row>
    <row r="1048" spans="1:34">
      <c r="A1048" s="149" t="str">
        <f>HYPERLINK("http://www.ofsted.gov.uk/inspection-reports/find-inspection-report/provider/ELS/126132 ","Ofsted School Webpage")</f>
        <v>Ofsted School Webpage</v>
      </c>
      <c r="B1048">
        <v>126132</v>
      </c>
      <c r="C1048">
        <v>9386188</v>
      </c>
      <c r="D1048" t="s">
        <v>2406</v>
      </c>
      <c r="E1048" t="s">
        <v>37</v>
      </c>
      <c r="F1048" t="s">
        <v>2407</v>
      </c>
      <c r="G1048" t="s">
        <v>292</v>
      </c>
      <c r="H1048" t="s">
        <v>2729</v>
      </c>
      <c r="I1048" t="s">
        <v>2730</v>
      </c>
      <c r="J1048" t="s">
        <v>186</v>
      </c>
      <c r="K1048" t="s">
        <v>181</v>
      </c>
      <c r="L1048" t="s">
        <v>181</v>
      </c>
      <c r="M1048" t="s">
        <v>395</v>
      </c>
      <c r="N1048" t="s">
        <v>2408</v>
      </c>
      <c r="O1048" t="s">
        <v>2409</v>
      </c>
      <c r="P1048" s="120">
        <v>41766</v>
      </c>
      <c r="Q1048" s="120">
        <v>41768</v>
      </c>
      <c r="R1048" s="120">
        <v>41786</v>
      </c>
      <c r="S1048" t="s">
        <v>196</v>
      </c>
      <c r="T1048">
        <v>2</v>
      </c>
      <c r="U1048" t="s">
        <v>2730</v>
      </c>
      <c r="V1048">
        <v>2</v>
      </c>
      <c r="W1048" t="s">
        <v>2730</v>
      </c>
      <c r="X1048">
        <v>2</v>
      </c>
      <c r="Y1048">
        <v>2</v>
      </c>
      <c r="Z1048" t="s">
        <v>2730</v>
      </c>
      <c r="AA1048" t="s">
        <v>2730</v>
      </c>
      <c r="AB1048" t="s">
        <v>2730</v>
      </c>
      <c r="AC1048" t="s">
        <v>2730</v>
      </c>
      <c r="AD1048" t="s">
        <v>2730</v>
      </c>
      <c r="AE1048" t="s">
        <v>2730</v>
      </c>
      <c r="AF1048" t="s">
        <v>2730</v>
      </c>
      <c r="AG1048" t="s">
        <v>2730</v>
      </c>
      <c r="AH1048" t="s">
        <v>2730</v>
      </c>
    </row>
    <row r="1049" spans="1:34">
      <c r="A1049" s="149" t="str">
        <f>HYPERLINK("http://www.ofsted.gov.uk/inspection-reports/find-inspection-report/provider/ELS/102065 ","Ofsted School Webpage")</f>
        <v>Ofsted School Webpage</v>
      </c>
      <c r="B1049">
        <v>102065</v>
      </c>
      <c r="C1049">
        <v>3086062</v>
      </c>
      <c r="D1049" t="s">
        <v>1967</v>
      </c>
      <c r="E1049" t="s">
        <v>37</v>
      </c>
      <c r="F1049" t="s">
        <v>184</v>
      </c>
      <c r="G1049" t="s">
        <v>212</v>
      </c>
      <c r="H1049" t="s">
        <v>2729</v>
      </c>
      <c r="I1049" t="s">
        <v>2730</v>
      </c>
      <c r="J1049" t="s">
        <v>186</v>
      </c>
      <c r="K1049" t="s">
        <v>232</v>
      </c>
      <c r="L1049" t="s">
        <v>232</v>
      </c>
      <c r="M1049" t="s">
        <v>259</v>
      </c>
      <c r="N1049" t="s">
        <v>1968</v>
      </c>
      <c r="O1049">
        <v>10012824</v>
      </c>
      <c r="P1049" s="120">
        <v>42794</v>
      </c>
      <c r="Q1049" s="120">
        <v>42796</v>
      </c>
      <c r="R1049" s="120">
        <v>42850</v>
      </c>
      <c r="S1049" t="s">
        <v>196</v>
      </c>
      <c r="T1049">
        <v>4</v>
      </c>
      <c r="U1049" t="s">
        <v>129</v>
      </c>
      <c r="V1049">
        <v>4</v>
      </c>
      <c r="W1049">
        <v>4</v>
      </c>
      <c r="X1049">
        <v>1</v>
      </c>
      <c r="Y1049">
        <v>1</v>
      </c>
      <c r="Z1049">
        <v>1</v>
      </c>
      <c r="AA1049">
        <v>4</v>
      </c>
      <c r="AB1049" t="s">
        <v>2733</v>
      </c>
      <c r="AC1049">
        <v>10039972</v>
      </c>
      <c r="AD1049" t="s">
        <v>187</v>
      </c>
      <c r="AE1049" s="120">
        <v>42948</v>
      </c>
      <c r="AF1049" t="s">
        <v>2769</v>
      </c>
      <c r="AG1049" s="120">
        <v>43004</v>
      </c>
      <c r="AH1049" t="s">
        <v>189</v>
      </c>
    </row>
    <row r="1050" spans="1:34">
      <c r="A1050" s="149" t="str">
        <f>HYPERLINK("http://www.ofsted.gov.uk/inspection-reports/find-inspection-report/provider/ELS/101174 ","Ofsted School Webpage")</f>
        <v>Ofsted School Webpage</v>
      </c>
      <c r="B1050">
        <v>101174</v>
      </c>
      <c r="C1050">
        <v>2136333</v>
      </c>
      <c r="D1050" t="s">
        <v>2152</v>
      </c>
      <c r="E1050" t="s">
        <v>37</v>
      </c>
      <c r="F1050" t="s">
        <v>184</v>
      </c>
      <c r="G1050" t="s">
        <v>184</v>
      </c>
      <c r="H1050" t="s">
        <v>2729</v>
      </c>
      <c r="I1050" t="s">
        <v>2730</v>
      </c>
      <c r="J1050" t="s">
        <v>186</v>
      </c>
      <c r="K1050" t="s">
        <v>232</v>
      </c>
      <c r="L1050" t="s">
        <v>232</v>
      </c>
      <c r="M1050" t="s">
        <v>679</v>
      </c>
      <c r="N1050" t="s">
        <v>2153</v>
      </c>
      <c r="O1050" t="s">
        <v>2154</v>
      </c>
      <c r="P1050" s="120">
        <v>40870</v>
      </c>
      <c r="Q1050" s="120">
        <v>40871</v>
      </c>
      <c r="R1050" s="120">
        <v>40922</v>
      </c>
      <c r="S1050" t="s">
        <v>196</v>
      </c>
      <c r="T1050">
        <v>2</v>
      </c>
      <c r="U1050" t="s">
        <v>2730</v>
      </c>
      <c r="V1050" t="s">
        <v>2730</v>
      </c>
      <c r="W1050" t="s">
        <v>2730</v>
      </c>
      <c r="X1050">
        <v>2</v>
      </c>
      <c r="Y1050">
        <v>2</v>
      </c>
      <c r="Z1050">
        <v>1</v>
      </c>
      <c r="AA1050" t="s">
        <v>2730</v>
      </c>
      <c r="AB1050" t="s">
        <v>2730</v>
      </c>
      <c r="AC1050" t="s">
        <v>2730</v>
      </c>
      <c r="AD1050" t="s">
        <v>2730</v>
      </c>
      <c r="AE1050" t="s">
        <v>2730</v>
      </c>
      <c r="AF1050" t="s">
        <v>2730</v>
      </c>
      <c r="AG1050" t="s">
        <v>2730</v>
      </c>
      <c r="AH1050" t="s">
        <v>2730</v>
      </c>
    </row>
    <row r="1051" spans="1:34">
      <c r="A1051" s="149" t="str">
        <f>HYPERLINK("http://www.ofsted.gov.uk/inspection-reports/find-inspection-report/provider/ELS/118987 ","Ofsted School Webpage")</f>
        <v>Ofsted School Webpage</v>
      </c>
      <c r="B1051">
        <v>118987</v>
      </c>
      <c r="C1051">
        <v>8866041</v>
      </c>
      <c r="D1051" t="s">
        <v>2607</v>
      </c>
      <c r="E1051" t="s">
        <v>37</v>
      </c>
      <c r="F1051" t="s">
        <v>184</v>
      </c>
      <c r="G1051" t="s">
        <v>413</v>
      </c>
      <c r="H1051" t="s">
        <v>2729</v>
      </c>
      <c r="I1051" t="s">
        <v>2730</v>
      </c>
      <c r="J1051" t="s">
        <v>186</v>
      </c>
      <c r="K1051" t="s">
        <v>181</v>
      </c>
      <c r="L1051" t="s">
        <v>181</v>
      </c>
      <c r="M1051" t="s">
        <v>182</v>
      </c>
      <c r="N1051" t="s">
        <v>2608</v>
      </c>
      <c r="O1051">
        <v>10006336</v>
      </c>
      <c r="P1051" s="120">
        <v>42515</v>
      </c>
      <c r="Q1051" s="120">
        <v>42517</v>
      </c>
      <c r="R1051" s="120">
        <v>42552</v>
      </c>
      <c r="S1051" t="s">
        <v>196</v>
      </c>
      <c r="T1051">
        <v>4</v>
      </c>
      <c r="U1051" t="s">
        <v>129</v>
      </c>
      <c r="V1051">
        <v>4</v>
      </c>
      <c r="W1051">
        <v>4</v>
      </c>
      <c r="X1051">
        <v>3</v>
      </c>
      <c r="Y1051">
        <v>3</v>
      </c>
      <c r="Z1051">
        <v>4</v>
      </c>
      <c r="AA1051" t="s">
        <v>2730</v>
      </c>
      <c r="AB1051" t="s">
        <v>2733</v>
      </c>
      <c r="AC1051">
        <v>10025691</v>
      </c>
      <c r="AD1051" t="s">
        <v>187</v>
      </c>
      <c r="AE1051" s="120">
        <v>42697</v>
      </c>
      <c r="AF1051" t="s">
        <v>2769</v>
      </c>
      <c r="AG1051" s="120">
        <v>42747</v>
      </c>
      <c r="AH1051" t="s">
        <v>189</v>
      </c>
    </row>
    <row r="1052" spans="1:34">
      <c r="A1052" s="149" t="str">
        <f>HYPERLINK("http://www.ofsted.gov.uk/inspection-reports/find-inspection-report/provider/ELS/118125 ","Ofsted School Webpage")</f>
        <v>Ofsted School Webpage</v>
      </c>
      <c r="B1052">
        <v>118125</v>
      </c>
      <c r="C1052">
        <v>8126001</v>
      </c>
      <c r="D1052" t="s">
        <v>3108</v>
      </c>
      <c r="E1052" t="s">
        <v>37</v>
      </c>
      <c r="F1052" t="s">
        <v>184</v>
      </c>
      <c r="G1052" t="s">
        <v>441</v>
      </c>
      <c r="H1052" t="s">
        <v>2729</v>
      </c>
      <c r="I1052" t="s">
        <v>2730</v>
      </c>
      <c r="J1052" t="s">
        <v>186</v>
      </c>
      <c r="K1052" t="s">
        <v>245</v>
      </c>
      <c r="L1052" t="s">
        <v>246</v>
      </c>
      <c r="M1052" t="s">
        <v>247</v>
      </c>
      <c r="N1052" t="s">
        <v>3109</v>
      </c>
      <c r="O1052">
        <v>10012979</v>
      </c>
      <c r="P1052" s="120">
        <v>42507</v>
      </c>
      <c r="Q1052" s="120">
        <v>42509</v>
      </c>
      <c r="R1052" s="120">
        <v>42544</v>
      </c>
      <c r="S1052" t="s">
        <v>196</v>
      </c>
      <c r="T1052">
        <v>2</v>
      </c>
      <c r="U1052" t="s">
        <v>128</v>
      </c>
      <c r="V1052">
        <v>2</v>
      </c>
      <c r="W1052">
        <v>2</v>
      </c>
      <c r="X1052">
        <v>2</v>
      </c>
      <c r="Y1052">
        <v>2</v>
      </c>
      <c r="Z1052">
        <v>3</v>
      </c>
      <c r="AA1052" t="s">
        <v>2730</v>
      </c>
      <c r="AB1052" t="s">
        <v>2732</v>
      </c>
      <c r="AC1052" t="s">
        <v>2730</v>
      </c>
      <c r="AD1052" t="s">
        <v>2730</v>
      </c>
      <c r="AE1052" t="s">
        <v>2730</v>
      </c>
      <c r="AF1052" t="s">
        <v>2730</v>
      </c>
      <c r="AG1052" t="s">
        <v>2730</v>
      </c>
      <c r="AH1052" t="s">
        <v>2730</v>
      </c>
    </row>
    <row r="1053" spans="1:34">
      <c r="A1053" s="149" t="str">
        <f>HYPERLINK("http://www.ofsted.gov.uk/inspection-reports/find-inspection-report/provider/ELS/138249 ","Ofsted School Webpage")</f>
        <v>Ofsted School Webpage</v>
      </c>
      <c r="B1053">
        <v>138249</v>
      </c>
      <c r="C1053">
        <v>8376008</v>
      </c>
      <c r="D1053" t="s">
        <v>2563</v>
      </c>
      <c r="E1053" t="s">
        <v>37</v>
      </c>
      <c r="F1053" t="s">
        <v>184</v>
      </c>
      <c r="G1053" t="s">
        <v>212</v>
      </c>
      <c r="H1053" t="s">
        <v>2729</v>
      </c>
      <c r="I1053" t="s">
        <v>2730</v>
      </c>
      <c r="J1053" t="s">
        <v>186</v>
      </c>
      <c r="K1053" t="s">
        <v>225</v>
      </c>
      <c r="L1053" t="s">
        <v>225</v>
      </c>
      <c r="M1053" t="s">
        <v>290</v>
      </c>
      <c r="N1053" t="s">
        <v>2564</v>
      </c>
      <c r="O1053">
        <v>10012901</v>
      </c>
      <c r="P1053" s="120">
        <v>42689</v>
      </c>
      <c r="Q1053" s="120">
        <v>42691</v>
      </c>
      <c r="R1053" s="120">
        <v>42718</v>
      </c>
      <c r="S1053" t="s">
        <v>196</v>
      </c>
      <c r="T1053">
        <v>3</v>
      </c>
      <c r="U1053" t="s">
        <v>128</v>
      </c>
      <c r="V1053">
        <v>3</v>
      </c>
      <c r="W1053">
        <v>2</v>
      </c>
      <c r="X1053">
        <v>2</v>
      </c>
      <c r="Y1053">
        <v>2</v>
      </c>
      <c r="Z1053" t="s">
        <v>2730</v>
      </c>
      <c r="AA1053" t="s">
        <v>2730</v>
      </c>
      <c r="AB1053" t="s">
        <v>2733</v>
      </c>
      <c r="AC1053">
        <v>10039732</v>
      </c>
      <c r="AD1053" t="s">
        <v>187</v>
      </c>
      <c r="AE1053" s="120">
        <v>42935</v>
      </c>
      <c r="AF1053" t="s">
        <v>2769</v>
      </c>
      <c r="AG1053" s="120">
        <v>42986</v>
      </c>
      <c r="AH1053" t="s">
        <v>189</v>
      </c>
    </row>
    <row r="1054" spans="1:34">
      <c r="A1054" s="149" t="str">
        <f>HYPERLINK("http://www.ofsted.gov.uk/inspection-reports/find-inspection-report/provider/ELS/106816 ","Ofsted School Webpage")</f>
        <v>Ofsted School Webpage</v>
      </c>
      <c r="B1054">
        <v>106816</v>
      </c>
      <c r="C1054">
        <v>3716010</v>
      </c>
      <c r="D1054" t="s">
        <v>2565</v>
      </c>
      <c r="E1054" t="s">
        <v>37</v>
      </c>
      <c r="F1054" t="s">
        <v>184</v>
      </c>
      <c r="G1054" t="s">
        <v>184</v>
      </c>
      <c r="H1054" t="s">
        <v>2729</v>
      </c>
      <c r="I1054" t="s">
        <v>2730</v>
      </c>
      <c r="J1054" t="s">
        <v>186</v>
      </c>
      <c r="K1054" t="s">
        <v>245</v>
      </c>
      <c r="L1054" t="s">
        <v>246</v>
      </c>
      <c r="M1054" t="s">
        <v>1157</v>
      </c>
      <c r="N1054" t="s">
        <v>2566</v>
      </c>
      <c r="O1054">
        <v>10012838</v>
      </c>
      <c r="P1054" s="120">
        <v>42500</v>
      </c>
      <c r="Q1054" s="120">
        <v>42502</v>
      </c>
      <c r="R1054" s="120">
        <v>42534</v>
      </c>
      <c r="S1054" t="s">
        <v>196</v>
      </c>
      <c r="T1054">
        <v>3</v>
      </c>
      <c r="U1054" t="s">
        <v>128</v>
      </c>
      <c r="V1054">
        <v>3</v>
      </c>
      <c r="W1054">
        <v>2</v>
      </c>
      <c r="X1054">
        <v>2</v>
      </c>
      <c r="Y1054">
        <v>2</v>
      </c>
      <c r="Z1054">
        <v>2</v>
      </c>
      <c r="AA1054" t="s">
        <v>2730</v>
      </c>
      <c r="AB1054" t="s">
        <v>2732</v>
      </c>
      <c r="AC1054" t="s">
        <v>2730</v>
      </c>
      <c r="AD1054" t="s">
        <v>2730</v>
      </c>
      <c r="AE1054" t="s">
        <v>2730</v>
      </c>
      <c r="AF1054" t="s">
        <v>2730</v>
      </c>
      <c r="AG1054" t="s">
        <v>2730</v>
      </c>
      <c r="AH1054" t="s">
        <v>2730</v>
      </c>
    </row>
    <row r="1055" spans="1:34">
      <c r="A1055" s="149" t="str">
        <f>HYPERLINK("http://www.ofsted.gov.uk/inspection-reports/find-inspection-report/provider/ELS/125423 ","Ofsted School Webpage")</f>
        <v>Ofsted School Webpage</v>
      </c>
      <c r="B1055">
        <v>125423</v>
      </c>
      <c r="C1055">
        <v>9366532</v>
      </c>
      <c r="D1055" t="s">
        <v>3110</v>
      </c>
      <c r="E1055" t="s">
        <v>37</v>
      </c>
      <c r="F1055" t="s">
        <v>184</v>
      </c>
      <c r="G1055" t="s">
        <v>184</v>
      </c>
      <c r="H1055" t="s">
        <v>2729</v>
      </c>
      <c r="I1055" t="s">
        <v>2730</v>
      </c>
      <c r="J1055" t="s">
        <v>186</v>
      </c>
      <c r="K1055" t="s">
        <v>181</v>
      </c>
      <c r="L1055" t="s">
        <v>181</v>
      </c>
      <c r="M1055" t="s">
        <v>582</v>
      </c>
      <c r="N1055" t="s">
        <v>3111</v>
      </c>
      <c r="O1055">
        <v>10020067</v>
      </c>
      <c r="P1055" s="120">
        <v>42514</v>
      </c>
      <c r="Q1055" s="120">
        <v>42516</v>
      </c>
      <c r="R1055" s="120">
        <v>42632</v>
      </c>
      <c r="S1055" t="s">
        <v>267</v>
      </c>
      <c r="T1055">
        <v>4</v>
      </c>
      <c r="U1055" t="s">
        <v>129</v>
      </c>
      <c r="V1055">
        <v>4</v>
      </c>
      <c r="W1055">
        <v>4</v>
      </c>
      <c r="X1055">
        <v>2</v>
      </c>
      <c r="Y1055">
        <v>2</v>
      </c>
      <c r="Z1055">
        <v>4</v>
      </c>
      <c r="AA1055">
        <v>4</v>
      </c>
      <c r="AB1055" t="s">
        <v>2733</v>
      </c>
      <c r="AC1055">
        <v>10035871</v>
      </c>
      <c r="AD1055" t="s">
        <v>187</v>
      </c>
      <c r="AE1055" s="120">
        <v>42894</v>
      </c>
      <c r="AF1055" t="s">
        <v>2769</v>
      </c>
      <c r="AG1055" s="120">
        <v>42920</v>
      </c>
      <c r="AH1055" t="s">
        <v>189</v>
      </c>
    </row>
    <row r="1056" spans="1:34">
      <c r="A1056" s="149" t="str">
        <f>HYPERLINK("http://www.ofsted.gov.uk/inspection-reports/find-inspection-report/provider/ELS/100299 ","Ofsted School Webpage")</f>
        <v>Ofsted School Webpage</v>
      </c>
      <c r="B1056">
        <v>100299</v>
      </c>
      <c r="C1056">
        <v>2046387</v>
      </c>
      <c r="D1056" t="s">
        <v>2609</v>
      </c>
      <c r="E1056" t="s">
        <v>37</v>
      </c>
      <c r="F1056" t="s">
        <v>184</v>
      </c>
      <c r="G1056" t="s">
        <v>318</v>
      </c>
      <c r="H1056" t="s">
        <v>2729</v>
      </c>
      <c r="I1056" t="s">
        <v>2730</v>
      </c>
      <c r="J1056" t="s">
        <v>186</v>
      </c>
      <c r="K1056" t="s">
        <v>232</v>
      </c>
      <c r="L1056" t="s">
        <v>232</v>
      </c>
      <c r="M1056" t="s">
        <v>479</v>
      </c>
      <c r="N1056" t="s">
        <v>2610</v>
      </c>
      <c r="O1056">
        <v>10035532</v>
      </c>
      <c r="P1056" s="120">
        <v>42899</v>
      </c>
      <c r="Q1056" s="120">
        <v>42901</v>
      </c>
      <c r="R1056" s="120">
        <v>43031</v>
      </c>
      <c r="S1056" t="s">
        <v>196</v>
      </c>
      <c r="T1056">
        <v>4</v>
      </c>
      <c r="U1056" t="s">
        <v>129</v>
      </c>
      <c r="V1056">
        <v>4</v>
      </c>
      <c r="W1056">
        <v>3</v>
      </c>
      <c r="X1056">
        <v>4</v>
      </c>
      <c r="Y1056">
        <v>4</v>
      </c>
      <c r="Z1056">
        <v>4</v>
      </c>
      <c r="AA1056" t="s">
        <v>2730</v>
      </c>
      <c r="AB1056" t="s">
        <v>2733</v>
      </c>
      <c r="AC1056" t="s">
        <v>2730</v>
      </c>
      <c r="AD1056" t="s">
        <v>2730</v>
      </c>
      <c r="AE1056" t="s">
        <v>2730</v>
      </c>
      <c r="AF1056" t="s">
        <v>2730</v>
      </c>
      <c r="AG1056" t="s">
        <v>2730</v>
      </c>
      <c r="AH1056" t="s">
        <v>2730</v>
      </c>
    </row>
    <row r="1057" spans="1:34">
      <c r="A1057" s="149" t="str">
        <f>HYPERLINK("http://www.ofsted.gov.uk/inspection-reports/find-inspection-report/provider/ELS/102950 ","Ofsted School Webpage")</f>
        <v>Ofsted School Webpage</v>
      </c>
      <c r="B1057">
        <v>102950</v>
      </c>
      <c r="C1057">
        <v>3186078</v>
      </c>
      <c r="D1057" t="s">
        <v>2577</v>
      </c>
      <c r="E1057" t="s">
        <v>37</v>
      </c>
      <c r="F1057" t="s">
        <v>184</v>
      </c>
      <c r="G1057" t="s">
        <v>184</v>
      </c>
      <c r="H1057" t="s">
        <v>2729</v>
      </c>
      <c r="I1057" t="s">
        <v>2730</v>
      </c>
      <c r="J1057" t="s">
        <v>186</v>
      </c>
      <c r="K1057" t="s">
        <v>232</v>
      </c>
      <c r="L1057" t="s">
        <v>232</v>
      </c>
      <c r="M1057" t="s">
        <v>233</v>
      </c>
      <c r="N1057" t="s">
        <v>2578</v>
      </c>
      <c r="O1057" t="s">
        <v>2579</v>
      </c>
      <c r="P1057" s="120">
        <v>40940</v>
      </c>
      <c r="Q1057" s="120">
        <v>40941</v>
      </c>
      <c r="R1057" s="120">
        <v>41241</v>
      </c>
      <c r="S1057" t="s">
        <v>196</v>
      </c>
      <c r="T1057">
        <v>2</v>
      </c>
      <c r="U1057" t="s">
        <v>2730</v>
      </c>
      <c r="V1057" t="s">
        <v>2730</v>
      </c>
      <c r="W1057" t="s">
        <v>2730</v>
      </c>
      <c r="X1057">
        <v>2</v>
      </c>
      <c r="Y1057">
        <v>2</v>
      </c>
      <c r="Z1057">
        <v>8</v>
      </c>
      <c r="AA1057" t="s">
        <v>2730</v>
      </c>
      <c r="AB1057" t="s">
        <v>2730</v>
      </c>
      <c r="AC1057" t="s">
        <v>2730</v>
      </c>
      <c r="AD1057" t="s">
        <v>2730</v>
      </c>
      <c r="AE1057" t="s">
        <v>2730</v>
      </c>
      <c r="AF1057" t="s">
        <v>2730</v>
      </c>
      <c r="AG1057" t="s">
        <v>2730</v>
      </c>
      <c r="AH1057" t="s">
        <v>2730</v>
      </c>
    </row>
    <row r="1058" spans="1:34">
      <c r="A1058" s="149" t="str">
        <f>HYPERLINK("http://www.ofsted.gov.uk/inspection-reports/find-inspection-report/provider/ELS/137561 ","Ofsted School Webpage")</f>
        <v>Ofsted School Webpage</v>
      </c>
      <c r="B1058">
        <v>137561</v>
      </c>
      <c r="C1058">
        <v>8566011</v>
      </c>
      <c r="D1058" t="s">
        <v>2617</v>
      </c>
      <c r="E1058" t="s">
        <v>37</v>
      </c>
      <c r="F1058" t="s">
        <v>184</v>
      </c>
      <c r="G1058" t="s">
        <v>223</v>
      </c>
      <c r="H1058" t="s">
        <v>2729</v>
      </c>
      <c r="I1058" t="s">
        <v>2730</v>
      </c>
      <c r="J1058" t="s">
        <v>186</v>
      </c>
      <c r="K1058" t="s">
        <v>214</v>
      </c>
      <c r="L1058" t="s">
        <v>214</v>
      </c>
      <c r="M1058" t="s">
        <v>330</v>
      </c>
      <c r="N1058" t="s">
        <v>2618</v>
      </c>
      <c r="O1058">
        <v>10006106</v>
      </c>
      <c r="P1058" s="120">
        <v>42395</v>
      </c>
      <c r="Q1058" s="120">
        <v>42397</v>
      </c>
      <c r="R1058" s="120">
        <v>42439</v>
      </c>
      <c r="S1058" t="s">
        <v>196</v>
      </c>
      <c r="T1058">
        <v>2</v>
      </c>
      <c r="U1058" t="s">
        <v>128</v>
      </c>
      <c r="V1058">
        <v>2</v>
      </c>
      <c r="W1058">
        <v>1</v>
      </c>
      <c r="X1058">
        <v>2</v>
      </c>
      <c r="Y1058">
        <v>2</v>
      </c>
      <c r="Z1058" t="s">
        <v>2730</v>
      </c>
      <c r="AA1058" t="s">
        <v>2730</v>
      </c>
      <c r="AB1058" t="s">
        <v>2732</v>
      </c>
      <c r="AC1058" t="s">
        <v>2730</v>
      </c>
      <c r="AD1058" t="s">
        <v>2730</v>
      </c>
      <c r="AE1058" t="s">
        <v>2730</v>
      </c>
      <c r="AF1058" t="s">
        <v>2730</v>
      </c>
      <c r="AG1058" t="s">
        <v>2730</v>
      </c>
      <c r="AH1058" t="s">
        <v>2730</v>
      </c>
    </row>
    <row r="1059" spans="1:34">
      <c r="A1059" s="149" t="str">
        <f>HYPERLINK("http://www.ofsted.gov.uk/inspection-reports/find-inspection-report/provider/ELS/101958 ","Ofsted School Webpage")</f>
        <v>Ofsted School Webpage</v>
      </c>
      <c r="B1059">
        <v>101958</v>
      </c>
      <c r="C1059">
        <v>3076070</v>
      </c>
      <c r="D1059" t="s">
        <v>2619</v>
      </c>
      <c r="E1059" t="s">
        <v>37</v>
      </c>
      <c r="F1059" t="s">
        <v>184</v>
      </c>
      <c r="G1059" t="s">
        <v>184</v>
      </c>
      <c r="H1059" t="s">
        <v>2729</v>
      </c>
      <c r="I1059" t="s">
        <v>2730</v>
      </c>
      <c r="J1059" t="s">
        <v>186</v>
      </c>
      <c r="K1059" t="s">
        <v>232</v>
      </c>
      <c r="L1059" t="s">
        <v>232</v>
      </c>
      <c r="M1059" t="s">
        <v>631</v>
      </c>
      <c r="N1059" t="s">
        <v>2620</v>
      </c>
      <c r="O1059">
        <v>10034364</v>
      </c>
      <c r="P1059" s="120">
        <v>42920</v>
      </c>
      <c r="Q1059" s="120">
        <v>42922</v>
      </c>
      <c r="R1059" s="120">
        <v>42989</v>
      </c>
      <c r="S1059" t="s">
        <v>196</v>
      </c>
      <c r="T1059">
        <v>3</v>
      </c>
      <c r="U1059" t="s">
        <v>128</v>
      </c>
      <c r="V1059">
        <v>3</v>
      </c>
      <c r="W1059">
        <v>2</v>
      </c>
      <c r="X1059">
        <v>2</v>
      </c>
      <c r="Y1059">
        <v>2</v>
      </c>
      <c r="Z1059" t="s">
        <v>2730</v>
      </c>
      <c r="AA1059" t="s">
        <v>2730</v>
      </c>
      <c r="AB1059" t="s">
        <v>2733</v>
      </c>
      <c r="AC1059" t="s">
        <v>2730</v>
      </c>
      <c r="AD1059" t="s">
        <v>2730</v>
      </c>
      <c r="AE1059" t="s">
        <v>2730</v>
      </c>
      <c r="AF1059" t="s">
        <v>2730</v>
      </c>
      <c r="AG1059" t="s">
        <v>2730</v>
      </c>
      <c r="AH1059" t="s">
        <v>2730</v>
      </c>
    </row>
    <row r="1060" spans="1:34">
      <c r="A1060" s="149" t="str">
        <f>HYPERLINK("http://www.ofsted.gov.uk/inspection-reports/find-inspection-report/provider/ELS/141753 ","Ofsted School Webpage")</f>
        <v>Ofsted School Webpage</v>
      </c>
      <c r="B1060">
        <v>141753</v>
      </c>
      <c r="C1060">
        <v>2076010</v>
      </c>
      <c r="D1060" t="s">
        <v>2621</v>
      </c>
      <c r="E1060" t="s">
        <v>37</v>
      </c>
      <c r="F1060" t="s">
        <v>184</v>
      </c>
      <c r="G1060" t="s">
        <v>184</v>
      </c>
      <c r="H1060" t="s">
        <v>2729</v>
      </c>
      <c r="I1060" t="s">
        <v>2730</v>
      </c>
      <c r="J1060" t="s">
        <v>186</v>
      </c>
      <c r="K1060" t="s">
        <v>232</v>
      </c>
      <c r="L1060" t="s">
        <v>232</v>
      </c>
      <c r="M1060" t="s">
        <v>294</v>
      </c>
      <c r="N1060" t="s">
        <v>2622</v>
      </c>
      <c r="O1060">
        <v>10008620</v>
      </c>
      <c r="P1060" s="120">
        <v>42409</v>
      </c>
      <c r="Q1060" s="120">
        <v>42411</v>
      </c>
      <c r="R1060" s="120">
        <v>42438</v>
      </c>
      <c r="S1060" t="s">
        <v>249</v>
      </c>
      <c r="T1060">
        <v>2</v>
      </c>
      <c r="U1060" t="s">
        <v>128</v>
      </c>
      <c r="V1060">
        <v>2</v>
      </c>
      <c r="W1060">
        <v>2</v>
      </c>
      <c r="X1060">
        <v>2</v>
      </c>
      <c r="Y1060">
        <v>2</v>
      </c>
      <c r="Z1060">
        <v>2</v>
      </c>
      <c r="AA1060" t="s">
        <v>2730</v>
      </c>
      <c r="AB1060" t="s">
        <v>2732</v>
      </c>
      <c r="AC1060" t="s">
        <v>2730</v>
      </c>
      <c r="AD1060" t="s">
        <v>2730</v>
      </c>
      <c r="AE1060" t="s">
        <v>2730</v>
      </c>
      <c r="AF1060" t="s">
        <v>2730</v>
      </c>
      <c r="AG1060" t="s">
        <v>2730</v>
      </c>
      <c r="AH1060" t="s">
        <v>2730</v>
      </c>
    </row>
    <row r="1061" spans="1:34">
      <c r="A1061" s="149" t="str">
        <f>HYPERLINK("http://www.ofsted.gov.uk/inspection-reports/find-inspection-report/provider/ELS/144363 ","Ofsted School Webpage")</f>
        <v>Ofsted School Webpage</v>
      </c>
      <c r="B1061">
        <v>144363</v>
      </c>
      <c r="C1061">
        <v>2046016</v>
      </c>
      <c r="D1061" t="s">
        <v>2519</v>
      </c>
      <c r="E1061" t="s">
        <v>37</v>
      </c>
      <c r="F1061" t="s">
        <v>184</v>
      </c>
      <c r="G1061" t="s">
        <v>825</v>
      </c>
      <c r="H1061" t="s">
        <v>2729</v>
      </c>
      <c r="I1061" t="s">
        <v>2730</v>
      </c>
      <c r="J1061" t="s">
        <v>186</v>
      </c>
      <c r="K1061" t="s">
        <v>232</v>
      </c>
      <c r="L1061" t="s">
        <v>232</v>
      </c>
      <c r="M1061" t="s">
        <v>479</v>
      </c>
      <c r="N1061" t="s">
        <v>2520</v>
      </c>
      <c r="O1061" t="s">
        <v>2730</v>
      </c>
      <c r="P1061" s="120" t="s">
        <v>2730</v>
      </c>
      <c r="Q1061" s="120" t="s">
        <v>2730</v>
      </c>
      <c r="R1061" s="120" t="s">
        <v>2730</v>
      </c>
      <c r="S1061" t="s">
        <v>2730</v>
      </c>
      <c r="T1061" t="s">
        <v>2730</v>
      </c>
      <c r="U1061" t="s">
        <v>2730</v>
      </c>
      <c r="V1061" t="s">
        <v>2730</v>
      </c>
      <c r="W1061" t="s">
        <v>2730</v>
      </c>
      <c r="X1061" t="s">
        <v>2730</v>
      </c>
      <c r="Y1061" t="s">
        <v>2730</v>
      </c>
      <c r="Z1061" t="s">
        <v>2730</v>
      </c>
      <c r="AA1061" t="s">
        <v>2730</v>
      </c>
      <c r="AB1061" t="s">
        <v>2730</v>
      </c>
      <c r="AC1061" t="s">
        <v>2730</v>
      </c>
      <c r="AD1061" t="s">
        <v>2730</v>
      </c>
      <c r="AE1061" t="s">
        <v>2730</v>
      </c>
      <c r="AF1061" t="s">
        <v>2730</v>
      </c>
      <c r="AG1061" t="s">
        <v>2730</v>
      </c>
      <c r="AH1061" t="s">
        <v>2730</v>
      </c>
    </row>
    <row r="1062" spans="1:34">
      <c r="A1062" s="149" t="str">
        <f>HYPERLINK("http://www.ofsted.gov.uk/inspection-reports/find-inspection-report/provider/ELS/144366 ","Ofsted School Webpage")</f>
        <v>Ofsted School Webpage</v>
      </c>
      <c r="B1062">
        <v>144366</v>
      </c>
      <c r="C1062">
        <v>8126005</v>
      </c>
      <c r="D1062" t="s">
        <v>2521</v>
      </c>
      <c r="E1062" t="s">
        <v>37</v>
      </c>
      <c r="F1062" t="s">
        <v>184</v>
      </c>
      <c r="G1062" t="s">
        <v>184</v>
      </c>
      <c r="H1062" t="s">
        <v>2729</v>
      </c>
      <c r="I1062" t="s">
        <v>2730</v>
      </c>
      <c r="J1062" t="s">
        <v>186</v>
      </c>
      <c r="K1062" t="s">
        <v>245</v>
      </c>
      <c r="L1062" t="s">
        <v>246</v>
      </c>
      <c r="M1062" t="s">
        <v>247</v>
      </c>
      <c r="N1062" t="s">
        <v>2522</v>
      </c>
      <c r="O1062" t="s">
        <v>2730</v>
      </c>
      <c r="P1062" s="120" t="s">
        <v>2730</v>
      </c>
      <c r="Q1062" s="120" t="s">
        <v>2730</v>
      </c>
      <c r="R1062" s="120" t="s">
        <v>2730</v>
      </c>
      <c r="S1062" t="s">
        <v>2730</v>
      </c>
      <c r="T1062" t="s">
        <v>2730</v>
      </c>
      <c r="U1062" t="s">
        <v>2730</v>
      </c>
      <c r="V1062" t="s">
        <v>2730</v>
      </c>
      <c r="W1062" t="s">
        <v>2730</v>
      </c>
      <c r="X1062" t="s">
        <v>2730</v>
      </c>
      <c r="Y1062" t="s">
        <v>2730</v>
      </c>
      <c r="Z1062" t="s">
        <v>2730</v>
      </c>
      <c r="AA1062" t="s">
        <v>2730</v>
      </c>
      <c r="AB1062" t="s">
        <v>2730</v>
      </c>
      <c r="AC1062" t="s">
        <v>2730</v>
      </c>
      <c r="AD1062" t="s">
        <v>2730</v>
      </c>
      <c r="AE1062" t="s">
        <v>2730</v>
      </c>
      <c r="AF1062" t="s">
        <v>2730</v>
      </c>
      <c r="AG1062" t="s">
        <v>2730</v>
      </c>
      <c r="AH1062" t="s">
        <v>2730</v>
      </c>
    </row>
    <row r="1063" spans="1:34">
      <c r="A1063" s="149" t="str">
        <f>HYPERLINK("http://www.ofsted.gov.uk/inspection-reports/find-inspection-report/provider/ELS/144369 ","Ofsted School Webpage")</f>
        <v>Ofsted School Webpage</v>
      </c>
      <c r="B1063">
        <v>144369</v>
      </c>
      <c r="C1063">
        <v>8806007</v>
      </c>
      <c r="D1063" t="s">
        <v>2694</v>
      </c>
      <c r="E1063" t="s">
        <v>37</v>
      </c>
      <c r="F1063" t="s">
        <v>184</v>
      </c>
      <c r="G1063" t="s">
        <v>184</v>
      </c>
      <c r="H1063" t="s">
        <v>2729</v>
      </c>
      <c r="I1063" t="s">
        <v>2730</v>
      </c>
      <c r="J1063" t="s">
        <v>186</v>
      </c>
      <c r="K1063" t="s">
        <v>225</v>
      </c>
      <c r="L1063" t="s">
        <v>225</v>
      </c>
      <c r="M1063" t="s">
        <v>2100</v>
      </c>
      <c r="N1063" t="s">
        <v>2695</v>
      </c>
      <c r="O1063" t="s">
        <v>2730</v>
      </c>
      <c r="P1063" s="120" t="s">
        <v>2730</v>
      </c>
      <c r="Q1063" s="120" t="s">
        <v>2730</v>
      </c>
      <c r="R1063" s="120" t="s">
        <v>2730</v>
      </c>
      <c r="S1063" t="s">
        <v>2730</v>
      </c>
      <c r="T1063" t="s">
        <v>2730</v>
      </c>
      <c r="U1063" t="s">
        <v>2730</v>
      </c>
      <c r="V1063" t="s">
        <v>2730</v>
      </c>
      <c r="W1063" t="s">
        <v>2730</v>
      </c>
      <c r="X1063" t="s">
        <v>2730</v>
      </c>
      <c r="Y1063" t="s">
        <v>2730</v>
      </c>
      <c r="Z1063" t="s">
        <v>2730</v>
      </c>
      <c r="AA1063" t="s">
        <v>2730</v>
      </c>
      <c r="AB1063" t="s">
        <v>2730</v>
      </c>
      <c r="AC1063" t="s">
        <v>2730</v>
      </c>
      <c r="AD1063" t="s">
        <v>2730</v>
      </c>
      <c r="AE1063" s="120" t="s">
        <v>2730</v>
      </c>
      <c r="AF1063" t="s">
        <v>2730</v>
      </c>
      <c r="AG1063" s="120" t="s">
        <v>2730</v>
      </c>
      <c r="AH1063" t="s">
        <v>2730</v>
      </c>
    </row>
    <row r="1064" spans="1:34">
      <c r="A1064" s="149" t="str">
        <f>HYPERLINK("http://www.ofsted.gov.uk/inspection-reports/find-inspection-report/provider/ELS/144370 ","Ofsted School Webpage")</f>
        <v>Ofsted School Webpage</v>
      </c>
      <c r="B1064">
        <v>144370</v>
      </c>
      <c r="C1064">
        <v>3416009</v>
      </c>
      <c r="D1064" t="s">
        <v>2696</v>
      </c>
      <c r="E1064" t="s">
        <v>37</v>
      </c>
      <c r="F1064" t="s">
        <v>184</v>
      </c>
      <c r="G1064" t="s">
        <v>184</v>
      </c>
      <c r="H1064" t="s">
        <v>2729</v>
      </c>
      <c r="I1064" t="s">
        <v>2730</v>
      </c>
      <c r="J1064" t="s">
        <v>186</v>
      </c>
      <c r="K1064" t="s">
        <v>205</v>
      </c>
      <c r="L1064" t="s">
        <v>205</v>
      </c>
      <c r="M1064" t="s">
        <v>658</v>
      </c>
      <c r="N1064" t="s">
        <v>2697</v>
      </c>
      <c r="O1064" t="s">
        <v>2730</v>
      </c>
      <c r="P1064" s="120" t="s">
        <v>2730</v>
      </c>
      <c r="Q1064" s="120" t="s">
        <v>2730</v>
      </c>
      <c r="R1064" s="120" t="s">
        <v>2730</v>
      </c>
      <c r="S1064" t="s">
        <v>2730</v>
      </c>
      <c r="T1064" t="s">
        <v>2730</v>
      </c>
      <c r="U1064" t="s">
        <v>2730</v>
      </c>
      <c r="V1064" t="s">
        <v>2730</v>
      </c>
      <c r="W1064" t="s">
        <v>2730</v>
      </c>
      <c r="X1064" t="s">
        <v>2730</v>
      </c>
      <c r="Y1064" t="s">
        <v>2730</v>
      </c>
      <c r="Z1064" t="s">
        <v>2730</v>
      </c>
      <c r="AA1064" t="s">
        <v>2730</v>
      </c>
      <c r="AB1064" t="s">
        <v>2730</v>
      </c>
      <c r="AC1064" t="s">
        <v>2730</v>
      </c>
      <c r="AD1064" t="s">
        <v>2730</v>
      </c>
      <c r="AE1064" t="s">
        <v>2730</v>
      </c>
      <c r="AF1064" t="s">
        <v>2730</v>
      </c>
      <c r="AG1064" t="s">
        <v>2730</v>
      </c>
      <c r="AH1064" t="s">
        <v>2730</v>
      </c>
    </row>
    <row r="1065" spans="1:34">
      <c r="A1065" s="149" t="str">
        <f>HYPERLINK("http://www.ofsted.gov.uk/inspection-reports/find-inspection-report/provider/ELS/144374 ","Ofsted School Webpage")</f>
        <v>Ofsted School Webpage</v>
      </c>
      <c r="B1065">
        <v>144374</v>
      </c>
      <c r="C1065">
        <v>3326008</v>
      </c>
      <c r="D1065" t="s">
        <v>2698</v>
      </c>
      <c r="E1065" t="s">
        <v>38</v>
      </c>
      <c r="F1065" t="s">
        <v>184</v>
      </c>
      <c r="G1065" t="s">
        <v>184</v>
      </c>
      <c r="H1065" t="s">
        <v>2729</v>
      </c>
      <c r="I1065" t="s">
        <v>2730</v>
      </c>
      <c r="J1065" t="s">
        <v>186</v>
      </c>
      <c r="K1065" t="s">
        <v>193</v>
      </c>
      <c r="L1065" t="s">
        <v>193</v>
      </c>
      <c r="M1065" t="s">
        <v>349</v>
      </c>
      <c r="N1065" t="s">
        <v>2699</v>
      </c>
      <c r="O1065" t="s">
        <v>2730</v>
      </c>
      <c r="P1065" s="120" t="s">
        <v>2730</v>
      </c>
      <c r="Q1065" s="120" t="s">
        <v>2730</v>
      </c>
      <c r="R1065" s="120" t="s">
        <v>2730</v>
      </c>
      <c r="S1065" t="s">
        <v>2730</v>
      </c>
      <c r="T1065" t="s">
        <v>2730</v>
      </c>
      <c r="U1065" t="s">
        <v>2730</v>
      </c>
      <c r="V1065" t="s">
        <v>2730</v>
      </c>
      <c r="W1065" t="s">
        <v>2730</v>
      </c>
      <c r="X1065" t="s">
        <v>2730</v>
      </c>
      <c r="Y1065" t="s">
        <v>2730</v>
      </c>
      <c r="Z1065" t="s">
        <v>2730</v>
      </c>
      <c r="AA1065" t="s">
        <v>2730</v>
      </c>
      <c r="AB1065" t="s">
        <v>2730</v>
      </c>
      <c r="AC1065" t="s">
        <v>2730</v>
      </c>
      <c r="AD1065" t="s">
        <v>2730</v>
      </c>
      <c r="AE1065" t="s">
        <v>2730</v>
      </c>
      <c r="AF1065" t="s">
        <v>2730</v>
      </c>
      <c r="AG1065" t="s">
        <v>2730</v>
      </c>
      <c r="AH1065" t="s">
        <v>2730</v>
      </c>
    </row>
    <row r="1066" spans="1:34">
      <c r="A1066" s="149" t="str">
        <f>HYPERLINK("http://www.ofsted.gov.uk/inspection-reports/find-inspection-report/provider/ELS/101075 ","Ofsted School Webpage")</f>
        <v>Ofsted School Webpage</v>
      </c>
      <c r="B1066">
        <v>101075</v>
      </c>
      <c r="C1066">
        <v>2126351</v>
      </c>
      <c r="D1066" t="s">
        <v>2443</v>
      </c>
      <c r="E1066" t="s">
        <v>37</v>
      </c>
      <c r="F1066" t="s">
        <v>184</v>
      </c>
      <c r="G1066" t="s">
        <v>212</v>
      </c>
      <c r="H1066" t="s">
        <v>2729</v>
      </c>
      <c r="I1066" t="s">
        <v>2730</v>
      </c>
      <c r="J1066" t="s">
        <v>186</v>
      </c>
      <c r="K1066" t="s">
        <v>232</v>
      </c>
      <c r="L1066" t="s">
        <v>232</v>
      </c>
      <c r="M1066" t="s">
        <v>435</v>
      </c>
      <c r="N1066" t="s">
        <v>2444</v>
      </c>
      <c r="O1066" t="s">
        <v>2445</v>
      </c>
      <c r="P1066" s="120">
        <v>41772</v>
      </c>
      <c r="Q1066" s="120">
        <v>41774</v>
      </c>
      <c r="R1066" s="120">
        <v>41795</v>
      </c>
      <c r="S1066" t="s">
        <v>196</v>
      </c>
      <c r="T1066">
        <v>1</v>
      </c>
      <c r="U1066" t="s">
        <v>2730</v>
      </c>
      <c r="V1066">
        <v>1</v>
      </c>
      <c r="W1066" t="s">
        <v>2730</v>
      </c>
      <c r="X1066">
        <v>1</v>
      </c>
      <c r="Y1066">
        <v>1</v>
      </c>
      <c r="Z1066" t="s">
        <v>2730</v>
      </c>
      <c r="AA1066" t="s">
        <v>2730</v>
      </c>
      <c r="AB1066" t="s">
        <v>2730</v>
      </c>
      <c r="AC1066" t="s">
        <v>2730</v>
      </c>
      <c r="AD1066" t="s">
        <v>2730</v>
      </c>
      <c r="AE1066" t="s">
        <v>2730</v>
      </c>
      <c r="AF1066" t="s">
        <v>2730</v>
      </c>
      <c r="AG1066" t="s">
        <v>2730</v>
      </c>
      <c r="AH1066" t="s">
        <v>2730</v>
      </c>
    </row>
    <row r="1067" spans="1:34">
      <c r="A1067" s="149" t="str">
        <f>HYPERLINK("http://www.ofsted.gov.uk/inspection-reports/find-inspection-report/provider/ELS/133385 ","Ofsted School Webpage")</f>
        <v>Ofsted School Webpage</v>
      </c>
      <c r="B1067">
        <v>133385</v>
      </c>
      <c r="C1067">
        <v>3046079</v>
      </c>
      <c r="D1067" t="s">
        <v>2446</v>
      </c>
      <c r="E1067" t="s">
        <v>37</v>
      </c>
      <c r="F1067" t="s">
        <v>184</v>
      </c>
      <c r="G1067" t="s">
        <v>223</v>
      </c>
      <c r="H1067" t="s">
        <v>2729</v>
      </c>
      <c r="I1067" t="s">
        <v>2730</v>
      </c>
      <c r="J1067" t="s">
        <v>186</v>
      </c>
      <c r="K1067" t="s">
        <v>232</v>
      </c>
      <c r="L1067" t="s">
        <v>232</v>
      </c>
      <c r="M1067" t="s">
        <v>749</v>
      </c>
      <c r="N1067" t="s">
        <v>2447</v>
      </c>
      <c r="O1067">
        <v>10012821</v>
      </c>
      <c r="P1067" s="120">
        <v>42661</v>
      </c>
      <c r="Q1067" s="120">
        <v>42663</v>
      </c>
      <c r="R1067" s="120">
        <v>42751</v>
      </c>
      <c r="S1067" t="s">
        <v>196</v>
      </c>
      <c r="T1067">
        <v>4</v>
      </c>
      <c r="U1067" t="s">
        <v>129</v>
      </c>
      <c r="V1067">
        <v>4</v>
      </c>
      <c r="W1067">
        <v>4</v>
      </c>
      <c r="X1067">
        <v>3</v>
      </c>
      <c r="Y1067">
        <v>3</v>
      </c>
      <c r="Z1067">
        <v>4</v>
      </c>
      <c r="AA1067">
        <v>4</v>
      </c>
      <c r="AB1067" t="s">
        <v>2733</v>
      </c>
      <c r="AC1067">
        <v>10034072</v>
      </c>
      <c r="AD1067" t="s">
        <v>187</v>
      </c>
      <c r="AE1067" s="120">
        <v>42880</v>
      </c>
      <c r="AF1067" t="s">
        <v>2769</v>
      </c>
      <c r="AG1067" s="120">
        <v>42926</v>
      </c>
      <c r="AH1067" t="s">
        <v>217</v>
      </c>
    </row>
    <row r="1068" spans="1:34">
      <c r="A1068" s="149" t="str">
        <f>HYPERLINK("http://www.ofsted.gov.uk/inspection-reports/find-inspection-report/provider/ELS/103578 ","Ofsted School Webpage")</f>
        <v>Ofsted School Webpage</v>
      </c>
      <c r="B1068">
        <v>103578</v>
      </c>
      <c r="C1068">
        <v>3306064</v>
      </c>
      <c r="D1068" t="s">
        <v>2227</v>
      </c>
      <c r="E1068" t="s">
        <v>37</v>
      </c>
      <c r="F1068" t="s">
        <v>184</v>
      </c>
      <c r="G1068" t="s">
        <v>184</v>
      </c>
      <c r="H1068" t="s">
        <v>2729</v>
      </c>
      <c r="I1068" t="s">
        <v>2730</v>
      </c>
      <c r="J1068" t="s">
        <v>186</v>
      </c>
      <c r="K1068" t="s">
        <v>193</v>
      </c>
      <c r="L1068" t="s">
        <v>193</v>
      </c>
      <c r="M1068" t="s">
        <v>210</v>
      </c>
      <c r="N1068" t="s">
        <v>2228</v>
      </c>
      <c r="O1068">
        <v>10020746</v>
      </c>
      <c r="P1068" s="120">
        <v>42899</v>
      </c>
      <c r="Q1068" s="120">
        <v>42901</v>
      </c>
      <c r="R1068" s="120">
        <v>42927</v>
      </c>
      <c r="S1068" t="s">
        <v>196</v>
      </c>
      <c r="T1068">
        <v>3</v>
      </c>
      <c r="U1068" t="s">
        <v>128</v>
      </c>
      <c r="V1068">
        <v>3</v>
      </c>
      <c r="W1068">
        <v>2</v>
      </c>
      <c r="X1068">
        <v>3</v>
      </c>
      <c r="Y1068">
        <v>3</v>
      </c>
      <c r="Z1068">
        <v>2</v>
      </c>
      <c r="AA1068" t="s">
        <v>2730</v>
      </c>
      <c r="AB1068" t="s">
        <v>2733</v>
      </c>
      <c r="AC1068" t="s">
        <v>2730</v>
      </c>
      <c r="AD1068" t="s">
        <v>2730</v>
      </c>
      <c r="AE1068" t="s">
        <v>2730</v>
      </c>
      <c r="AF1068" t="s">
        <v>2730</v>
      </c>
      <c r="AG1068" t="s">
        <v>2730</v>
      </c>
      <c r="AH1068" t="s">
        <v>2730</v>
      </c>
    </row>
    <row r="1069" spans="1:34">
      <c r="A1069" s="149" t="str">
        <f>HYPERLINK("http://www.ofsted.gov.uk/inspection-reports/find-inspection-report/provider/ELS/119819 ","Ofsted School Webpage")</f>
        <v>Ofsted School Webpage</v>
      </c>
      <c r="B1069">
        <v>119819</v>
      </c>
      <c r="C1069">
        <v>8886001</v>
      </c>
      <c r="D1069" t="s">
        <v>2229</v>
      </c>
      <c r="E1069" t="s">
        <v>37</v>
      </c>
      <c r="F1069" t="s">
        <v>184</v>
      </c>
      <c r="G1069" t="s">
        <v>184</v>
      </c>
      <c r="H1069" t="s">
        <v>2729</v>
      </c>
      <c r="I1069" t="s">
        <v>2730</v>
      </c>
      <c r="J1069" t="s">
        <v>186</v>
      </c>
      <c r="K1069" t="s">
        <v>205</v>
      </c>
      <c r="L1069" t="s">
        <v>205</v>
      </c>
      <c r="M1069" t="s">
        <v>206</v>
      </c>
      <c r="N1069" t="s">
        <v>2230</v>
      </c>
      <c r="O1069">
        <v>10012962</v>
      </c>
      <c r="P1069" s="120">
        <v>42647</v>
      </c>
      <c r="Q1069" s="120">
        <v>42649</v>
      </c>
      <c r="R1069" s="120">
        <v>42685</v>
      </c>
      <c r="S1069" t="s">
        <v>196</v>
      </c>
      <c r="T1069">
        <v>3</v>
      </c>
      <c r="U1069" t="s">
        <v>128</v>
      </c>
      <c r="V1069">
        <v>3</v>
      </c>
      <c r="W1069">
        <v>2</v>
      </c>
      <c r="X1069">
        <v>2</v>
      </c>
      <c r="Y1069">
        <v>2</v>
      </c>
      <c r="Z1069">
        <v>2</v>
      </c>
      <c r="AA1069">
        <v>2</v>
      </c>
      <c r="AB1069" t="s">
        <v>2733</v>
      </c>
      <c r="AC1069" t="s">
        <v>2730</v>
      </c>
      <c r="AD1069" t="s">
        <v>2730</v>
      </c>
      <c r="AE1069" t="s">
        <v>2730</v>
      </c>
      <c r="AF1069" t="s">
        <v>2730</v>
      </c>
      <c r="AG1069" t="s">
        <v>2730</v>
      </c>
      <c r="AH1069" t="s">
        <v>2730</v>
      </c>
    </row>
    <row r="1070" spans="1:34">
      <c r="A1070" s="149" t="str">
        <f>HYPERLINK("http://www.ofsted.gov.uk/inspection-reports/find-inspection-report/provider/ELS/137784 ","Ofsted School Webpage")</f>
        <v>Ofsted School Webpage</v>
      </c>
      <c r="B1070">
        <v>137784</v>
      </c>
      <c r="C1070">
        <v>3026015</v>
      </c>
      <c r="D1070" t="s">
        <v>2448</v>
      </c>
      <c r="E1070" t="s">
        <v>37</v>
      </c>
      <c r="F1070" t="s">
        <v>184</v>
      </c>
      <c r="G1070" t="s">
        <v>304</v>
      </c>
      <c r="H1070" t="s">
        <v>2729</v>
      </c>
      <c r="I1070" t="s">
        <v>2730</v>
      </c>
      <c r="J1070" t="s">
        <v>186</v>
      </c>
      <c r="K1070" t="s">
        <v>232</v>
      </c>
      <c r="L1070" t="s">
        <v>232</v>
      </c>
      <c r="M1070" t="s">
        <v>311</v>
      </c>
      <c r="N1070" t="s">
        <v>2449</v>
      </c>
      <c r="O1070" t="s">
        <v>2450</v>
      </c>
      <c r="P1070" s="120">
        <v>41234</v>
      </c>
      <c r="Q1070" s="120">
        <v>41235</v>
      </c>
      <c r="R1070" s="120">
        <v>41256</v>
      </c>
      <c r="S1070" t="s">
        <v>249</v>
      </c>
      <c r="T1070">
        <v>1</v>
      </c>
      <c r="U1070" t="s">
        <v>2730</v>
      </c>
      <c r="V1070" t="s">
        <v>2730</v>
      </c>
      <c r="W1070" t="s">
        <v>2730</v>
      </c>
      <c r="X1070">
        <v>1</v>
      </c>
      <c r="Y1070">
        <v>1</v>
      </c>
      <c r="Z1070">
        <v>8</v>
      </c>
      <c r="AA1070" t="s">
        <v>2730</v>
      </c>
      <c r="AB1070" t="s">
        <v>2730</v>
      </c>
      <c r="AC1070" t="s">
        <v>2730</v>
      </c>
      <c r="AD1070" t="s">
        <v>2730</v>
      </c>
      <c r="AE1070" t="s">
        <v>2730</v>
      </c>
      <c r="AF1070" t="s">
        <v>2730</v>
      </c>
      <c r="AG1070" t="s">
        <v>2730</v>
      </c>
      <c r="AH1070" t="s">
        <v>2730</v>
      </c>
    </row>
    <row r="1071" spans="1:34">
      <c r="A1071" s="149" t="str">
        <f>HYPERLINK("http://www.ofsted.gov.uk/inspection-reports/find-inspection-report/provider/ELS/137574 ","Ofsted School Webpage")</f>
        <v>Ofsted School Webpage</v>
      </c>
      <c r="B1071">
        <v>137574</v>
      </c>
      <c r="C1071">
        <v>8616006</v>
      </c>
      <c r="D1071" t="s">
        <v>526</v>
      </c>
      <c r="E1071" t="s">
        <v>37</v>
      </c>
      <c r="F1071" t="s">
        <v>184</v>
      </c>
      <c r="G1071" t="s">
        <v>184</v>
      </c>
      <c r="H1071" t="s">
        <v>2729</v>
      </c>
      <c r="I1071" t="s">
        <v>2730</v>
      </c>
      <c r="J1071" t="s">
        <v>186</v>
      </c>
      <c r="K1071" t="s">
        <v>193</v>
      </c>
      <c r="L1071" t="s">
        <v>193</v>
      </c>
      <c r="M1071" t="s">
        <v>492</v>
      </c>
      <c r="N1071" t="s">
        <v>527</v>
      </c>
      <c r="O1071">
        <v>10006068</v>
      </c>
      <c r="P1071" s="120">
        <v>43018</v>
      </c>
      <c r="Q1071" s="120">
        <v>43020</v>
      </c>
      <c r="R1071" s="120">
        <v>43047</v>
      </c>
      <c r="S1071" t="s">
        <v>196</v>
      </c>
      <c r="T1071">
        <v>2</v>
      </c>
      <c r="U1071" t="s">
        <v>128</v>
      </c>
      <c r="V1071">
        <v>2</v>
      </c>
      <c r="W1071">
        <v>2</v>
      </c>
      <c r="X1071">
        <v>2</v>
      </c>
      <c r="Y1071">
        <v>2</v>
      </c>
      <c r="Z1071" t="s">
        <v>2730</v>
      </c>
      <c r="AA1071" t="s">
        <v>2730</v>
      </c>
      <c r="AB1071" t="s">
        <v>2732</v>
      </c>
      <c r="AC1071" t="s">
        <v>2730</v>
      </c>
      <c r="AD1071" t="s">
        <v>2730</v>
      </c>
      <c r="AE1071" t="s">
        <v>2730</v>
      </c>
      <c r="AF1071" t="s">
        <v>2730</v>
      </c>
      <c r="AG1071" t="s">
        <v>2730</v>
      </c>
      <c r="AH1071" t="s">
        <v>2730</v>
      </c>
    </row>
    <row r="1072" spans="1:34">
      <c r="A1072" s="149" t="str">
        <f>HYPERLINK("http://www.ofsted.gov.uk/inspection-reports/find-inspection-report/provider/ELS/138516 ","Ofsted School Webpage")</f>
        <v>Ofsted School Webpage</v>
      </c>
      <c r="B1072">
        <v>138516</v>
      </c>
      <c r="C1072">
        <v>2046006</v>
      </c>
      <c r="D1072" t="s">
        <v>2451</v>
      </c>
      <c r="E1072" t="s">
        <v>37</v>
      </c>
      <c r="F1072" t="s">
        <v>825</v>
      </c>
      <c r="G1072" t="s">
        <v>318</v>
      </c>
      <c r="H1072" t="s">
        <v>2729</v>
      </c>
      <c r="I1072" t="s">
        <v>2730</v>
      </c>
      <c r="J1072" t="s">
        <v>186</v>
      </c>
      <c r="K1072" t="s">
        <v>232</v>
      </c>
      <c r="L1072" t="s">
        <v>232</v>
      </c>
      <c r="M1072" t="s">
        <v>479</v>
      </c>
      <c r="N1072" t="s">
        <v>1889</v>
      </c>
      <c r="O1072" t="s">
        <v>3112</v>
      </c>
      <c r="P1072" s="120">
        <v>41457</v>
      </c>
      <c r="Q1072" s="120">
        <v>41459</v>
      </c>
      <c r="R1072" s="120">
        <v>41508</v>
      </c>
      <c r="S1072" t="s">
        <v>249</v>
      </c>
      <c r="T1072">
        <v>2</v>
      </c>
      <c r="U1072" t="s">
        <v>2730</v>
      </c>
      <c r="V1072">
        <v>2</v>
      </c>
      <c r="W1072" t="s">
        <v>2730</v>
      </c>
      <c r="X1072">
        <v>2</v>
      </c>
      <c r="Y1072">
        <v>2</v>
      </c>
      <c r="Z1072" t="s">
        <v>2730</v>
      </c>
      <c r="AA1072" t="s">
        <v>2730</v>
      </c>
      <c r="AB1072" t="s">
        <v>2730</v>
      </c>
      <c r="AC1072" t="s">
        <v>2730</v>
      </c>
      <c r="AD1072" t="s">
        <v>2730</v>
      </c>
      <c r="AE1072" t="s">
        <v>2730</v>
      </c>
      <c r="AF1072" t="s">
        <v>2730</v>
      </c>
      <c r="AG1072" t="s">
        <v>2730</v>
      </c>
      <c r="AH1072" t="s">
        <v>2730</v>
      </c>
    </row>
    <row r="1073" spans="1:34">
      <c r="A1073" s="149" t="str">
        <f>HYPERLINK("http://www.ofsted.gov.uk/inspection-reports/find-inspection-report/provider/ELS/108307 ","Ofsted School Webpage")</f>
        <v>Ofsted School Webpage</v>
      </c>
      <c r="B1073">
        <v>108307</v>
      </c>
      <c r="C1073">
        <v>3846116</v>
      </c>
      <c r="D1073" t="s">
        <v>2452</v>
      </c>
      <c r="E1073" t="s">
        <v>37</v>
      </c>
      <c r="F1073" t="s">
        <v>184</v>
      </c>
      <c r="G1073" t="s">
        <v>292</v>
      </c>
      <c r="H1073" t="s">
        <v>2729</v>
      </c>
      <c r="I1073" t="s">
        <v>2730</v>
      </c>
      <c r="J1073" t="s">
        <v>186</v>
      </c>
      <c r="K1073" t="s">
        <v>245</v>
      </c>
      <c r="L1073" t="s">
        <v>246</v>
      </c>
      <c r="M1073" t="s">
        <v>563</v>
      </c>
      <c r="N1073" t="s">
        <v>2453</v>
      </c>
      <c r="O1073">
        <v>10006062</v>
      </c>
      <c r="P1073" s="120">
        <v>42486</v>
      </c>
      <c r="Q1073" s="120">
        <v>42488</v>
      </c>
      <c r="R1073" s="120">
        <v>42510</v>
      </c>
      <c r="S1073" t="s">
        <v>196</v>
      </c>
      <c r="T1073">
        <v>2</v>
      </c>
      <c r="U1073" t="s">
        <v>128</v>
      </c>
      <c r="V1073">
        <v>2</v>
      </c>
      <c r="W1073">
        <v>1</v>
      </c>
      <c r="X1073">
        <v>2</v>
      </c>
      <c r="Y1073">
        <v>2</v>
      </c>
      <c r="Z1073">
        <v>2</v>
      </c>
      <c r="AA1073" t="s">
        <v>2730</v>
      </c>
      <c r="AB1073" t="s">
        <v>2732</v>
      </c>
      <c r="AC1073" t="s">
        <v>2730</v>
      </c>
      <c r="AD1073" t="s">
        <v>2730</v>
      </c>
      <c r="AE1073" t="s">
        <v>2730</v>
      </c>
      <c r="AF1073" t="s">
        <v>2730</v>
      </c>
      <c r="AG1073" t="s">
        <v>2730</v>
      </c>
      <c r="AH1073" t="s">
        <v>2730</v>
      </c>
    </row>
    <row r="1074" spans="1:34">
      <c r="A1074" s="149" t="str">
        <f>HYPERLINK("http://www.ofsted.gov.uk/inspection-reports/find-inspection-report/provider/ELS/142225 ","Ofsted School Webpage")</f>
        <v>Ofsted School Webpage</v>
      </c>
      <c r="B1074">
        <v>142225</v>
      </c>
      <c r="C1074">
        <v>3566000</v>
      </c>
      <c r="D1074" t="s">
        <v>3113</v>
      </c>
      <c r="E1074" t="s">
        <v>38</v>
      </c>
      <c r="F1074" t="s">
        <v>184</v>
      </c>
      <c r="G1074" t="s">
        <v>184</v>
      </c>
      <c r="H1074" t="s">
        <v>2729</v>
      </c>
      <c r="I1074" t="s">
        <v>2730</v>
      </c>
      <c r="J1074" t="s">
        <v>186</v>
      </c>
      <c r="K1074" t="s">
        <v>205</v>
      </c>
      <c r="L1074" t="s">
        <v>205</v>
      </c>
      <c r="M1074" t="s">
        <v>346</v>
      </c>
      <c r="N1074" t="s">
        <v>2185</v>
      </c>
      <c r="O1074">
        <v>10012844</v>
      </c>
      <c r="P1074" s="120">
        <v>42563</v>
      </c>
      <c r="Q1074" s="120">
        <v>42565</v>
      </c>
      <c r="R1074" s="120">
        <v>42627</v>
      </c>
      <c r="S1074" t="s">
        <v>249</v>
      </c>
      <c r="T1074">
        <v>2</v>
      </c>
      <c r="U1074" t="s">
        <v>128</v>
      </c>
      <c r="V1074">
        <v>2</v>
      </c>
      <c r="W1074">
        <v>2</v>
      </c>
      <c r="X1074">
        <v>2</v>
      </c>
      <c r="Y1074">
        <v>2</v>
      </c>
      <c r="Z1074" t="s">
        <v>2730</v>
      </c>
      <c r="AA1074" t="s">
        <v>2730</v>
      </c>
      <c r="AB1074" t="s">
        <v>2732</v>
      </c>
      <c r="AC1074" t="s">
        <v>2730</v>
      </c>
      <c r="AD1074" t="s">
        <v>2730</v>
      </c>
      <c r="AE1074" t="s">
        <v>2730</v>
      </c>
      <c r="AF1074" t="s">
        <v>2730</v>
      </c>
      <c r="AG1074" t="s">
        <v>2730</v>
      </c>
      <c r="AH1074" t="s">
        <v>2730</v>
      </c>
    </row>
    <row r="1075" spans="1:34">
      <c r="A1075" s="149" t="str">
        <f>HYPERLINK("http://www.ofsted.gov.uk/inspection-reports/find-inspection-report/provider/ELS/142320 ","Ofsted School Webpage")</f>
        <v>Ofsted School Webpage</v>
      </c>
      <c r="B1075">
        <v>142320</v>
      </c>
      <c r="C1075">
        <v>3706000</v>
      </c>
      <c r="D1075" t="s">
        <v>1288</v>
      </c>
      <c r="E1075" t="s">
        <v>38</v>
      </c>
      <c r="F1075" t="s">
        <v>184</v>
      </c>
      <c r="G1075" t="s">
        <v>184</v>
      </c>
      <c r="H1075" t="s">
        <v>2729</v>
      </c>
      <c r="I1075" t="s">
        <v>2730</v>
      </c>
      <c r="J1075" t="s">
        <v>186</v>
      </c>
      <c r="K1075" t="s">
        <v>245</v>
      </c>
      <c r="L1075" t="s">
        <v>246</v>
      </c>
      <c r="M1075" t="s">
        <v>566</v>
      </c>
      <c r="N1075" t="s">
        <v>2186</v>
      </c>
      <c r="O1075">
        <v>10012849</v>
      </c>
      <c r="P1075" s="120">
        <v>42472</v>
      </c>
      <c r="Q1075" s="120">
        <v>42474</v>
      </c>
      <c r="R1075" s="120">
        <v>42521</v>
      </c>
      <c r="S1075" t="s">
        <v>249</v>
      </c>
      <c r="T1075">
        <v>2</v>
      </c>
      <c r="U1075" t="s">
        <v>128</v>
      </c>
      <c r="V1075">
        <v>2</v>
      </c>
      <c r="W1075">
        <v>2</v>
      </c>
      <c r="X1075">
        <v>2</v>
      </c>
      <c r="Y1075">
        <v>2</v>
      </c>
      <c r="Z1075" t="s">
        <v>2730</v>
      </c>
      <c r="AA1075" t="s">
        <v>2730</v>
      </c>
      <c r="AB1075" t="s">
        <v>2732</v>
      </c>
      <c r="AC1075" t="s">
        <v>2730</v>
      </c>
      <c r="AD1075" t="s">
        <v>2730</v>
      </c>
      <c r="AE1075" t="s">
        <v>2730</v>
      </c>
      <c r="AF1075" t="s">
        <v>2730</v>
      </c>
      <c r="AG1075" t="s">
        <v>2730</v>
      </c>
      <c r="AH1075" t="s">
        <v>2730</v>
      </c>
    </row>
    <row r="1076" spans="1:34">
      <c r="A1076" s="149" t="str">
        <f>HYPERLINK("http://www.ofsted.gov.uk/inspection-reports/find-inspection-report/provider/ELS/142322 ","Ofsted School Webpage")</f>
        <v>Ofsted School Webpage</v>
      </c>
      <c r="B1076">
        <v>142322</v>
      </c>
      <c r="C1076">
        <v>8266015</v>
      </c>
      <c r="D1076" t="s">
        <v>2187</v>
      </c>
      <c r="E1076" t="s">
        <v>38</v>
      </c>
      <c r="F1076" t="s">
        <v>184</v>
      </c>
      <c r="G1076" t="s">
        <v>184</v>
      </c>
      <c r="H1076" t="s">
        <v>2729</v>
      </c>
      <c r="I1076" t="s">
        <v>2730</v>
      </c>
      <c r="J1076" t="s">
        <v>186</v>
      </c>
      <c r="K1076" t="s">
        <v>181</v>
      </c>
      <c r="L1076" t="s">
        <v>181</v>
      </c>
      <c r="M1076" t="s">
        <v>2188</v>
      </c>
      <c r="N1076" t="s">
        <v>2189</v>
      </c>
      <c r="O1076">
        <v>10012899</v>
      </c>
      <c r="P1076" s="120">
        <v>42654</v>
      </c>
      <c r="Q1076" s="120">
        <v>42656</v>
      </c>
      <c r="R1076" s="120">
        <v>42681</v>
      </c>
      <c r="S1076" t="s">
        <v>249</v>
      </c>
      <c r="T1076">
        <v>2</v>
      </c>
      <c r="U1076" t="s">
        <v>128</v>
      </c>
      <c r="V1076">
        <v>2</v>
      </c>
      <c r="W1076">
        <v>2</v>
      </c>
      <c r="X1076">
        <v>2</v>
      </c>
      <c r="Y1076">
        <v>2</v>
      </c>
      <c r="Z1076" t="s">
        <v>2730</v>
      </c>
      <c r="AA1076" t="s">
        <v>2730</v>
      </c>
      <c r="AB1076" t="s">
        <v>2732</v>
      </c>
      <c r="AC1076" t="s">
        <v>2730</v>
      </c>
      <c r="AD1076" t="s">
        <v>2730</v>
      </c>
      <c r="AE1076" s="120" t="s">
        <v>2730</v>
      </c>
      <c r="AF1076" t="s">
        <v>2730</v>
      </c>
      <c r="AG1076" s="120" t="s">
        <v>2730</v>
      </c>
      <c r="AH1076" t="s">
        <v>2730</v>
      </c>
    </row>
    <row r="1077" spans="1:34">
      <c r="A1077" s="149" t="str">
        <f>HYPERLINK("http://www.ofsted.gov.uk/inspection-reports/find-inspection-report/provider/ELS/142324 ","Ofsted School Webpage")</f>
        <v>Ofsted School Webpage</v>
      </c>
      <c r="B1077">
        <v>142324</v>
      </c>
      <c r="C1077">
        <v>3816016</v>
      </c>
      <c r="D1077" t="s">
        <v>2454</v>
      </c>
      <c r="E1077" t="s">
        <v>38</v>
      </c>
      <c r="F1077" t="s">
        <v>184</v>
      </c>
      <c r="G1077" t="s">
        <v>184</v>
      </c>
      <c r="H1077" t="s">
        <v>2729</v>
      </c>
      <c r="I1077" t="s">
        <v>2730</v>
      </c>
      <c r="J1077" t="s">
        <v>186</v>
      </c>
      <c r="K1077" t="s">
        <v>245</v>
      </c>
      <c r="L1077" t="s">
        <v>246</v>
      </c>
      <c r="M1077" t="s">
        <v>1376</v>
      </c>
      <c r="N1077" t="s">
        <v>2455</v>
      </c>
      <c r="O1077">
        <v>10012870</v>
      </c>
      <c r="P1077" s="120">
        <v>42549</v>
      </c>
      <c r="Q1077" s="120">
        <v>42551</v>
      </c>
      <c r="R1077" s="120">
        <v>42634</v>
      </c>
      <c r="S1077" t="s">
        <v>249</v>
      </c>
      <c r="T1077">
        <v>2</v>
      </c>
      <c r="U1077" t="s">
        <v>128</v>
      </c>
      <c r="V1077">
        <v>2</v>
      </c>
      <c r="W1077">
        <v>2</v>
      </c>
      <c r="X1077">
        <v>2</v>
      </c>
      <c r="Y1077">
        <v>2</v>
      </c>
      <c r="Z1077" t="s">
        <v>2730</v>
      </c>
      <c r="AA1077" t="s">
        <v>2730</v>
      </c>
      <c r="AB1077" t="s">
        <v>2732</v>
      </c>
      <c r="AC1077" t="s">
        <v>2730</v>
      </c>
      <c r="AD1077" t="s">
        <v>2730</v>
      </c>
      <c r="AE1077" t="s">
        <v>2730</v>
      </c>
      <c r="AF1077" t="s">
        <v>2730</v>
      </c>
      <c r="AG1077" t="s">
        <v>2730</v>
      </c>
      <c r="AH1077" t="s">
        <v>2730</v>
      </c>
    </row>
    <row r="1078" spans="1:34">
      <c r="A1078" s="149" t="str">
        <f>HYPERLINK("http://www.ofsted.gov.uk/inspection-reports/find-inspection-report/provider/ELS/142332 ","Ofsted School Webpage")</f>
        <v>Ofsted School Webpage</v>
      </c>
      <c r="B1078">
        <v>142332</v>
      </c>
      <c r="C1078">
        <v>8966002</v>
      </c>
      <c r="D1078" t="s">
        <v>789</v>
      </c>
      <c r="E1078" t="s">
        <v>37</v>
      </c>
      <c r="F1078" t="s">
        <v>184</v>
      </c>
      <c r="G1078" t="s">
        <v>184</v>
      </c>
      <c r="H1078" t="s">
        <v>2729</v>
      </c>
      <c r="I1078" t="s">
        <v>2730</v>
      </c>
      <c r="J1078" t="s">
        <v>186</v>
      </c>
      <c r="K1078" t="s">
        <v>205</v>
      </c>
      <c r="L1078" t="s">
        <v>205</v>
      </c>
      <c r="M1078" t="s">
        <v>372</v>
      </c>
      <c r="N1078" t="s">
        <v>790</v>
      </c>
      <c r="O1078">
        <v>10012942</v>
      </c>
      <c r="P1078" s="120">
        <v>42703</v>
      </c>
      <c r="Q1078" s="120">
        <v>42705</v>
      </c>
      <c r="R1078" s="120">
        <v>42752</v>
      </c>
      <c r="S1078" t="s">
        <v>249</v>
      </c>
      <c r="T1078">
        <v>2</v>
      </c>
      <c r="U1078" t="s">
        <v>128</v>
      </c>
      <c r="V1078">
        <v>2</v>
      </c>
      <c r="W1078">
        <v>2</v>
      </c>
      <c r="X1078">
        <v>2</v>
      </c>
      <c r="Y1078">
        <v>2</v>
      </c>
      <c r="Z1078" t="s">
        <v>2730</v>
      </c>
      <c r="AA1078" t="s">
        <v>2730</v>
      </c>
      <c r="AB1078" t="s">
        <v>2732</v>
      </c>
      <c r="AC1078" t="s">
        <v>2730</v>
      </c>
      <c r="AD1078" t="s">
        <v>2730</v>
      </c>
      <c r="AE1078" t="s">
        <v>2730</v>
      </c>
      <c r="AF1078" t="s">
        <v>2730</v>
      </c>
      <c r="AG1078" t="s">
        <v>2730</v>
      </c>
      <c r="AH1078" t="s">
        <v>2730</v>
      </c>
    </row>
    <row r="1079" spans="1:34">
      <c r="A1079" s="149" t="str">
        <f>HYPERLINK("http://www.ofsted.gov.uk/inspection-reports/find-inspection-report/provider/ELS/142625 ","Ofsted School Webpage")</f>
        <v>Ofsted School Webpage</v>
      </c>
      <c r="B1079">
        <v>142625</v>
      </c>
      <c r="C1079">
        <v>8736053</v>
      </c>
      <c r="D1079" t="s">
        <v>522</v>
      </c>
      <c r="E1079" t="s">
        <v>37</v>
      </c>
      <c r="F1079" t="s">
        <v>184</v>
      </c>
      <c r="G1079" t="s">
        <v>184</v>
      </c>
      <c r="H1079" t="s">
        <v>2729</v>
      </c>
      <c r="I1079" t="s">
        <v>2730</v>
      </c>
      <c r="J1079" t="s">
        <v>186</v>
      </c>
      <c r="K1079" t="s">
        <v>220</v>
      </c>
      <c r="L1079" t="s">
        <v>220</v>
      </c>
      <c r="M1079" t="s">
        <v>284</v>
      </c>
      <c r="N1079" t="s">
        <v>523</v>
      </c>
      <c r="O1079">
        <v>10033609</v>
      </c>
      <c r="P1079" s="120">
        <v>43011</v>
      </c>
      <c r="Q1079" s="120">
        <v>43013</v>
      </c>
      <c r="R1079" s="120">
        <v>43052</v>
      </c>
      <c r="S1079" t="s">
        <v>249</v>
      </c>
      <c r="T1079">
        <v>3</v>
      </c>
      <c r="U1079" t="s">
        <v>128</v>
      </c>
      <c r="V1079">
        <v>3</v>
      </c>
      <c r="W1079">
        <v>2</v>
      </c>
      <c r="X1079">
        <v>3</v>
      </c>
      <c r="Y1079">
        <v>3</v>
      </c>
      <c r="Z1079" t="s">
        <v>2730</v>
      </c>
      <c r="AA1079">
        <v>3</v>
      </c>
      <c r="AB1079" t="s">
        <v>2733</v>
      </c>
      <c r="AC1079" t="s">
        <v>2730</v>
      </c>
      <c r="AD1079" t="s">
        <v>2730</v>
      </c>
      <c r="AE1079" t="s">
        <v>2730</v>
      </c>
      <c r="AF1079" t="s">
        <v>2730</v>
      </c>
      <c r="AG1079" t="s">
        <v>2730</v>
      </c>
      <c r="AH1079" t="s">
        <v>2730</v>
      </c>
    </row>
    <row r="1080" spans="1:34">
      <c r="A1080" s="149" t="str">
        <f>HYPERLINK("http://www.ofsted.gov.uk/inspection-reports/find-inspection-report/provider/ELS/142635 ","Ofsted School Webpage")</f>
        <v>Ofsted School Webpage</v>
      </c>
      <c r="B1080">
        <v>142635</v>
      </c>
      <c r="C1080">
        <v>8576006</v>
      </c>
      <c r="D1080" t="s">
        <v>2601</v>
      </c>
      <c r="E1080" t="s">
        <v>38</v>
      </c>
      <c r="F1080" t="s">
        <v>184</v>
      </c>
      <c r="G1080" t="s">
        <v>184</v>
      </c>
      <c r="H1080" t="s">
        <v>2729</v>
      </c>
      <c r="I1080" t="s">
        <v>2730</v>
      </c>
      <c r="J1080" t="s">
        <v>186</v>
      </c>
      <c r="K1080" t="s">
        <v>214</v>
      </c>
      <c r="L1080" t="s">
        <v>214</v>
      </c>
      <c r="M1080" t="s">
        <v>628</v>
      </c>
      <c r="N1080" t="s">
        <v>2602</v>
      </c>
      <c r="O1080">
        <v>10026055</v>
      </c>
      <c r="P1080" s="120">
        <v>42815</v>
      </c>
      <c r="Q1080" s="120">
        <v>42817</v>
      </c>
      <c r="R1080" s="120">
        <v>42849</v>
      </c>
      <c r="S1080" t="s">
        <v>196</v>
      </c>
      <c r="T1080">
        <v>1</v>
      </c>
      <c r="U1080" t="s">
        <v>128</v>
      </c>
      <c r="V1080">
        <v>1</v>
      </c>
      <c r="W1080">
        <v>1</v>
      </c>
      <c r="X1080">
        <v>1</v>
      </c>
      <c r="Y1080">
        <v>1</v>
      </c>
      <c r="Z1080" t="s">
        <v>2730</v>
      </c>
      <c r="AA1080">
        <v>1</v>
      </c>
      <c r="AB1080" t="s">
        <v>2732</v>
      </c>
      <c r="AC1080" t="s">
        <v>2730</v>
      </c>
      <c r="AD1080" t="s">
        <v>2730</v>
      </c>
      <c r="AE1080" s="120" t="s">
        <v>2730</v>
      </c>
      <c r="AF1080" t="s">
        <v>2730</v>
      </c>
      <c r="AG1080" s="120" t="s">
        <v>2730</v>
      </c>
      <c r="AH1080" t="s">
        <v>2730</v>
      </c>
    </row>
    <row r="1081" spans="1:34">
      <c r="A1081" s="149" t="str">
        <f>HYPERLINK("http://www.ofsted.gov.uk/inspection-reports/find-inspection-report/provider/ELS/142657 ","Ofsted School Webpage")</f>
        <v>Ofsted School Webpage</v>
      </c>
      <c r="B1081">
        <v>142657</v>
      </c>
      <c r="C1081">
        <v>8606043</v>
      </c>
      <c r="D1081" t="s">
        <v>2603</v>
      </c>
      <c r="E1081" t="s">
        <v>37</v>
      </c>
      <c r="F1081" t="s">
        <v>184</v>
      </c>
      <c r="G1081" t="s">
        <v>184</v>
      </c>
      <c r="H1081" t="s">
        <v>2729</v>
      </c>
      <c r="I1081" t="s">
        <v>2730</v>
      </c>
      <c r="J1081" t="s">
        <v>186</v>
      </c>
      <c r="K1081" t="s">
        <v>193</v>
      </c>
      <c r="L1081" t="s">
        <v>193</v>
      </c>
      <c r="M1081" t="s">
        <v>314</v>
      </c>
      <c r="N1081" t="s">
        <v>2604</v>
      </c>
      <c r="O1081" t="s">
        <v>2730</v>
      </c>
      <c r="P1081" s="120" t="s">
        <v>2730</v>
      </c>
      <c r="Q1081" s="120" t="s">
        <v>2730</v>
      </c>
      <c r="R1081" s="120" t="s">
        <v>2730</v>
      </c>
      <c r="S1081" t="s">
        <v>2730</v>
      </c>
      <c r="T1081" t="s">
        <v>2730</v>
      </c>
      <c r="U1081" t="s">
        <v>2730</v>
      </c>
      <c r="V1081" t="s">
        <v>2730</v>
      </c>
      <c r="W1081" t="s">
        <v>2730</v>
      </c>
      <c r="X1081" t="s">
        <v>2730</v>
      </c>
      <c r="Y1081" t="s">
        <v>2730</v>
      </c>
      <c r="Z1081" t="s">
        <v>2730</v>
      </c>
      <c r="AA1081" t="s">
        <v>2730</v>
      </c>
      <c r="AB1081" t="s">
        <v>2730</v>
      </c>
      <c r="AC1081" t="s">
        <v>2730</v>
      </c>
      <c r="AD1081" t="s">
        <v>2730</v>
      </c>
      <c r="AE1081" t="s">
        <v>2730</v>
      </c>
      <c r="AF1081" t="s">
        <v>2730</v>
      </c>
      <c r="AG1081" t="s">
        <v>2730</v>
      </c>
      <c r="AH1081" t="s">
        <v>2730</v>
      </c>
    </row>
    <row r="1082" spans="1:34">
      <c r="A1082" s="149" t="str">
        <f>HYPERLINK("http://www.ofsted.gov.uk/inspection-reports/find-inspection-report/provider/ELS/142659 ","Ofsted School Webpage")</f>
        <v>Ofsted School Webpage</v>
      </c>
      <c r="B1082">
        <v>142659</v>
      </c>
      <c r="C1082">
        <v>8556036</v>
      </c>
      <c r="D1082" t="s">
        <v>351</v>
      </c>
      <c r="E1082" t="s">
        <v>38</v>
      </c>
      <c r="F1082" t="s">
        <v>184</v>
      </c>
      <c r="G1082" t="s">
        <v>184</v>
      </c>
      <c r="H1082" t="s">
        <v>2729</v>
      </c>
      <c r="I1082" t="s">
        <v>2730</v>
      </c>
      <c r="J1082" t="s">
        <v>186</v>
      </c>
      <c r="K1082" t="s">
        <v>214</v>
      </c>
      <c r="L1082" t="s">
        <v>214</v>
      </c>
      <c r="M1082" t="s">
        <v>281</v>
      </c>
      <c r="N1082" t="s">
        <v>352</v>
      </c>
      <c r="O1082">
        <v>10039199</v>
      </c>
      <c r="P1082" s="120">
        <v>42990</v>
      </c>
      <c r="Q1082" s="120">
        <v>42991</v>
      </c>
      <c r="R1082" s="120">
        <v>43018</v>
      </c>
      <c r="S1082" t="s">
        <v>249</v>
      </c>
      <c r="T1082">
        <v>2</v>
      </c>
      <c r="U1082" t="s">
        <v>128</v>
      </c>
      <c r="V1082">
        <v>2</v>
      </c>
      <c r="W1082">
        <v>2</v>
      </c>
      <c r="X1082">
        <v>2</v>
      </c>
      <c r="Y1082">
        <v>2</v>
      </c>
      <c r="Z1082" t="s">
        <v>2730</v>
      </c>
      <c r="AA1082" t="s">
        <v>2730</v>
      </c>
      <c r="AB1082" t="s">
        <v>2732</v>
      </c>
      <c r="AC1082" t="s">
        <v>2730</v>
      </c>
      <c r="AD1082" t="s">
        <v>2730</v>
      </c>
      <c r="AE1082" t="s">
        <v>2730</v>
      </c>
      <c r="AF1082" t="s">
        <v>2730</v>
      </c>
      <c r="AG1082" t="s">
        <v>2730</v>
      </c>
      <c r="AH1082" t="s">
        <v>2730</v>
      </c>
    </row>
    <row r="1083" spans="1:34">
      <c r="A1083" s="149" t="str">
        <f>HYPERLINK("http://www.ofsted.gov.uk/inspection-reports/find-inspection-report/provider/ELS/142660 ","Ofsted School Webpage")</f>
        <v>Ofsted School Webpage</v>
      </c>
      <c r="B1083">
        <v>142660</v>
      </c>
      <c r="C1083">
        <v>8256047</v>
      </c>
      <c r="D1083" t="s">
        <v>2463</v>
      </c>
      <c r="E1083" t="s">
        <v>37</v>
      </c>
      <c r="F1083" t="s">
        <v>184</v>
      </c>
      <c r="G1083" t="s">
        <v>212</v>
      </c>
      <c r="H1083" t="s">
        <v>2729</v>
      </c>
      <c r="I1083" t="s">
        <v>2730</v>
      </c>
      <c r="J1083" t="s">
        <v>186</v>
      </c>
      <c r="K1083" t="s">
        <v>181</v>
      </c>
      <c r="L1083" t="s">
        <v>181</v>
      </c>
      <c r="M1083" t="s">
        <v>251</v>
      </c>
      <c r="N1083" t="s">
        <v>2464</v>
      </c>
      <c r="O1083" t="s">
        <v>2730</v>
      </c>
      <c r="P1083" s="120" t="s">
        <v>2730</v>
      </c>
      <c r="Q1083" s="120" t="s">
        <v>2730</v>
      </c>
      <c r="R1083" s="120" t="s">
        <v>2730</v>
      </c>
      <c r="S1083" t="s">
        <v>2730</v>
      </c>
      <c r="T1083" t="s">
        <v>2730</v>
      </c>
      <c r="U1083" t="s">
        <v>2730</v>
      </c>
      <c r="V1083" t="s">
        <v>2730</v>
      </c>
      <c r="W1083" t="s">
        <v>2730</v>
      </c>
      <c r="X1083" t="s">
        <v>2730</v>
      </c>
      <c r="Y1083" t="s">
        <v>2730</v>
      </c>
      <c r="Z1083" t="s">
        <v>2730</v>
      </c>
      <c r="AA1083" t="s">
        <v>2730</v>
      </c>
      <c r="AB1083" t="s">
        <v>2730</v>
      </c>
      <c r="AC1083" t="s">
        <v>2730</v>
      </c>
      <c r="AD1083" t="s">
        <v>2730</v>
      </c>
      <c r="AE1083" t="s">
        <v>2730</v>
      </c>
      <c r="AF1083" t="s">
        <v>2730</v>
      </c>
      <c r="AG1083" t="s">
        <v>2730</v>
      </c>
      <c r="AH1083" t="s">
        <v>2730</v>
      </c>
    </row>
    <row r="1084" spans="1:34">
      <c r="A1084" s="149" t="str">
        <f>HYPERLINK("http://www.ofsted.gov.uk/inspection-reports/find-inspection-report/provider/ELS/143081 ","Ofsted School Webpage")</f>
        <v>Ofsted School Webpage</v>
      </c>
      <c r="B1084">
        <v>143081</v>
      </c>
      <c r="C1084">
        <v>9356009</v>
      </c>
      <c r="D1084" t="s">
        <v>2471</v>
      </c>
      <c r="E1084" t="s">
        <v>37</v>
      </c>
      <c r="F1084" t="s">
        <v>184</v>
      </c>
      <c r="G1084" t="s">
        <v>184</v>
      </c>
      <c r="H1084" t="s">
        <v>2729</v>
      </c>
      <c r="I1084" t="s">
        <v>2730</v>
      </c>
      <c r="J1084" t="s">
        <v>186</v>
      </c>
      <c r="K1084" t="s">
        <v>220</v>
      </c>
      <c r="L1084" t="s">
        <v>220</v>
      </c>
      <c r="M1084" t="s">
        <v>297</v>
      </c>
      <c r="N1084" t="s">
        <v>2472</v>
      </c>
      <c r="O1084">
        <v>10033611</v>
      </c>
      <c r="P1084" s="120">
        <v>42899</v>
      </c>
      <c r="Q1084" s="120">
        <v>42901</v>
      </c>
      <c r="R1084" s="120">
        <v>42936</v>
      </c>
      <c r="S1084" t="s">
        <v>249</v>
      </c>
      <c r="T1084">
        <v>3</v>
      </c>
      <c r="U1084" t="s">
        <v>128</v>
      </c>
      <c r="V1084">
        <v>3</v>
      </c>
      <c r="W1084">
        <v>3</v>
      </c>
      <c r="X1084">
        <v>3</v>
      </c>
      <c r="Y1084">
        <v>3</v>
      </c>
      <c r="Z1084" t="s">
        <v>2730</v>
      </c>
      <c r="AA1084" t="s">
        <v>2730</v>
      </c>
      <c r="AB1084" t="s">
        <v>2733</v>
      </c>
      <c r="AC1084" t="s">
        <v>2730</v>
      </c>
      <c r="AD1084" t="s">
        <v>2730</v>
      </c>
      <c r="AE1084" s="120" t="s">
        <v>2730</v>
      </c>
      <c r="AF1084" t="s">
        <v>2730</v>
      </c>
      <c r="AG1084" s="120" t="s">
        <v>2730</v>
      </c>
      <c r="AH1084" t="s">
        <v>2730</v>
      </c>
    </row>
    <row r="1085" spans="1:34">
      <c r="A1085" s="149" t="str">
        <f>HYPERLINK("http://www.ofsted.gov.uk/inspection-reports/find-inspection-report/provider/ELS/143098 ","Ofsted School Webpage")</f>
        <v>Ofsted School Webpage</v>
      </c>
      <c r="B1085">
        <v>143098</v>
      </c>
      <c r="C1085">
        <v>3816018</v>
      </c>
      <c r="D1085" t="s">
        <v>2473</v>
      </c>
      <c r="E1085" t="s">
        <v>37</v>
      </c>
      <c r="F1085" t="s">
        <v>184</v>
      </c>
      <c r="G1085" t="s">
        <v>184</v>
      </c>
      <c r="H1085" t="s">
        <v>2729</v>
      </c>
      <c r="I1085" t="s">
        <v>2730</v>
      </c>
      <c r="J1085" t="s">
        <v>186</v>
      </c>
      <c r="K1085" t="s">
        <v>245</v>
      </c>
      <c r="L1085" t="s">
        <v>246</v>
      </c>
      <c r="M1085" t="s">
        <v>1376</v>
      </c>
      <c r="N1085" t="s">
        <v>2474</v>
      </c>
      <c r="O1085">
        <v>10025946</v>
      </c>
      <c r="P1085" s="120">
        <v>42703</v>
      </c>
      <c r="Q1085" s="120">
        <v>42705</v>
      </c>
      <c r="R1085" s="120">
        <v>42751</v>
      </c>
      <c r="S1085" t="s">
        <v>249</v>
      </c>
      <c r="T1085">
        <v>3</v>
      </c>
      <c r="U1085" t="s">
        <v>128</v>
      </c>
      <c r="V1085">
        <v>3</v>
      </c>
      <c r="W1085">
        <v>2</v>
      </c>
      <c r="X1085">
        <v>3</v>
      </c>
      <c r="Y1085">
        <v>3</v>
      </c>
      <c r="Z1085" t="s">
        <v>2730</v>
      </c>
      <c r="AA1085" t="s">
        <v>2730</v>
      </c>
      <c r="AB1085" t="s">
        <v>2733</v>
      </c>
      <c r="AC1085">
        <v>10038730</v>
      </c>
      <c r="AD1085" t="s">
        <v>187</v>
      </c>
      <c r="AE1085" s="120">
        <v>42906</v>
      </c>
      <c r="AF1085" t="s">
        <v>2769</v>
      </c>
      <c r="AG1085" s="120">
        <v>42940</v>
      </c>
      <c r="AH1085" t="s">
        <v>189</v>
      </c>
    </row>
    <row r="1086" spans="1:34">
      <c r="A1086" s="149" t="str">
        <f>HYPERLINK("http://www.ofsted.gov.uk/inspection-reports/find-inspection-report/provider/ELS/143102 ","Ofsted School Webpage")</f>
        <v>Ofsted School Webpage</v>
      </c>
      <c r="B1086">
        <v>143102</v>
      </c>
      <c r="C1086">
        <v>3846005</v>
      </c>
      <c r="D1086" t="s">
        <v>2475</v>
      </c>
      <c r="E1086" t="s">
        <v>37</v>
      </c>
      <c r="F1086" t="s">
        <v>212</v>
      </c>
      <c r="G1086" t="s">
        <v>184</v>
      </c>
      <c r="H1086" t="s">
        <v>2729</v>
      </c>
      <c r="I1086" t="s">
        <v>2730</v>
      </c>
      <c r="J1086" t="s">
        <v>186</v>
      </c>
      <c r="K1086" t="s">
        <v>245</v>
      </c>
      <c r="L1086" t="s">
        <v>246</v>
      </c>
      <c r="M1086" t="s">
        <v>563</v>
      </c>
      <c r="N1086" t="s">
        <v>2476</v>
      </c>
      <c r="O1086" t="s">
        <v>2730</v>
      </c>
      <c r="P1086" t="s">
        <v>2730</v>
      </c>
      <c r="Q1086" t="s">
        <v>2730</v>
      </c>
      <c r="R1086" t="s">
        <v>2730</v>
      </c>
      <c r="S1086" t="s">
        <v>2730</v>
      </c>
      <c r="T1086" t="s">
        <v>2730</v>
      </c>
      <c r="U1086" t="s">
        <v>2730</v>
      </c>
      <c r="V1086" t="s">
        <v>2730</v>
      </c>
      <c r="W1086" t="s">
        <v>2730</v>
      </c>
      <c r="X1086" t="s">
        <v>2730</v>
      </c>
      <c r="Y1086" t="s">
        <v>2730</v>
      </c>
      <c r="Z1086" t="s">
        <v>2730</v>
      </c>
      <c r="AA1086" t="s">
        <v>2730</v>
      </c>
      <c r="AB1086" t="s">
        <v>2730</v>
      </c>
      <c r="AC1086" t="s">
        <v>2730</v>
      </c>
      <c r="AD1086" t="s">
        <v>2730</v>
      </c>
      <c r="AE1086" t="s">
        <v>2730</v>
      </c>
      <c r="AF1086" t="s">
        <v>2730</v>
      </c>
      <c r="AG1086" t="s">
        <v>2730</v>
      </c>
      <c r="AH1086" t="s">
        <v>2730</v>
      </c>
    </row>
    <row r="1087" spans="1:34">
      <c r="A1087" s="149" t="str">
        <f>HYPERLINK("http://www.ofsted.gov.uk/inspection-reports/find-inspection-report/provider/ELS/143105 ","Ofsted School Webpage")</f>
        <v>Ofsted School Webpage</v>
      </c>
      <c r="B1087">
        <v>143105</v>
      </c>
      <c r="C1087">
        <v>3316004</v>
      </c>
      <c r="D1087" t="s">
        <v>2477</v>
      </c>
      <c r="E1087" t="s">
        <v>37</v>
      </c>
      <c r="F1087" t="s">
        <v>184</v>
      </c>
      <c r="G1087" t="s">
        <v>184</v>
      </c>
      <c r="H1087" t="s">
        <v>2729</v>
      </c>
      <c r="I1087" t="s">
        <v>2730</v>
      </c>
      <c r="J1087" t="s">
        <v>186</v>
      </c>
      <c r="K1087" t="s">
        <v>193</v>
      </c>
      <c r="L1087" t="s">
        <v>193</v>
      </c>
      <c r="M1087" t="s">
        <v>459</v>
      </c>
      <c r="N1087" t="s">
        <v>2478</v>
      </c>
      <c r="O1087" t="s">
        <v>2730</v>
      </c>
      <c r="P1087" t="s">
        <v>2730</v>
      </c>
      <c r="Q1087" t="s">
        <v>2730</v>
      </c>
      <c r="R1087" t="s">
        <v>2730</v>
      </c>
      <c r="S1087" t="s">
        <v>2730</v>
      </c>
      <c r="T1087" t="s">
        <v>2730</v>
      </c>
      <c r="U1087" t="s">
        <v>2730</v>
      </c>
      <c r="V1087" t="s">
        <v>2730</v>
      </c>
      <c r="W1087" t="s">
        <v>2730</v>
      </c>
      <c r="X1087" t="s">
        <v>2730</v>
      </c>
      <c r="Y1087" t="s">
        <v>2730</v>
      </c>
      <c r="Z1087" t="s">
        <v>2730</v>
      </c>
      <c r="AA1087" t="s">
        <v>2730</v>
      </c>
      <c r="AB1087" t="s">
        <v>2730</v>
      </c>
      <c r="AC1087" t="s">
        <v>2730</v>
      </c>
      <c r="AD1087" t="s">
        <v>2730</v>
      </c>
      <c r="AE1087" t="s">
        <v>2730</v>
      </c>
      <c r="AF1087" t="s">
        <v>2730</v>
      </c>
      <c r="AG1087" t="s">
        <v>2730</v>
      </c>
      <c r="AH1087" t="s">
        <v>2730</v>
      </c>
    </row>
    <row r="1088" spans="1:34">
      <c r="A1088" s="149" t="str">
        <f>HYPERLINK("http://www.ofsted.gov.uk/inspection-reports/find-inspection-report/provider/ELS/143106 ","Ofsted School Webpage")</f>
        <v>Ofsted School Webpage</v>
      </c>
      <c r="B1088">
        <v>143106</v>
      </c>
      <c r="C1088">
        <v>8856045</v>
      </c>
      <c r="D1088" t="s">
        <v>2479</v>
      </c>
      <c r="E1088" t="s">
        <v>38</v>
      </c>
      <c r="F1088" t="s">
        <v>184</v>
      </c>
      <c r="G1088" t="s">
        <v>184</v>
      </c>
      <c r="H1088" t="s">
        <v>2729</v>
      </c>
      <c r="I1088" t="s">
        <v>2730</v>
      </c>
      <c r="J1088" t="s">
        <v>186</v>
      </c>
      <c r="K1088" t="s">
        <v>193</v>
      </c>
      <c r="L1088" t="s">
        <v>193</v>
      </c>
      <c r="M1088" t="s">
        <v>891</v>
      </c>
      <c r="N1088" t="s">
        <v>2480</v>
      </c>
      <c r="O1088" t="s">
        <v>2730</v>
      </c>
      <c r="P1088" t="s">
        <v>2730</v>
      </c>
      <c r="Q1088" t="s">
        <v>2730</v>
      </c>
      <c r="R1088" t="s">
        <v>2730</v>
      </c>
      <c r="S1088" t="s">
        <v>2730</v>
      </c>
      <c r="T1088" t="s">
        <v>2730</v>
      </c>
      <c r="U1088" t="s">
        <v>2730</v>
      </c>
      <c r="V1088" t="s">
        <v>2730</v>
      </c>
      <c r="W1088" t="s">
        <v>2730</v>
      </c>
      <c r="X1088" t="s">
        <v>2730</v>
      </c>
      <c r="Y1088" t="s">
        <v>2730</v>
      </c>
      <c r="Z1088" t="s">
        <v>2730</v>
      </c>
      <c r="AA1088" t="s">
        <v>2730</v>
      </c>
      <c r="AB1088" t="s">
        <v>2730</v>
      </c>
      <c r="AC1088" t="s">
        <v>2730</v>
      </c>
      <c r="AD1088" t="s">
        <v>2730</v>
      </c>
      <c r="AE1088" t="s">
        <v>2730</v>
      </c>
      <c r="AF1088" t="s">
        <v>2730</v>
      </c>
      <c r="AG1088" t="s">
        <v>2730</v>
      </c>
      <c r="AH1088" t="s">
        <v>2730</v>
      </c>
    </row>
    <row r="1089" spans="1:34">
      <c r="A1089" s="171" t="str">
        <f>HYPERLINK("http://www.ofsted.gov.uk/inspection-reports/find-inspection-report/provider/ELS/143840 ","Ofsted School Webpage")</f>
        <v>Ofsted School Webpage</v>
      </c>
      <c r="B1089">
        <v>143840</v>
      </c>
      <c r="C1089">
        <v>2046017</v>
      </c>
      <c r="D1089" t="s">
        <v>2670</v>
      </c>
      <c r="E1089" t="s">
        <v>37</v>
      </c>
      <c r="F1089" t="s">
        <v>184</v>
      </c>
      <c r="G1089" t="s">
        <v>184</v>
      </c>
      <c r="H1089" t="s">
        <v>2729</v>
      </c>
      <c r="I1089" t="s">
        <v>2730</v>
      </c>
      <c r="J1089" t="s">
        <v>186</v>
      </c>
      <c r="K1089" t="s">
        <v>232</v>
      </c>
      <c r="L1089" t="s">
        <v>232</v>
      </c>
      <c r="M1089" t="s">
        <v>479</v>
      </c>
      <c r="N1089" t="s">
        <v>2671</v>
      </c>
      <c r="O1089">
        <v>10038181</v>
      </c>
      <c r="P1089" s="120">
        <v>43039</v>
      </c>
      <c r="Q1089" s="120">
        <v>43041</v>
      </c>
      <c r="R1089" s="120">
        <v>43080</v>
      </c>
      <c r="S1089" t="s">
        <v>249</v>
      </c>
      <c r="T1089">
        <v>3</v>
      </c>
      <c r="U1089" t="s">
        <v>128</v>
      </c>
      <c r="V1089">
        <v>3</v>
      </c>
      <c r="W1089">
        <v>3</v>
      </c>
      <c r="X1089">
        <v>3</v>
      </c>
      <c r="Y1089">
        <v>3</v>
      </c>
      <c r="Z1089" t="s">
        <v>2730</v>
      </c>
      <c r="AA1089" t="s">
        <v>2730</v>
      </c>
      <c r="AB1089" t="s">
        <v>2733</v>
      </c>
      <c r="AC1089" t="s">
        <v>2730</v>
      </c>
      <c r="AD1089" t="s">
        <v>2730</v>
      </c>
      <c r="AE1089" t="s">
        <v>2730</v>
      </c>
      <c r="AF1089" t="s">
        <v>2730</v>
      </c>
      <c r="AG1089" t="s">
        <v>2730</v>
      </c>
      <c r="AH1089" t="s">
        <v>2730</v>
      </c>
    </row>
    <row r="1090" spans="1:34">
      <c r="A1090" s="171" t="str">
        <f>HYPERLINK("http://www.ofsted.gov.uk/inspection-reports/find-inspection-report/provider/ELS/143841 ","Ofsted School Webpage")</f>
        <v>Ofsted School Webpage</v>
      </c>
      <c r="B1090">
        <v>143841</v>
      </c>
      <c r="C1090">
        <v>3816019</v>
      </c>
      <c r="D1090" t="s">
        <v>2672</v>
      </c>
      <c r="E1090" t="s">
        <v>37</v>
      </c>
      <c r="F1090" t="s">
        <v>184</v>
      </c>
      <c r="G1090" t="s">
        <v>184</v>
      </c>
      <c r="H1090" t="s">
        <v>2729</v>
      </c>
      <c r="I1090" t="s">
        <v>2730</v>
      </c>
      <c r="J1090" t="s">
        <v>186</v>
      </c>
      <c r="K1090" t="s">
        <v>245</v>
      </c>
      <c r="L1090" t="s">
        <v>246</v>
      </c>
      <c r="M1090" t="s">
        <v>1376</v>
      </c>
      <c r="N1090" t="s">
        <v>2673</v>
      </c>
      <c r="O1090" t="s">
        <v>2730</v>
      </c>
      <c r="P1090" t="s">
        <v>2730</v>
      </c>
      <c r="Q1090" t="s">
        <v>2730</v>
      </c>
      <c r="R1090" t="s">
        <v>2730</v>
      </c>
      <c r="S1090" t="s">
        <v>2730</v>
      </c>
      <c r="T1090" t="s">
        <v>2730</v>
      </c>
      <c r="U1090" t="s">
        <v>2730</v>
      </c>
      <c r="V1090" t="s">
        <v>2730</v>
      </c>
      <c r="W1090" t="s">
        <v>2730</v>
      </c>
      <c r="X1090" t="s">
        <v>2730</v>
      </c>
      <c r="Y1090" t="s">
        <v>2730</v>
      </c>
      <c r="Z1090" t="s">
        <v>2730</v>
      </c>
      <c r="AA1090" t="s">
        <v>2730</v>
      </c>
      <c r="AB1090" t="s">
        <v>2730</v>
      </c>
      <c r="AC1090" t="s">
        <v>2730</v>
      </c>
      <c r="AD1090" t="s">
        <v>2730</v>
      </c>
      <c r="AE1090" t="s">
        <v>2730</v>
      </c>
      <c r="AF1090" t="s">
        <v>2730</v>
      </c>
      <c r="AG1090" t="s">
        <v>2730</v>
      </c>
      <c r="AH1090" t="s">
        <v>2730</v>
      </c>
    </row>
    <row r="1091" spans="1:34">
      <c r="A1091" s="171" t="str">
        <f>HYPERLINK("http://www.ofsted.gov.uk/inspection-reports/find-inspection-report/provider/ELS/143858 ","Ofsted School Webpage")</f>
        <v>Ofsted School Webpage</v>
      </c>
      <c r="B1091">
        <v>143858</v>
      </c>
      <c r="C1091">
        <v>8886067</v>
      </c>
      <c r="D1091" t="s">
        <v>2674</v>
      </c>
      <c r="E1091" t="s">
        <v>37</v>
      </c>
      <c r="F1091" t="s">
        <v>184</v>
      </c>
      <c r="G1091" t="s">
        <v>184</v>
      </c>
      <c r="H1091" t="s">
        <v>2729</v>
      </c>
      <c r="I1091" t="s">
        <v>2730</v>
      </c>
      <c r="J1091" t="s">
        <v>186</v>
      </c>
      <c r="K1091" t="s">
        <v>205</v>
      </c>
      <c r="L1091" t="s">
        <v>205</v>
      </c>
      <c r="M1091" t="s">
        <v>206</v>
      </c>
      <c r="N1091" t="s">
        <v>2675</v>
      </c>
      <c r="O1091" t="s">
        <v>2730</v>
      </c>
      <c r="P1091" t="s">
        <v>2730</v>
      </c>
      <c r="Q1091" t="s">
        <v>2730</v>
      </c>
      <c r="R1091" t="s">
        <v>2730</v>
      </c>
      <c r="S1091" t="s">
        <v>2730</v>
      </c>
      <c r="T1091" t="s">
        <v>2730</v>
      </c>
      <c r="U1091" t="s">
        <v>2730</v>
      </c>
      <c r="V1091" t="s">
        <v>2730</v>
      </c>
      <c r="W1091" t="s">
        <v>2730</v>
      </c>
      <c r="X1091" t="s">
        <v>2730</v>
      </c>
      <c r="Y1091" t="s">
        <v>2730</v>
      </c>
      <c r="Z1091" t="s">
        <v>2730</v>
      </c>
      <c r="AA1091" t="s">
        <v>2730</v>
      </c>
      <c r="AB1091" t="s">
        <v>2730</v>
      </c>
      <c r="AC1091" t="s">
        <v>2730</v>
      </c>
      <c r="AD1091" t="s">
        <v>2730</v>
      </c>
      <c r="AE1091" t="s">
        <v>2730</v>
      </c>
      <c r="AF1091" t="s">
        <v>2730</v>
      </c>
      <c r="AG1091" t="s">
        <v>2730</v>
      </c>
      <c r="AH1091" t="s">
        <v>2730</v>
      </c>
    </row>
    <row r="1092" spans="1:34">
      <c r="A1092" s="171" t="str">
        <f>HYPERLINK("http://www.ofsted.gov.uk/inspection-reports/find-inspection-report/provider/ELS/143910 ","Ofsted School Webpage")</f>
        <v>Ofsted School Webpage</v>
      </c>
      <c r="B1092">
        <v>143910</v>
      </c>
      <c r="C1092">
        <v>8506092</v>
      </c>
      <c r="D1092" t="s">
        <v>2116</v>
      </c>
      <c r="E1092" t="s">
        <v>38</v>
      </c>
      <c r="F1092" t="s">
        <v>184</v>
      </c>
      <c r="G1092" t="s">
        <v>184</v>
      </c>
      <c r="H1092" t="s">
        <v>2729</v>
      </c>
      <c r="I1092" t="s">
        <v>2730</v>
      </c>
      <c r="J1092" t="s">
        <v>186</v>
      </c>
      <c r="K1092" t="s">
        <v>181</v>
      </c>
      <c r="L1092" t="s">
        <v>181</v>
      </c>
      <c r="M1092" t="s">
        <v>201</v>
      </c>
      <c r="N1092" t="s">
        <v>870</v>
      </c>
      <c r="O1092" t="s">
        <v>2730</v>
      </c>
      <c r="P1092" t="s">
        <v>2730</v>
      </c>
      <c r="Q1092" t="s">
        <v>2730</v>
      </c>
      <c r="R1092" t="s">
        <v>2730</v>
      </c>
      <c r="S1092" t="s">
        <v>2730</v>
      </c>
      <c r="T1092" t="s">
        <v>2730</v>
      </c>
      <c r="U1092" t="s">
        <v>2730</v>
      </c>
      <c r="V1092" t="s">
        <v>2730</v>
      </c>
      <c r="W1092" t="s">
        <v>2730</v>
      </c>
      <c r="X1092" t="s">
        <v>2730</v>
      </c>
      <c r="Y1092" t="s">
        <v>2730</v>
      </c>
      <c r="Z1092" t="s">
        <v>2730</v>
      </c>
      <c r="AA1092" t="s">
        <v>2730</v>
      </c>
      <c r="AB1092" t="s">
        <v>2730</v>
      </c>
      <c r="AC1092" t="s">
        <v>2730</v>
      </c>
      <c r="AD1092" t="s">
        <v>2730</v>
      </c>
      <c r="AE1092" t="s">
        <v>2730</v>
      </c>
      <c r="AF1092" t="s">
        <v>2730</v>
      </c>
      <c r="AG1092" t="s">
        <v>2730</v>
      </c>
      <c r="AH1092" t="s">
        <v>2730</v>
      </c>
    </row>
    <row r="1093" spans="1:34">
      <c r="A1093" s="171" t="str">
        <f>HYPERLINK("http://www.ofsted.gov.uk/inspection-reports/find-inspection-report/provider/ELS/143912 ","Ofsted School Webpage")</f>
        <v>Ofsted School Webpage</v>
      </c>
      <c r="B1093">
        <v>143912</v>
      </c>
      <c r="C1093">
        <v>3416008</v>
      </c>
      <c r="D1093" t="s">
        <v>2117</v>
      </c>
      <c r="E1093" t="s">
        <v>37</v>
      </c>
      <c r="F1093" t="s">
        <v>184</v>
      </c>
      <c r="G1093" t="s">
        <v>184</v>
      </c>
      <c r="H1093" t="s">
        <v>2729</v>
      </c>
      <c r="I1093" t="s">
        <v>2730</v>
      </c>
      <c r="J1093" t="s">
        <v>186</v>
      </c>
      <c r="K1093" t="s">
        <v>205</v>
      </c>
      <c r="L1093" t="s">
        <v>205</v>
      </c>
      <c r="M1093" t="s">
        <v>658</v>
      </c>
      <c r="N1093" t="s">
        <v>2118</v>
      </c>
      <c r="O1093" t="s">
        <v>2730</v>
      </c>
      <c r="P1093" t="s">
        <v>2730</v>
      </c>
      <c r="Q1093" t="s">
        <v>2730</v>
      </c>
      <c r="R1093" t="s">
        <v>2730</v>
      </c>
      <c r="S1093" t="s">
        <v>2730</v>
      </c>
      <c r="T1093" t="s">
        <v>2730</v>
      </c>
      <c r="U1093" t="s">
        <v>2730</v>
      </c>
      <c r="V1093" t="s">
        <v>2730</v>
      </c>
      <c r="W1093" t="s">
        <v>2730</v>
      </c>
      <c r="X1093" t="s">
        <v>2730</v>
      </c>
      <c r="Y1093" t="s">
        <v>2730</v>
      </c>
      <c r="Z1093" t="s">
        <v>2730</v>
      </c>
      <c r="AA1093" t="s">
        <v>2730</v>
      </c>
      <c r="AB1093" t="s">
        <v>2730</v>
      </c>
      <c r="AC1093" t="s">
        <v>2730</v>
      </c>
      <c r="AD1093" t="s">
        <v>2730</v>
      </c>
      <c r="AE1093" t="s">
        <v>2730</v>
      </c>
      <c r="AF1093" t="s">
        <v>2730</v>
      </c>
      <c r="AG1093" t="s">
        <v>2730</v>
      </c>
      <c r="AH1093" t="s">
        <v>2730</v>
      </c>
    </row>
    <row r="1094" spans="1:34">
      <c r="A1094" s="171" t="str">
        <f>HYPERLINK("http://www.ofsted.gov.uk/inspection-reports/find-inspection-report/provider/ELS/143911 ","Ofsted School Webpage")</f>
        <v>Ofsted School Webpage</v>
      </c>
      <c r="B1094">
        <v>143911</v>
      </c>
      <c r="C1094">
        <v>9356004</v>
      </c>
      <c r="D1094" t="s">
        <v>2119</v>
      </c>
      <c r="E1094" t="s">
        <v>38</v>
      </c>
      <c r="F1094" t="s">
        <v>184</v>
      </c>
      <c r="G1094" t="s">
        <v>184</v>
      </c>
      <c r="H1094" t="s">
        <v>2729</v>
      </c>
      <c r="I1094" t="s">
        <v>2730</v>
      </c>
      <c r="J1094" t="s">
        <v>186</v>
      </c>
      <c r="K1094" t="s">
        <v>220</v>
      </c>
      <c r="L1094" t="s">
        <v>220</v>
      </c>
      <c r="M1094" t="s">
        <v>297</v>
      </c>
      <c r="N1094" t="s">
        <v>2120</v>
      </c>
      <c r="O1094" t="s">
        <v>2730</v>
      </c>
      <c r="P1094" t="s">
        <v>2730</v>
      </c>
      <c r="Q1094" t="s">
        <v>2730</v>
      </c>
      <c r="R1094" t="s">
        <v>2730</v>
      </c>
      <c r="S1094" t="s">
        <v>2730</v>
      </c>
      <c r="T1094" t="s">
        <v>2730</v>
      </c>
      <c r="U1094" t="s">
        <v>2730</v>
      </c>
      <c r="V1094" t="s">
        <v>2730</v>
      </c>
      <c r="W1094" t="s">
        <v>2730</v>
      </c>
      <c r="X1094" t="s">
        <v>2730</v>
      </c>
      <c r="Y1094" t="s">
        <v>2730</v>
      </c>
      <c r="Z1094" t="s">
        <v>2730</v>
      </c>
      <c r="AA1094" t="s">
        <v>2730</v>
      </c>
      <c r="AB1094" t="s">
        <v>2730</v>
      </c>
      <c r="AC1094" t="s">
        <v>2730</v>
      </c>
      <c r="AD1094" t="s">
        <v>2730</v>
      </c>
      <c r="AE1094" t="s">
        <v>2730</v>
      </c>
      <c r="AF1094" t="s">
        <v>2730</v>
      </c>
      <c r="AG1094" t="s">
        <v>2730</v>
      </c>
      <c r="AH1094" t="s">
        <v>2730</v>
      </c>
    </row>
    <row r="1095" spans="1:34">
      <c r="A1095" s="171" t="str">
        <f>HYPERLINK("http://www.ofsted.gov.uk/inspection-reports/find-inspection-report/provider/ELS/144820 ","Ofsted School Webpage")</f>
        <v>Ofsted School Webpage</v>
      </c>
      <c r="B1095">
        <v>144820</v>
      </c>
      <c r="C1095">
        <v>3306034</v>
      </c>
      <c r="D1095" t="s">
        <v>2722</v>
      </c>
      <c r="E1095" t="s">
        <v>37</v>
      </c>
      <c r="F1095" t="s">
        <v>184</v>
      </c>
      <c r="G1095" t="s">
        <v>184</v>
      </c>
      <c r="H1095" t="s">
        <v>2729</v>
      </c>
      <c r="I1095" t="s">
        <v>2730</v>
      </c>
      <c r="J1095" t="s">
        <v>186</v>
      </c>
      <c r="K1095" t="s">
        <v>193</v>
      </c>
      <c r="L1095" t="s">
        <v>193</v>
      </c>
      <c r="M1095" t="s">
        <v>210</v>
      </c>
      <c r="N1095" t="s">
        <v>2723</v>
      </c>
      <c r="O1095" t="s">
        <v>2730</v>
      </c>
      <c r="P1095" t="s">
        <v>2730</v>
      </c>
      <c r="Q1095" t="s">
        <v>2730</v>
      </c>
      <c r="R1095" t="s">
        <v>2730</v>
      </c>
      <c r="S1095" t="s">
        <v>2730</v>
      </c>
      <c r="T1095" t="s">
        <v>2730</v>
      </c>
      <c r="U1095" t="s">
        <v>2730</v>
      </c>
      <c r="V1095" t="s">
        <v>2730</v>
      </c>
      <c r="W1095" t="s">
        <v>2730</v>
      </c>
      <c r="X1095" t="s">
        <v>2730</v>
      </c>
      <c r="Y1095" t="s">
        <v>2730</v>
      </c>
      <c r="Z1095" t="s">
        <v>2730</v>
      </c>
      <c r="AA1095" t="s">
        <v>2730</v>
      </c>
      <c r="AB1095" t="s">
        <v>2730</v>
      </c>
      <c r="AC1095" t="s">
        <v>2730</v>
      </c>
      <c r="AD1095" t="s">
        <v>2730</v>
      </c>
      <c r="AE1095" t="s">
        <v>2730</v>
      </c>
      <c r="AF1095" t="s">
        <v>2730</v>
      </c>
      <c r="AG1095" t="s">
        <v>2730</v>
      </c>
      <c r="AH1095" t="s">
        <v>2730</v>
      </c>
    </row>
    <row r="1096" spans="1:34">
      <c r="A1096" s="171" t="str">
        <f>HYPERLINK("http://www.ofsted.gov.uk/inspection-reports/find-inspection-report/provider/ELS/144855 ","Ofsted School Webpage")</f>
        <v>Ofsted School Webpage</v>
      </c>
      <c r="B1096">
        <v>144855</v>
      </c>
      <c r="C1096">
        <v>8526012</v>
      </c>
      <c r="D1096" t="s">
        <v>2724</v>
      </c>
      <c r="E1096" t="s">
        <v>37</v>
      </c>
      <c r="F1096" t="s">
        <v>184</v>
      </c>
      <c r="G1096" t="s">
        <v>184</v>
      </c>
      <c r="H1096" t="s">
        <v>2729</v>
      </c>
      <c r="I1096" t="s">
        <v>2730</v>
      </c>
      <c r="J1096" t="s">
        <v>186</v>
      </c>
      <c r="K1096" t="s">
        <v>181</v>
      </c>
      <c r="L1096" t="s">
        <v>181</v>
      </c>
      <c r="M1096" t="s">
        <v>476</v>
      </c>
      <c r="N1096" t="s">
        <v>2725</v>
      </c>
      <c r="O1096" t="s">
        <v>2730</v>
      </c>
      <c r="P1096" t="s">
        <v>2730</v>
      </c>
      <c r="Q1096" t="s">
        <v>2730</v>
      </c>
      <c r="R1096" t="s">
        <v>2730</v>
      </c>
      <c r="S1096" t="s">
        <v>2730</v>
      </c>
      <c r="T1096" t="s">
        <v>2730</v>
      </c>
      <c r="U1096" t="s">
        <v>2730</v>
      </c>
      <c r="V1096" t="s">
        <v>2730</v>
      </c>
      <c r="W1096" t="s">
        <v>2730</v>
      </c>
      <c r="X1096" t="s">
        <v>2730</v>
      </c>
      <c r="Y1096" t="s">
        <v>2730</v>
      </c>
      <c r="Z1096" t="s">
        <v>2730</v>
      </c>
      <c r="AA1096" t="s">
        <v>2730</v>
      </c>
      <c r="AB1096" t="s">
        <v>2730</v>
      </c>
      <c r="AC1096" t="s">
        <v>2730</v>
      </c>
      <c r="AD1096" t="s">
        <v>2730</v>
      </c>
      <c r="AE1096" t="s">
        <v>2730</v>
      </c>
      <c r="AF1096" t="s">
        <v>2730</v>
      </c>
      <c r="AG1096" t="s">
        <v>2730</v>
      </c>
      <c r="AH1096" t="s">
        <v>2730</v>
      </c>
    </row>
    <row r="1097" spans="1:34">
      <c r="A1097" s="171" t="str">
        <f>HYPERLINK("http://www.ofsted.gov.uk/inspection-reports/find-inspection-report/provider/ELS/144856 ","Ofsted School Webpage")</f>
        <v>Ofsted School Webpage</v>
      </c>
      <c r="B1097">
        <v>144856</v>
      </c>
      <c r="C1097">
        <v>3416010</v>
      </c>
      <c r="D1097" t="s">
        <v>2726</v>
      </c>
      <c r="E1097" t="s">
        <v>37</v>
      </c>
      <c r="F1097" t="s">
        <v>184</v>
      </c>
      <c r="G1097" t="s">
        <v>184</v>
      </c>
      <c r="H1097" t="s">
        <v>2729</v>
      </c>
      <c r="I1097" t="s">
        <v>2730</v>
      </c>
      <c r="J1097" t="s">
        <v>186</v>
      </c>
      <c r="K1097" t="s">
        <v>205</v>
      </c>
      <c r="L1097" t="s">
        <v>205</v>
      </c>
      <c r="M1097" t="s">
        <v>658</v>
      </c>
      <c r="N1097" t="s">
        <v>2727</v>
      </c>
      <c r="O1097" t="s">
        <v>2730</v>
      </c>
      <c r="P1097" t="s">
        <v>2730</v>
      </c>
      <c r="Q1097" t="s">
        <v>2730</v>
      </c>
      <c r="R1097" t="s">
        <v>2730</v>
      </c>
      <c r="S1097" t="s">
        <v>2730</v>
      </c>
      <c r="T1097" t="s">
        <v>2730</v>
      </c>
      <c r="U1097" t="s">
        <v>2730</v>
      </c>
      <c r="V1097" t="s">
        <v>2730</v>
      </c>
      <c r="W1097" t="s">
        <v>2730</v>
      </c>
      <c r="X1097" t="s">
        <v>2730</v>
      </c>
      <c r="Y1097" t="s">
        <v>2730</v>
      </c>
      <c r="Z1097" t="s">
        <v>2730</v>
      </c>
      <c r="AA1097" t="s">
        <v>2730</v>
      </c>
      <c r="AB1097" t="s">
        <v>2730</v>
      </c>
      <c r="AC1097" t="s">
        <v>2730</v>
      </c>
      <c r="AD1097" t="s">
        <v>2730</v>
      </c>
      <c r="AE1097" t="s">
        <v>2730</v>
      </c>
      <c r="AF1097" t="s">
        <v>2730</v>
      </c>
      <c r="AG1097" t="s">
        <v>2730</v>
      </c>
      <c r="AH1097" t="s">
        <v>2730</v>
      </c>
    </row>
    <row r="1098" spans="1:34">
      <c r="A1098" s="171" t="str">
        <f>HYPERLINK("http://www.ofsted.gov.uk/inspection-reports/find-inspection-report/provider/ELS/144857 ","Ofsted School Webpage")</f>
        <v>Ofsted School Webpage</v>
      </c>
      <c r="B1098">
        <v>144857</v>
      </c>
      <c r="C1098">
        <v>3826008</v>
      </c>
      <c r="D1098" t="s">
        <v>2001</v>
      </c>
      <c r="E1098" t="s">
        <v>37</v>
      </c>
      <c r="F1098" t="s">
        <v>184</v>
      </c>
      <c r="G1098" t="s">
        <v>184</v>
      </c>
      <c r="H1098" t="s">
        <v>2729</v>
      </c>
      <c r="I1098" t="s">
        <v>2730</v>
      </c>
      <c r="J1098" t="s">
        <v>186</v>
      </c>
      <c r="K1098" t="s">
        <v>245</v>
      </c>
      <c r="L1098" t="s">
        <v>246</v>
      </c>
      <c r="M1098" t="s">
        <v>768</v>
      </c>
      <c r="N1098" t="s">
        <v>2002</v>
      </c>
      <c r="O1098" t="s">
        <v>2730</v>
      </c>
      <c r="P1098" t="s">
        <v>2730</v>
      </c>
      <c r="Q1098" t="s">
        <v>2730</v>
      </c>
      <c r="R1098" t="s">
        <v>2730</v>
      </c>
      <c r="S1098" t="s">
        <v>2730</v>
      </c>
      <c r="T1098" t="s">
        <v>2730</v>
      </c>
      <c r="U1098" t="s">
        <v>2730</v>
      </c>
      <c r="V1098" t="s">
        <v>2730</v>
      </c>
      <c r="W1098" t="s">
        <v>2730</v>
      </c>
      <c r="X1098" t="s">
        <v>2730</v>
      </c>
      <c r="Y1098" t="s">
        <v>2730</v>
      </c>
      <c r="Z1098" t="s">
        <v>2730</v>
      </c>
      <c r="AA1098" t="s">
        <v>2730</v>
      </c>
      <c r="AB1098" t="s">
        <v>2730</v>
      </c>
      <c r="AC1098" t="s">
        <v>2730</v>
      </c>
      <c r="AD1098" t="s">
        <v>2730</v>
      </c>
      <c r="AE1098" t="s">
        <v>2730</v>
      </c>
      <c r="AF1098" t="s">
        <v>2730</v>
      </c>
      <c r="AG1098" t="s">
        <v>2730</v>
      </c>
      <c r="AH1098" t="s">
        <v>2730</v>
      </c>
    </row>
    <row r="1099" spans="1:34">
      <c r="A1099" s="171" t="str">
        <f>HYPERLINK("http://www.ofsted.gov.uk/inspection-reports/find-inspection-report/provider/ELS/144965 ","Ofsted School Webpage")</f>
        <v>Ofsted School Webpage</v>
      </c>
      <c r="B1099">
        <v>144965</v>
      </c>
      <c r="C1099">
        <v>2076014</v>
      </c>
      <c r="D1099" t="s">
        <v>2003</v>
      </c>
      <c r="E1099" t="s">
        <v>37</v>
      </c>
      <c r="F1099" t="s">
        <v>184</v>
      </c>
      <c r="G1099" t="s">
        <v>184</v>
      </c>
      <c r="H1099" t="s">
        <v>2729</v>
      </c>
      <c r="I1099" t="s">
        <v>2730</v>
      </c>
      <c r="J1099" t="s">
        <v>186</v>
      </c>
      <c r="K1099" t="s">
        <v>232</v>
      </c>
      <c r="L1099" t="s">
        <v>232</v>
      </c>
      <c r="M1099" t="s">
        <v>294</v>
      </c>
      <c r="N1099" t="s">
        <v>2004</v>
      </c>
      <c r="O1099" t="s">
        <v>2730</v>
      </c>
      <c r="P1099" t="s">
        <v>2730</v>
      </c>
      <c r="Q1099" t="s">
        <v>2730</v>
      </c>
      <c r="R1099" t="s">
        <v>2730</v>
      </c>
      <c r="S1099" t="s">
        <v>2730</v>
      </c>
      <c r="T1099" t="s">
        <v>2730</v>
      </c>
      <c r="U1099" t="s">
        <v>2730</v>
      </c>
      <c r="V1099" t="s">
        <v>2730</v>
      </c>
      <c r="W1099" t="s">
        <v>2730</v>
      </c>
      <c r="X1099" t="s">
        <v>2730</v>
      </c>
      <c r="Y1099" t="s">
        <v>2730</v>
      </c>
      <c r="Z1099" t="s">
        <v>2730</v>
      </c>
      <c r="AA1099" t="s">
        <v>2730</v>
      </c>
      <c r="AB1099" t="s">
        <v>2730</v>
      </c>
      <c r="AC1099" t="s">
        <v>2730</v>
      </c>
      <c r="AD1099" t="s">
        <v>2730</v>
      </c>
      <c r="AE1099" t="s">
        <v>2730</v>
      </c>
      <c r="AF1099" t="s">
        <v>2730</v>
      </c>
      <c r="AG1099" t="s">
        <v>2730</v>
      </c>
      <c r="AH1099" t="s">
        <v>2730</v>
      </c>
    </row>
    <row r="1100" spans="1:34">
      <c r="A1100" s="171" t="str">
        <f>HYPERLINK("http://www.ofsted.gov.uk/inspection-reports/find-inspection-report/provider/ELS/144966 ","Ofsted School Webpage")</f>
        <v>Ofsted School Webpage</v>
      </c>
      <c r="B1100">
        <v>144966</v>
      </c>
      <c r="C1100">
        <v>9376014</v>
      </c>
      <c r="D1100" t="s">
        <v>2005</v>
      </c>
      <c r="E1100" t="s">
        <v>38</v>
      </c>
      <c r="F1100" t="s">
        <v>184</v>
      </c>
      <c r="G1100" t="s">
        <v>184</v>
      </c>
      <c r="H1100" t="s">
        <v>2729</v>
      </c>
      <c r="I1100" t="s">
        <v>2730</v>
      </c>
      <c r="J1100" t="s">
        <v>186</v>
      </c>
      <c r="K1100" t="s">
        <v>193</v>
      </c>
      <c r="L1100" t="s">
        <v>193</v>
      </c>
      <c r="M1100" t="s">
        <v>377</v>
      </c>
      <c r="N1100" t="s">
        <v>2006</v>
      </c>
      <c r="O1100" t="s">
        <v>2730</v>
      </c>
      <c r="P1100" t="s">
        <v>2730</v>
      </c>
      <c r="Q1100" t="s">
        <v>2730</v>
      </c>
      <c r="R1100" t="s">
        <v>2730</v>
      </c>
      <c r="S1100" t="s">
        <v>2730</v>
      </c>
      <c r="T1100" t="s">
        <v>2730</v>
      </c>
      <c r="U1100" t="s">
        <v>2730</v>
      </c>
      <c r="V1100" t="s">
        <v>2730</v>
      </c>
      <c r="W1100" t="s">
        <v>2730</v>
      </c>
      <c r="X1100" t="s">
        <v>2730</v>
      </c>
      <c r="Y1100" t="s">
        <v>2730</v>
      </c>
      <c r="Z1100" t="s">
        <v>2730</v>
      </c>
      <c r="AA1100" t="s">
        <v>2730</v>
      </c>
      <c r="AB1100" t="s">
        <v>2730</v>
      </c>
      <c r="AC1100" t="s">
        <v>2730</v>
      </c>
      <c r="AD1100" t="s">
        <v>2730</v>
      </c>
      <c r="AE1100" t="s">
        <v>2730</v>
      </c>
      <c r="AF1100" t="s">
        <v>2730</v>
      </c>
      <c r="AG1100" t="s">
        <v>2730</v>
      </c>
      <c r="AH1100" t="s">
        <v>2730</v>
      </c>
    </row>
  </sheetData>
  <sheetProtection sheet="1" objects="1" scenarios="1" sort="0" autoFilter="0"/>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7" tint="0.79998168889431442"/>
  </sheetPr>
  <dimension ref="B2:O23"/>
  <sheetViews>
    <sheetView zoomScaleNormal="100" workbookViewId="0"/>
  </sheetViews>
  <sheetFormatPr defaultColWidth="8.85546875" defaultRowHeight="15"/>
  <cols>
    <col min="1" max="16384" width="8.85546875" style="58"/>
  </cols>
  <sheetData>
    <row r="2" spans="2:15">
      <c r="B2" s="59" t="s">
        <v>97</v>
      </c>
      <c r="C2" s="60"/>
      <c r="D2" s="60"/>
      <c r="E2" s="60"/>
      <c r="F2" s="60"/>
      <c r="G2" s="60"/>
      <c r="H2" s="60"/>
      <c r="I2" s="60"/>
      <c r="J2" s="60"/>
      <c r="K2" s="60"/>
      <c r="L2" s="60"/>
      <c r="M2" s="60"/>
      <c r="N2" s="60"/>
      <c r="O2" s="60"/>
    </row>
    <row r="3" spans="2:15">
      <c r="B3" s="61"/>
      <c r="C3" s="60"/>
      <c r="D3" s="60"/>
      <c r="E3" s="60"/>
      <c r="F3" s="60"/>
      <c r="G3" s="60"/>
      <c r="H3" s="60"/>
      <c r="I3" s="60"/>
      <c r="J3" s="60"/>
      <c r="K3" s="60"/>
      <c r="L3" s="60"/>
      <c r="M3" s="60"/>
      <c r="N3" s="60"/>
      <c r="O3" s="60"/>
    </row>
    <row r="4" spans="2:15" ht="58.5" customHeight="1">
      <c r="B4" s="273" t="s">
        <v>98</v>
      </c>
      <c r="C4" s="273"/>
      <c r="D4" s="273"/>
      <c r="E4" s="273"/>
      <c r="F4" s="273"/>
      <c r="G4" s="273"/>
      <c r="H4" s="273"/>
      <c r="I4" s="273"/>
      <c r="J4" s="273"/>
      <c r="K4" s="273"/>
      <c r="L4" s="273"/>
      <c r="M4" s="273"/>
      <c r="N4" s="273"/>
      <c r="O4" s="273"/>
    </row>
    <row r="5" spans="2:15">
      <c r="B5" s="59" t="s">
        <v>92</v>
      </c>
      <c r="C5" s="60"/>
      <c r="D5" s="60"/>
      <c r="E5" s="60"/>
      <c r="F5" s="60"/>
      <c r="G5" s="60"/>
      <c r="H5" s="60"/>
      <c r="I5" s="60"/>
      <c r="J5" s="60"/>
      <c r="K5" s="60"/>
      <c r="L5" s="60"/>
      <c r="M5" s="60"/>
      <c r="N5" s="60"/>
      <c r="O5" s="60"/>
    </row>
    <row r="7" spans="2:15">
      <c r="B7" s="64" t="s">
        <v>99</v>
      </c>
    </row>
    <row r="8" spans="2:15">
      <c r="B8" s="64" t="s">
        <v>100</v>
      </c>
    </row>
    <row r="9" spans="2:15">
      <c r="B9" s="64" t="s">
        <v>101</v>
      </c>
    </row>
    <row r="10" spans="2:15">
      <c r="B10" s="64" t="s">
        <v>102</v>
      </c>
    </row>
    <row r="12" spans="2:15">
      <c r="B12" s="64" t="s">
        <v>103</v>
      </c>
    </row>
    <row r="13" spans="2:15">
      <c r="B13" s="64" t="s">
        <v>104</v>
      </c>
    </row>
    <row r="14" spans="2:15">
      <c r="B14" s="64" t="s">
        <v>105</v>
      </c>
    </row>
    <row r="15" spans="2:15">
      <c r="B15" s="274"/>
      <c r="C15" s="274"/>
      <c r="D15" s="274"/>
      <c r="E15" s="274"/>
      <c r="F15" s="274"/>
      <c r="G15" s="274"/>
      <c r="H15" s="274"/>
      <c r="I15" s="274"/>
      <c r="J15" s="274"/>
      <c r="K15" s="274"/>
      <c r="L15" s="60"/>
      <c r="M15" s="60"/>
      <c r="N15" s="60"/>
      <c r="O15" s="60"/>
    </row>
    <row r="16" spans="2:15">
      <c r="B16" s="275" t="s">
        <v>107</v>
      </c>
      <c r="C16" s="275"/>
      <c r="D16" s="275"/>
      <c r="E16" s="275"/>
      <c r="F16" s="275"/>
      <c r="G16" s="275"/>
      <c r="H16" s="275"/>
      <c r="I16" s="275"/>
      <c r="J16" s="275"/>
      <c r="K16" s="275"/>
      <c r="L16" s="275"/>
      <c r="M16" s="275"/>
      <c r="N16" s="275"/>
      <c r="O16" s="275"/>
    </row>
    <row r="17" spans="2:15">
      <c r="B17" s="275"/>
      <c r="C17" s="275"/>
      <c r="D17" s="275"/>
      <c r="E17" s="275"/>
      <c r="F17" s="275"/>
      <c r="G17" s="275"/>
      <c r="H17" s="275"/>
      <c r="I17" s="275"/>
      <c r="J17" s="275"/>
      <c r="K17" s="275"/>
      <c r="L17" s="275"/>
      <c r="M17" s="275"/>
      <c r="N17" s="275"/>
      <c r="O17" s="275"/>
    </row>
    <row r="18" spans="2:15">
      <c r="B18" s="276" t="s">
        <v>93</v>
      </c>
      <c r="C18" s="276"/>
      <c r="D18" s="276"/>
      <c r="E18" s="276"/>
      <c r="F18" s="276"/>
      <c r="G18" s="276"/>
      <c r="H18" s="276"/>
      <c r="I18" s="276"/>
      <c r="J18" s="276"/>
      <c r="K18" s="276"/>
      <c r="L18" s="276"/>
      <c r="M18" s="276"/>
      <c r="N18" s="276"/>
      <c r="O18" s="276"/>
    </row>
    <row r="19" spans="2:15" ht="30.75" customHeight="1">
      <c r="B19" s="276" t="s">
        <v>94</v>
      </c>
      <c r="C19" s="276"/>
      <c r="D19" s="276"/>
      <c r="E19" s="276"/>
      <c r="F19" s="276"/>
      <c r="G19" s="276"/>
      <c r="H19" s="276"/>
      <c r="I19" s="276"/>
      <c r="J19" s="276"/>
      <c r="K19" s="276"/>
      <c r="L19" s="276"/>
      <c r="M19" s="276"/>
      <c r="N19" s="276"/>
      <c r="O19" s="276"/>
    </row>
    <row r="20" spans="2:15" ht="33.75" customHeight="1">
      <c r="B20" s="277" t="s">
        <v>95</v>
      </c>
      <c r="C20" s="277"/>
      <c r="D20" s="277"/>
      <c r="E20" s="277"/>
      <c r="F20" s="277"/>
      <c r="G20" s="277"/>
      <c r="H20" s="277"/>
      <c r="I20" s="277"/>
      <c r="J20" s="277"/>
      <c r="K20" s="277"/>
      <c r="L20" s="277"/>
      <c r="M20" s="277"/>
      <c r="N20" s="62"/>
      <c r="O20" s="62"/>
    </row>
    <row r="21" spans="2:15">
      <c r="B21" s="62"/>
      <c r="C21" s="62"/>
      <c r="D21" s="62"/>
      <c r="E21" s="62"/>
      <c r="F21" s="62"/>
      <c r="G21" s="62"/>
      <c r="H21" s="62"/>
      <c r="I21" s="62"/>
      <c r="J21" s="62"/>
      <c r="K21" s="62"/>
      <c r="L21" s="62"/>
      <c r="M21" s="62"/>
      <c r="N21" s="62"/>
      <c r="O21" s="62"/>
    </row>
    <row r="22" spans="2:15" ht="49.5" customHeight="1">
      <c r="B22" s="276" t="s">
        <v>106</v>
      </c>
      <c r="C22" s="276"/>
      <c r="D22" s="276"/>
      <c r="E22" s="276"/>
      <c r="F22" s="276"/>
      <c r="G22" s="276"/>
      <c r="H22" s="276"/>
      <c r="I22" s="276"/>
      <c r="J22" s="276"/>
      <c r="K22" s="276"/>
      <c r="L22" s="276"/>
      <c r="M22" s="276"/>
      <c r="N22" s="276"/>
      <c r="O22" s="276"/>
    </row>
    <row r="23" spans="2:15">
      <c r="B23" s="63"/>
      <c r="C23" s="63"/>
      <c r="D23" s="63"/>
      <c r="E23" s="63"/>
      <c r="F23" s="63"/>
      <c r="G23" s="63"/>
      <c r="H23" s="63"/>
      <c r="I23" s="63"/>
      <c r="J23" s="63"/>
      <c r="K23" s="63"/>
      <c r="L23" s="63"/>
      <c r="M23" s="63"/>
      <c r="N23" s="63"/>
      <c r="O23" s="63"/>
    </row>
  </sheetData>
  <sheetProtection sheet="1" objects="1" scenarios="1"/>
  <mergeCells count="7">
    <mergeCell ref="B4:O4"/>
    <mergeCell ref="B15:K15"/>
    <mergeCell ref="B16:O17"/>
    <mergeCell ref="B22:O22"/>
    <mergeCell ref="B19:O19"/>
    <mergeCell ref="B18:O18"/>
    <mergeCell ref="B20:M20"/>
  </mergeCells>
  <hyperlinks>
    <hyperlink ref="B20" r:id="rId1" xr:uid="{00000000-0004-0000-0100-000000000000}"/>
    <hyperlink ref="B7" location="'T1 In-year inspections'!A1" display="Table 1: In-year inspections" xr:uid="{00000000-0004-0000-0100-000001000000}"/>
    <hyperlink ref="B8" location="'T2 In-year standards'!A1" display="Table 2: In-year standards" xr:uid="{00000000-0004-0000-0100-000002000000}"/>
    <hyperlink ref="B9" location="'T3 In-year monitoring'!A1" display="Table 3: In-year monitoring" xr:uid="{00000000-0004-0000-0100-000003000000}"/>
    <hyperlink ref="B10" location="'T4 Most recent inspections'!A1" display="Table 4: Most recent inspections" xr:uid="{00000000-0004-0000-0100-000004000000}"/>
    <hyperlink ref="B12" location="'D1 In-year standard inspections'!A1" display="Dataset 1: In-year standard inspections" xr:uid="{00000000-0004-0000-0100-000005000000}"/>
    <hyperlink ref="B13" location="'D2 In-year monitoring'!A1" display="Dataset 2: In-year monitoring" xr:uid="{00000000-0004-0000-0100-000006000000}"/>
    <hyperlink ref="B14" location="'D3 Most recent inspections'!A1" display="Dataset 3: Most recent inspections" xr:uid="{00000000-0004-0000-0100-000007000000}"/>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7" tint="0.79998168889431442"/>
  </sheetPr>
  <dimension ref="A1:J36"/>
  <sheetViews>
    <sheetView showGridLines="0" zoomScaleNormal="100" workbookViewId="0">
      <pane ySplit="1" topLeftCell="A14" activePane="bottomLeft" state="frozen"/>
      <selection pane="bottomLeft" activeCell="D18" sqref="D18"/>
    </sheetView>
  </sheetViews>
  <sheetFormatPr defaultColWidth="9.140625" defaultRowHeight="12.75"/>
  <cols>
    <col min="1" max="1" width="15" style="256" customWidth="1"/>
    <col min="2" max="2" width="68.42578125" style="244" bestFit="1" customWidth="1"/>
    <col min="3" max="3" width="48.5703125" style="256" bestFit="1" customWidth="1"/>
    <col min="4" max="4" width="53.7109375" style="244" customWidth="1"/>
    <col min="5" max="16384" width="9.140625" style="244"/>
  </cols>
  <sheetData>
    <row r="1" spans="1:10" ht="13.5" thickBot="1">
      <c r="A1" s="116" t="s">
        <v>108</v>
      </c>
      <c r="B1" s="117" t="s">
        <v>109</v>
      </c>
      <c r="C1" s="118" t="s">
        <v>96</v>
      </c>
      <c r="D1" s="119" t="s">
        <v>110</v>
      </c>
      <c r="E1" s="243"/>
    </row>
    <row r="2" spans="1:10">
      <c r="A2" s="278" t="s">
        <v>2993</v>
      </c>
      <c r="B2" s="245" t="s">
        <v>39</v>
      </c>
      <c r="C2" s="267" t="s">
        <v>3117</v>
      </c>
      <c r="D2" s="246" t="s">
        <v>117</v>
      </c>
      <c r="E2" s="243"/>
    </row>
    <row r="3" spans="1:10">
      <c r="A3" s="279"/>
      <c r="B3" s="247" t="s">
        <v>40</v>
      </c>
      <c r="C3" s="261" t="s">
        <v>2994</v>
      </c>
      <c r="D3" s="249" t="s">
        <v>117</v>
      </c>
      <c r="E3" s="243"/>
    </row>
    <row r="4" spans="1:10" ht="25.5">
      <c r="A4" s="279"/>
      <c r="B4" s="247" t="s">
        <v>41</v>
      </c>
      <c r="C4" s="248" t="s">
        <v>112</v>
      </c>
      <c r="D4" s="249" t="s">
        <v>117</v>
      </c>
      <c r="E4" s="243"/>
    </row>
    <row r="5" spans="1:10">
      <c r="A5" s="279"/>
      <c r="B5" s="262" t="s">
        <v>2995</v>
      </c>
      <c r="C5" s="261" t="s">
        <v>2996</v>
      </c>
      <c r="D5" s="249" t="s">
        <v>117</v>
      </c>
      <c r="E5" s="243"/>
    </row>
    <row r="6" spans="1:10" ht="25.5">
      <c r="A6" s="279"/>
      <c r="B6" s="262" t="s">
        <v>2997</v>
      </c>
      <c r="C6" s="261" t="s">
        <v>2998</v>
      </c>
      <c r="D6" s="250" t="s">
        <v>113</v>
      </c>
      <c r="E6" s="243"/>
    </row>
    <row r="7" spans="1:10" ht="306">
      <c r="A7" s="279"/>
      <c r="B7" s="247" t="s">
        <v>65</v>
      </c>
      <c r="C7" s="261" t="s">
        <v>2999</v>
      </c>
      <c r="D7" s="257" t="s">
        <v>2980</v>
      </c>
      <c r="E7" s="243"/>
    </row>
    <row r="8" spans="1:10" ht="102.75">
      <c r="A8" s="279"/>
      <c r="B8" s="247" t="s">
        <v>66</v>
      </c>
      <c r="C8" s="261" t="s">
        <v>3000</v>
      </c>
      <c r="D8" s="250" t="s">
        <v>2759</v>
      </c>
      <c r="E8" s="243"/>
      <c r="J8"/>
    </row>
    <row r="9" spans="1:10" ht="26.25">
      <c r="A9" s="279"/>
      <c r="B9" s="247" t="s">
        <v>114</v>
      </c>
      <c r="C9" s="268" t="s">
        <v>3118</v>
      </c>
      <c r="D9" s="250" t="s">
        <v>115</v>
      </c>
      <c r="E9" s="243"/>
      <c r="J9"/>
    </row>
    <row r="10" spans="1:10" ht="102.75">
      <c r="A10" s="279"/>
      <c r="B10" s="247" t="s">
        <v>43</v>
      </c>
      <c r="C10" s="261" t="s">
        <v>3001</v>
      </c>
      <c r="D10" s="250" t="s">
        <v>2981</v>
      </c>
      <c r="E10" s="243"/>
      <c r="J10"/>
    </row>
    <row r="11" spans="1:10" ht="123.6" customHeight="1">
      <c r="A11" s="279"/>
      <c r="B11" s="247" t="s">
        <v>2982</v>
      </c>
      <c r="C11" s="261" t="s">
        <v>3002</v>
      </c>
      <c r="D11" s="250" t="s">
        <v>2983</v>
      </c>
      <c r="E11" s="243"/>
      <c r="J11"/>
    </row>
    <row r="12" spans="1:10" ht="15">
      <c r="A12" s="279"/>
      <c r="B12" s="247" t="s">
        <v>45</v>
      </c>
      <c r="C12" s="261" t="s">
        <v>3003</v>
      </c>
      <c r="D12" s="249" t="s">
        <v>116</v>
      </c>
      <c r="E12" s="243"/>
      <c r="J12"/>
    </row>
    <row r="13" spans="1:10" ht="15">
      <c r="A13" s="279"/>
      <c r="B13" s="247" t="s">
        <v>46</v>
      </c>
      <c r="C13" s="261" t="s">
        <v>3004</v>
      </c>
      <c r="D13" s="249" t="s">
        <v>117</v>
      </c>
      <c r="E13" s="243"/>
      <c r="J13"/>
    </row>
    <row r="14" spans="1:10" ht="15">
      <c r="A14" s="279" t="s">
        <v>111</v>
      </c>
      <c r="B14" s="247" t="s">
        <v>47</v>
      </c>
      <c r="C14" s="248" t="s">
        <v>47</v>
      </c>
      <c r="D14" s="249" t="s">
        <v>118</v>
      </c>
      <c r="E14" s="243"/>
      <c r="J14"/>
    </row>
    <row r="15" spans="1:10" ht="15">
      <c r="A15" s="279"/>
      <c r="B15" s="247" t="s">
        <v>48</v>
      </c>
      <c r="C15" s="248" t="s">
        <v>119</v>
      </c>
      <c r="D15" s="249" t="s">
        <v>118</v>
      </c>
      <c r="E15" s="243"/>
      <c r="J15"/>
    </row>
    <row r="16" spans="1:10" ht="15">
      <c r="A16" s="279"/>
      <c r="B16" s="247" t="s">
        <v>49</v>
      </c>
      <c r="C16" s="248" t="s">
        <v>120</v>
      </c>
      <c r="D16" s="249" t="s">
        <v>118</v>
      </c>
      <c r="E16" s="243"/>
      <c r="J16"/>
    </row>
    <row r="17" spans="1:5">
      <c r="A17" s="279"/>
      <c r="B17" s="247" t="s">
        <v>50</v>
      </c>
      <c r="C17" s="248" t="s">
        <v>121</v>
      </c>
      <c r="D17" s="249" t="s">
        <v>118</v>
      </c>
      <c r="E17" s="243"/>
    </row>
    <row r="18" spans="1:5" ht="147.6" customHeight="1">
      <c r="A18" s="279"/>
      <c r="B18" s="247" t="s">
        <v>51</v>
      </c>
      <c r="C18" s="248" t="s">
        <v>51</v>
      </c>
      <c r="D18" s="269" t="s">
        <v>3121</v>
      </c>
      <c r="E18" s="243"/>
    </row>
    <row r="19" spans="1:5" ht="51">
      <c r="A19" s="279"/>
      <c r="B19" s="247" t="s">
        <v>28</v>
      </c>
      <c r="C19" s="248" t="s">
        <v>28</v>
      </c>
      <c r="D19" s="251" t="s">
        <v>123</v>
      </c>
      <c r="E19" s="243"/>
    </row>
    <row r="20" spans="1:5" ht="51">
      <c r="A20" s="279"/>
      <c r="B20" s="247" t="s">
        <v>52</v>
      </c>
      <c r="C20" s="248" t="s">
        <v>122</v>
      </c>
      <c r="D20" s="251" t="s">
        <v>123</v>
      </c>
      <c r="E20" s="243"/>
    </row>
    <row r="21" spans="1:5" ht="51">
      <c r="A21" s="279"/>
      <c r="B21" s="247" t="s">
        <v>53</v>
      </c>
      <c r="C21" s="248" t="s">
        <v>122</v>
      </c>
      <c r="D21" s="251" t="s">
        <v>123</v>
      </c>
      <c r="E21" s="243"/>
    </row>
    <row r="22" spans="1:5" ht="51">
      <c r="A22" s="279"/>
      <c r="B22" s="247" t="s">
        <v>54</v>
      </c>
      <c r="C22" s="248" t="s">
        <v>122</v>
      </c>
      <c r="D22" s="251" t="s">
        <v>123</v>
      </c>
      <c r="E22" s="243"/>
    </row>
    <row r="23" spans="1:5" ht="51">
      <c r="A23" s="279"/>
      <c r="B23" s="247" t="s">
        <v>55</v>
      </c>
      <c r="C23" s="248" t="s">
        <v>122</v>
      </c>
      <c r="D23" s="251" t="s">
        <v>123</v>
      </c>
      <c r="E23" s="243"/>
    </row>
    <row r="24" spans="1:5" ht="76.5">
      <c r="A24" s="279"/>
      <c r="B24" s="247" t="s">
        <v>56</v>
      </c>
      <c r="C24" s="248" t="s">
        <v>122</v>
      </c>
      <c r="D24" s="251" t="s">
        <v>2774</v>
      </c>
      <c r="E24" s="243"/>
    </row>
    <row r="25" spans="1:5" ht="76.5">
      <c r="A25" s="279"/>
      <c r="B25" s="247" t="s">
        <v>57</v>
      </c>
      <c r="C25" s="248" t="s">
        <v>122</v>
      </c>
      <c r="D25" s="251" t="s">
        <v>2774</v>
      </c>
      <c r="E25" s="243"/>
    </row>
    <row r="26" spans="1:5" ht="25.5">
      <c r="A26" s="279"/>
      <c r="B26" s="247" t="s">
        <v>124</v>
      </c>
      <c r="C26" s="248" t="s">
        <v>122</v>
      </c>
      <c r="D26" s="250" t="s">
        <v>127</v>
      </c>
      <c r="E26" s="243"/>
    </row>
    <row r="27" spans="1:5" ht="38.25">
      <c r="A27" s="279"/>
      <c r="B27" s="247" t="s">
        <v>81</v>
      </c>
      <c r="C27" s="248" t="s">
        <v>125</v>
      </c>
      <c r="D27" s="250" t="s">
        <v>126</v>
      </c>
      <c r="E27" s="243"/>
    </row>
    <row r="28" spans="1:5" ht="38.25">
      <c r="A28" s="279"/>
      <c r="B28" s="247" t="s">
        <v>82</v>
      </c>
      <c r="C28" s="248" t="s">
        <v>125</v>
      </c>
      <c r="D28" s="250" t="s">
        <v>126</v>
      </c>
      <c r="E28" s="243"/>
    </row>
    <row r="29" spans="1:5" ht="38.25">
      <c r="A29" s="279"/>
      <c r="B29" s="247" t="s">
        <v>83</v>
      </c>
      <c r="C29" s="248" t="s">
        <v>125</v>
      </c>
      <c r="D29" s="250" t="s">
        <v>126</v>
      </c>
      <c r="E29" s="243"/>
    </row>
    <row r="30" spans="1:5" ht="38.25">
      <c r="A30" s="279"/>
      <c r="B30" s="247" t="s">
        <v>84</v>
      </c>
      <c r="C30" s="248" t="s">
        <v>125</v>
      </c>
      <c r="D30" s="250" t="s">
        <v>126</v>
      </c>
      <c r="E30" s="243"/>
    </row>
    <row r="31" spans="1:5" ht="38.25">
      <c r="A31" s="279"/>
      <c r="B31" s="247" t="s">
        <v>85</v>
      </c>
      <c r="C31" s="248" t="s">
        <v>125</v>
      </c>
      <c r="D31" s="250" t="s">
        <v>126</v>
      </c>
      <c r="E31" s="243"/>
    </row>
    <row r="32" spans="1:5" ht="38.25">
      <c r="A32" s="279"/>
      <c r="B32" s="247" t="s">
        <v>86</v>
      </c>
      <c r="C32" s="248" t="s">
        <v>125</v>
      </c>
      <c r="D32" s="250" t="s">
        <v>126</v>
      </c>
      <c r="E32" s="243"/>
    </row>
    <row r="33" spans="1:5" ht="38.25">
      <c r="A33" s="279"/>
      <c r="B33" s="247" t="s">
        <v>87</v>
      </c>
      <c r="C33" s="248" t="s">
        <v>125</v>
      </c>
      <c r="D33" s="250" t="s">
        <v>126</v>
      </c>
      <c r="E33" s="243"/>
    </row>
    <row r="34" spans="1:5" ht="38.25">
      <c r="A34" s="279"/>
      <c r="B34" s="247" t="s">
        <v>88</v>
      </c>
      <c r="C34" s="248" t="s">
        <v>125</v>
      </c>
      <c r="D34" s="250" t="s">
        <v>126</v>
      </c>
      <c r="E34" s="243"/>
    </row>
    <row r="35" spans="1:5" ht="26.25" thickBot="1">
      <c r="A35" s="280"/>
      <c r="B35" s="252" t="s">
        <v>131</v>
      </c>
      <c r="C35" s="253" t="s">
        <v>132</v>
      </c>
      <c r="D35" s="254" t="s">
        <v>133</v>
      </c>
      <c r="E35" s="243"/>
    </row>
    <row r="36" spans="1:5">
      <c r="A36" s="255"/>
      <c r="B36" s="243"/>
      <c r="C36" s="255"/>
      <c r="D36" s="243"/>
      <c r="E36" s="243"/>
    </row>
  </sheetData>
  <sheetProtection sheet="1" objects="1" scenarios="1" sort="0" autoFilter="0"/>
  <autoFilter ref="A1:D1" xr:uid="{00000000-0009-0000-0000-000002000000}"/>
  <mergeCells count="2">
    <mergeCell ref="A2:A13"/>
    <mergeCell ref="A14:A35"/>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4" tint="0.79998168889431442"/>
  </sheetPr>
  <dimension ref="A1:P22"/>
  <sheetViews>
    <sheetView showGridLines="0" zoomScaleNormal="100" workbookViewId="0"/>
  </sheetViews>
  <sheetFormatPr defaultColWidth="9.140625" defaultRowHeight="12.75"/>
  <cols>
    <col min="1" max="1" width="2.7109375" style="39" customWidth="1"/>
    <col min="2" max="2" width="38.85546875" style="32" customWidth="1"/>
    <col min="3" max="11" width="13.7109375" style="32" customWidth="1"/>
    <col min="12" max="14" width="9.140625" style="32"/>
    <col min="15" max="15" width="9.5703125" style="32" bestFit="1" customWidth="1"/>
    <col min="16" max="16384" width="9.140625" style="32"/>
  </cols>
  <sheetData>
    <row r="1" spans="1:16" ht="17.25">
      <c r="A1" s="9"/>
      <c r="B1" s="258" t="s">
        <v>2992</v>
      </c>
      <c r="C1" s="31"/>
      <c r="D1" s="31"/>
      <c r="E1" s="31"/>
      <c r="F1" s="31"/>
      <c r="G1" s="31"/>
      <c r="H1" s="31"/>
      <c r="I1" s="31"/>
      <c r="J1" s="31"/>
      <c r="K1" s="31"/>
      <c r="L1" s="31"/>
      <c r="M1" s="31"/>
      <c r="N1" s="31"/>
      <c r="O1" s="31"/>
      <c r="P1" s="31"/>
    </row>
    <row r="2" spans="1:16">
      <c r="A2" s="31"/>
      <c r="B2" s="31" t="str">
        <f>Cover!C8</f>
        <v>Inspections from 1 September 2017 to 31 December 2017, published by 31 December 2017</v>
      </c>
      <c r="C2" s="31"/>
      <c r="D2" s="31"/>
      <c r="E2" s="31"/>
      <c r="F2" s="31"/>
      <c r="G2" s="31"/>
      <c r="H2" s="31"/>
      <c r="I2" s="31"/>
      <c r="J2" s="31"/>
      <c r="K2" s="31"/>
      <c r="L2" s="31"/>
      <c r="M2" s="31"/>
      <c r="N2" s="31"/>
      <c r="O2" s="31"/>
      <c r="P2" s="31"/>
    </row>
    <row r="3" spans="1:16">
      <c r="A3" s="31"/>
      <c r="B3" s="31"/>
      <c r="C3" s="31"/>
      <c r="D3" s="31"/>
      <c r="E3" s="31"/>
      <c r="F3" s="31"/>
      <c r="G3" s="31"/>
      <c r="H3" s="31"/>
      <c r="I3" s="31"/>
      <c r="J3" s="31"/>
      <c r="K3" s="31"/>
      <c r="L3" s="31"/>
      <c r="M3" s="31"/>
      <c r="N3" s="31"/>
      <c r="O3" s="31"/>
      <c r="P3" s="31"/>
    </row>
    <row r="4" spans="1:16" ht="14.45" customHeight="1">
      <c r="A4" s="31"/>
      <c r="B4" s="284"/>
      <c r="C4" s="287" t="s">
        <v>34</v>
      </c>
      <c r="D4" s="282" t="s">
        <v>28</v>
      </c>
      <c r="E4" s="282"/>
      <c r="F4" s="282"/>
      <c r="G4" s="282"/>
      <c r="H4" s="282"/>
      <c r="I4" s="282"/>
      <c r="J4" s="282"/>
      <c r="K4" s="282"/>
      <c r="L4" s="281" t="s">
        <v>124</v>
      </c>
      <c r="M4" s="282"/>
      <c r="N4" s="282"/>
      <c r="O4" s="283"/>
      <c r="P4" s="31"/>
    </row>
    <row r="5" spans="1:16" ht="12.75" customHeight="1">
      <c r="A5" s="31"/>
      <c r="B5" s="285"/>
      <c r="C5" s="288"/>
      <c r="D5" s="290" t="s">
        <v>29</v>
      </c>
      <c r="E5" s="290"/>
      <c r="F5" s="290"/>
      <c r="G5" s="289"/>
      <c r="H5" s="290" t="s">
        <v>30</v>
      </c>
      <c r="I5" s="290"/>
      <c r="J5" s="290"/>
      <c r="K5" s="290"/>
      <c r="L5" s="281" t="s">
        <v>29</v>
      </c>
      <c r="M5" s="283"/>
      <c r="N5" s="281" t="s">
        <v>30</v>
      </c>
      <c r="O5" s="283"/>
      <c r="P5" s="31"/>
    </row>
    <row r="6" spans="1:16" ht="25.5">
      <c r="A6" s="31"/>
      <c r="B6" s="286"/>
      <c r="C6" s="289"/>
      <c r="D6" s="30" t="s">
        <v>31</v>
      </c>
      <c r="E6" s="30" t="s">
        <v>35</v>
      </c>
      <c r="F6" s="30" t="s">
        <v>32</v>
      </c>
      <c r="G6" s="30" t="s">
        <v>33</v>
      </c>
      <c r="H6" s="150" t="s">
        <v>31</v>
      </c>
      <c r="I6" s="151" t="s">
        <v>35</v>
      </c>
      <c r="J6" s="151" t="s">
        <v>32</v>
      </c>
      <c r="K6" s="151" t="s">
        <v>33</v>
      </c>
      <c r="L6" s="67" t="s">
        <v>128</v>
      </c>
      <c r="M6" s="69" t="s">
        <v>129</v>
      </c>
      <c r="N6" s="68" t="s">
        <v>128</v>
      </c>
      <c r="O6" s="69" t="s">
        <v>129</v>
      </c>
      <c r="P6" s="31"/>
    </row>
    <row r="7" spans="1:16">
      <c r="A7" s="31"/>
      <c r="B7" s="75" t="s">
        <v>36</v>
      </c>
      <c r="C7" s="212">
        <f>SUM(C8:C9)</f>
        <v>142</v>
      </c>
      <c r="D7" s="94">
        <f t="shared" ref="D7:G7" si="0">SUM(D8:D9)</f>
        <v>15</v>
      </c>
      <c r="E7" s="95">
        <f t="shared" si="0"/>
        <v>71</v>
      </c>
      <c r="F7" s="95">
        <f t="shared" si="0"/>
        <v>42</v>
      </c>
      <c r="G7" s="213">
        <f t="shared" si="0"/>
        <v>13</v>
      </c>
      <c r="H7" s="133">
        <f>D7/SUM($D7:$G7)</f>
        <v>0.10638297872340426</v>
      </c>
      <c r="I7" s="134">
        <f t="shared" ref="I7:K7" si="1">E7/SUM($D7:$G7)</f>
        <v>0.50354609929078009</v>
      </c>
      <c r="J7" s="134">
        <f t="shared" si="1"/>
        <v>0.2978723404255319</v>
      </c>
      <c r="K7" s="135">
        <f t="shared" si="1"/>
        <v>9.2198581560283682E-2</v>
      </c>
      <c r="L7" s="94">
        <f t="shared" ref="L7" si="2">SUM(L8:L9)</f>
        <v>134</v>
      </c>
      <c r="M7" s="213">
        <f t="shared" ref="M7" si="3">SUM(M8:M9)</f>
        <v>8</v>
      </c>
      <c r="N7" s="127">
        <f>L7/SUM($L7,$M7)</f>
        <v>0.94366197183098588</v>
      </c>
      <c r="O7" s="128">
        <f>M7/SUM($L7,$M7)</f>
        <v>5.6338028169014086E-2</v>
      </c>
      <c r="P7" s="31"/>
    </row>
    <row r="8" spans="1:16">
      <c r="A8" s="31"/>
      <c r="B8" s="76" t="s">
        <v>71</v>
      </c>
      <c r="C8" s="214">
        <f>COUNTIFS('D1 In-year standard inspections'!$F:$F,$B8,'D1 In-year standard inspections'!$Q:$Q,"&lt;&gt;null")</f>
        <v>91</v>
      </c>
      <c r="D8" s="96">
        <f>COUNTIFS('D1 In-year standard inspections'!$F:$F,$B8,'D1 In-year standard inspections'!$Y:$Y,1)</f>
        <v>8</v>
      </c>
      <c r="E8" s="97">
        <f>COUNTIFS('D1 In-year standard inspections'!$F:$F,$B8,'D1 In-year standard inspections'!$Y:$Y,2)</f>
        <v>47</v>
      </c>
      <c r="F8" s="97">
        <f>COUNTIFS('D1 In-year standard inspections'!$F:$F,$B8,'D1 In-year standard inspections'!$Y:$Y,3)</f>
        <v>27</v>
      </c>
      <c r="G8" s="217">
        <f>COUNTIFS('D1 In-year standard inspections'!$F:$F,$B8,'D1 In-year standard inspections'!$Y:$Y,4)</f>
        <v>9</v>
      </c>
      <c r="H8" s="153">
        <f t="shared" ref="H8:H9" si="4">D8/SUM($D8:$G8)</f>
        <v>8.7912087912087919E-2</v>
      </c>
      <c r="I8" s="152">
        <f t="shared" ref="I8:I9" si="5">E8/SUM($D8:$G8)</f>
        <v>0.51648351648351654</v>
      </c>
      <c r="J8" s="152">
        <f t="shared" ref="J8:J9" si="6">F8/SUM($D8:$G8)</f>
        <v>0.2967032967032967</v>
      </c>
      <c r="K8" s="154">
        <f t="shared" ref="K8:K9" si="7">G8/SUM($D8:$G8)</f>
        <v>9.8901098901098897E-2</v>
      </c>
      <c r="L8" s="34">
        <f>COUNTIFS('D1 In-year standard inspections'!$F:$F,$B8,'D1 In-year standard inspections'!$AF:$AF,L$6)</f>
        <v>86</v>
      </c>
      <c r="M8" s="35">
        <f>COUNTIFS('D1 In-year standard inspections'!$F:$F,$B8,'D1 In-year standard inspections'!$AF:$AF,M$6)</f>
        <v>5</v>
      </c>
      <c r="N8" s="136">
        <f t="shared" ref="N8:N9" si="8">L8/SUM($L8,$M8)</f>
        <v>0.94505494505494503</v>
      </c>
      <c r="O8" s="137">
        <f t="shared" ref="O8:O9" si="9">M8/SUM($L8,$M8)</f>
        <v>5.4945054945054944E-2</v>
      </c>
      <c r="P8" s="31"/>
    </row>
    <row r="9" spans="1:16">
      <c r="A9" s="31"/>
      <c r="B9" s="77" t="s">
        <v>72</v>
      </c>
      <c r="C9" s="215">
        <f>COUNTIFS('D1 In-year standard inspections'!$F:$F,$B9,'D1 In-year standard inspections'!$Q:$Q,"&lt;&gt;null")</f>
        <v>51</v>
      </c>
      <c r="D9" s="216">
        <f>COUNTIFS('D1 In-year standard inspections'!$F:$F,$B9,'D1 In-year standard inspections'!$Y:$Y,1)</f>
        <v>7</v>
      </c>
      <c r="E9" s="218">
        <f>COUNTIFS('D1 In-year standard inspections'!$F:$F,$B9,'D1 In-year standard inspections'!$Y:$Y,2)</f>
        <v>24</v>
      </c>
      <c r="F9" s="218">
        <f>COUNTIFS('D1 In-year standard inspections'!$F:$F,$B9,'D1 In-year standard inspections'!$Y:$Y,3)</f>
        <v>15</v>
      </c>
      <c r="G9" s="219">
        <f>COUNTIFS('D1 In-year standard inspections'!$F:$F,$B9,'D1 In-year standard inspections'!$Y:$Y,4)</f>
        <v>4</v>
      </c>
      <c r="H9" s="155">
        <f t="shared" si="4"/>
        <v>0.14000000000000001</v>
      </c>
      <c r="I9" s="156">
        <f t="shared" si="5"/>
        <v>0.48</v>
      </c>
      <c r="J9" s="156">
        <f t="shared" si="6"/>
        <v>0.3</v>
      </c>
      <c r="K9" s="157">
        <f t="shared" si="7"/>
        <v>0.08</v>
      </c>
      <c r="L9" s="37">
        <f>COUNTIFS('D1 In-year standard inspections'!$F:$F,$B9,'D1 In-year standard inspections'!$AF:$AF,L$6)</f>
        <v>48</v>
      </c>
      <c r="M9" s="38">
        <f>COUNTIFS('D1 In-year standard inspections'!$F:$F,$B9,'D1 In-year standard inspections'!$AF:$AF,M$6)</f>
        <v>3</v>
      </c>
      <c r="N9" s="138">
        <f t="shared" si="8"/>
        <v>0.94117647058823528</v>
      </c>
      <c r="O9" s="139">
        <f t="shared" si="9"/>
        <v>5.8823529411764705E-2</v>
      </c>
      <c r="P9" s="31"/>
    </row>
    <row r="10" spans="1:16">
      <c r="A10" s="31"/>
      <c r="B10" s="31"/>
      <c r="C10" s="31"/>
      <c r="D10" s="31"/>
      <c r="E10" s="31"/>
      <c r="F10" s="31"/>
      <c r="G10" s="31"/>
      <c r="H10" s="31"/>
      <c r="I10" s="31"/>
      <c r="J10" s="31"/>
      <c r="K10" s="31"/>
      <c r="L10" s="31"/>
      <c r="M10" s="31"/>
      <c r="N10" s="31"/>
      <c r="O10" s="19" t="s">
        <v>62</v>
      </c>
      <c r="P10" s="31"/>
    </row>
    <row r="11" spans="1:16">
      <c r="A11" s="31"/>
      <c r="B11" s="31"/>
      <c r="C11" s="31"/>
      <c r="D11" s="31"/>
      <c r="E11" s="31"/>
      <c r="F11" s="31"/>
      <c r="G11" s="31"/>
      <c r="H11" s="31"/>
      <c r="I11" s="140"/>
      <c r="J11" s="31"/>
      <c r="K11" s="31"/>
      <c r="L11" s="31"/>
      <c r="M11" s="31"/>
      <c r="N11" s="31"/>
      <c r="O11" s="31"/>
      <c r="P11" s="31"/>
    </row>
    <row r="12" spans="1:16">
      <c r="A12" s="31"/>
      <c r="B12" s="31" t="s">
        <v>63</v>
      </c>
      <c r="C12" s="31"/>
      <c r="D12" s="31"/>
      <c r="E12" s="31"/>
      <c r="F12" s="31"/>
      <c r="G12" s="31"/>
      <c r="H12" s="31"/>
      <c r="I12" s="31"/>
      <c r="J12" s="31"/>
      <c r="K12" s="31"/>
      <c r="L12" s="31"/>
      <c r="M12" s="31"/>
      <c r="N12" s="31"/>
      <c r="O12" s="31"/>
      <c r="P12" s="31"/>
    </row>
    <row r="13" spans="1:16">
      <c r="A13" s="31"/>
      <c r="B13" s="31" t="s">
        <v>64</v>
      </c>
      <c r="C13" s="31"/>
      <c r="D13" s="31"/>
      <c r="E13" s="31"/>
      <c r="F13" s="31"/>
      <c r="G13" s="31"/>
      <c r="H13" s="31"/>
      <c r="I13" s="31"/>
      <c r="J13" s="31"/>
      <c r="K13" s="31"/>
      <c r="L13" s="31"/>
      <c r="M13" s="31"/>
      <c r="N13" s="31"/>
      <c r="O13" s="31"/>
      <c r="P13" s="31"/>
    </row>
    <row r="14" spans="1:16">
      <c r="A14" s="31"/>
      <c r="B14" s="185" t="s">
        <v>2776</v>
      </c>
      <c r="C14" s="31"/>
      <c r="D14" s="31"/>
      <c r="E14" s="31"/>
      <c r="F14" s="31"/>
      <c r="G14" s="31"/>
      <c r="H14" s="31"/>
      <c r="I14" s="31"/>
      <c r="J14" s="31"/>
      <c r="K14" s="31"/>
      <c r="L14" s="31"/>
      <c r="M14" s="31"/>
      <c r="N14" s="31"/>
      <c r="O14" s="31"/>
      <c r="P14" s="31"/>
    </row>
    <row r="15" spans="1:16">
      <c r="M15" s="31"/>
      <c r="N15" s="31"/>
      <c r="O15" s="31"/>
      <c r="P15" s="31"/>
    </row>
    <row r="17" spans="2:2">
      <c r="B17" s="98"/>
    </row>
    <row r="20" spans="2:2" ht="45" customHeight="1"/>
    <row r="21" spans="2:2" ht="45" customHeight="1"/>
    <row r="22" spans="2:2" ht="45" customHeight="1"/>
  </sheetData>
  <sheetProtection sheet="1" objects="1" scenarios="1"/>
  <mergeCells count="8">
    <mergeCell ref="L4:O4"/>
    <mergeCell ref="L5:M5"/>
    <mergeCell ref="N5:O5"/>
    <mergeCell ref="B4:B6"/>
    <mergeCell ref="C4:C6"/>
    <mergeCell ref="D4:K4"/>
    <mergeCell ref="D5:G5"/>
    <mergeCell ref="H5:K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4" tint="0.79998168889431442"/>
  </sheetPr>
  <dimension ref="A1:H43"/>
  <sheetViews>
    <sheetView showGridLines="0" zoomScaleNormal="100" workbookViewId="0"/>
  </sheetViews>
  <sheetFormatPr defaultColWidth="9.140625" defaultRowHeight="12.75"/>
  <cols>
    <col min="1" max="1" width="2.7109375" style="48" customWidth="1"/>
    <col min="2" max="2" width="55" style="32" customWidth="1"/>
    <col min="3" max="7" width="17.42578125" style="32" customWidth="1"/>
    <col min="8" max="16384" width="9.140625" style="32"/>
  </cols>
  <sheetData>
    <row r="1" spans="1:8" ht="17.25">
      <c r="A1" s="40"/>
      <c r="B1" s="260" t="s">
        <v>2991</v>
      </c>
      <c r="C1" s="4"/>
      <c r="D1" s="4"/>
      <c r="E1" s="4"/>
      <c r="F1" s="4"/>
      <c r="G1" s="5"/>
      <c r="H1" s="31"/>
    </row>
    <row r="2" spans="1:8">
      <c r="A2" s="40"/>
      <c r="B2" s="6" t="str">
        <f>Cover!C8</f>
        <v>Inspections from 1 September 2017 to 31 December 2017, published by 31 December 2017</v>
      </c>
      <c r="C2" s="4"/>
      <c r="D2" s="4"/>
      <c r="E2" s="4"/>
      <c r="F2" s="4"/>
      <c r="G2" s="4"/>
      <c r="H2" s="31"/>
    </row>
    <row r="3" spans="1:8">
      <c r="A3" s="40"/>
      <c r="B3" s="7"/>
      <c r="C3" s="7"/>
      <c r="D3" s="7"/>
      <c r="E3" s="7"/>
      <c r="F3" s="7"/>
      <c r="G3" s="7"/>
      <c r="H3" s="31"/>
    </row>
    <row r="4" spans="1:8">
      <c r="A4" s="41"/>
      <c r="B4" s="83"/>
      <c r="C4" s="287" t="s">
        <v>61</v>
      </c>
      <c r="D4" s="282" t="s">
        <v>29</v>
      </c>
      <c r="E4" s="283"/>
      <c r="F4" s="282" t="s">
        <v>30</v>
      </c>
      <c r="G4" s="283"/>
      <c r="H4" s="31"/>
    </row>
    <row r="5" spans="1:8">
      <c r="A5" s="41"/>
      <c r="B5" s="84"/>
      <c r="C5" s="289"/>
      <c r="D5" s="74" t="s">
        <v>59</v>
      </c>
      <c r="E5" s="73" t="s">
        <v>60</v>
      </c>
      <c r="F5" s="74" t="s">
        <v>59</v>
      </c>
      <c r="G5" s="73" t="s">
        <v>60</v>
      </c>
      <c r="H5" s="31"/>
    </row>
    <row r="6" spans="1:8">
      <c r="A6" s="41"/>
      <c r="B6" s="86" t="s">
        <v>36</v>
      </c>
      <c r="C6" s="101"/>
      <c r="D6" s="99"/>
      <c r="E6" s="100"/>
      <c r="F6" s="115"/>
      <c r="G6" s="114"/>
      <c r="H6" s="31"/>
    </row>
    <row r="7" spans="1:8">
      <c r="A7" s="41"/>
      <c r="B7" s="87" t="s">
        <v>89</v>
      </c>
      <c r="C7" s="102">
        <f>'T1 In-year inspections'!$C$7</f>
        <v>142</v>
      </c>
      <c r="D7" s="113">
        <f>COUNTIFS('D1 In-year standard inspections'!$Q:$Q,"&lt;&gt;null",'D1 In-year standard inspections'!$AH:$AH,"All standards Met")</f>
        <v>109</v>
      </c>
      <c r="E7" s="221">
        <f>COUNTIFS('D1 In-year standard inspections'!$Q:$Q,"&lt;&gt;null",'D1 In-year standard inspections'!$AH:$AH,"Did not meet all standards")</f>
        <v>33</v>
      </c>
      <c r="F7" s="141">
        <f>D7/SUM($D7,$E7)</f>
        <v>0.76760563380281688</v>
      </c>
      <c r="G7" s="142">
        <f>E7/SUM($D7,$E7)</f>
        <v>0.23239436619718309</v>
      </c>
      <c r="H7" s="31"/>
    </row>
    <row r="8" spans="1:8">
      <c r="A8" s="42"/>
      <c r="B8" s="88" t="s">
        <v>73</v>
      </c>
      <c r="C8" s="102">
        <f>'T1 In-year inspections'!$C$7</f>
        <v>142</v>
      </c>
      <c r="D8" s="220">
        <f>COUNTIFS('D1 In-year standard inspections'!$Q:$Q,"&lt;&gt;null",'D1 In-year standard inspections'!$AI:$AI,$D$5)</f>
        <v>128</v>
      </c>
      <c r="E8" s="222">
        <f>COUNTIFS('D1 In-year standard inspections'!$Q:$Q,"&lt;&gt;null",'D1 In-year standard inspections'!$AI:$AI,$E$5)</f>
        <v>12</v>
      </c>
      <c r="F8" s="143">
        <f t="shared" ref="F8:F15" si="0">D8/SUM($D8,$E8)</f>
        <v>0.91428571428571426</v>
      </c>
      <c r="G8" s="144">
        <f t="shared" ref="G8:G15" si="1">E8/SUM($D8,$E8)</f>
        <v>8.5714285714285715E-2</v>
      </c>
      <c r="H8" s="31"/>
    </row>
    <row r="9" spans="1:8">
      <c r="A9" s="42"/>
      <c r="B9" s="88" t="s">
        <v>74</v>
      </c>
      <c r="C9" s="102">
        <f>'T1 In-year inspections'!$C$7</f>
        <v>142</v>
      </c>
      <c r="D9" s="220">
        <f>COUNTIFS('D1 In-year standard inspections'!$Q:$Q,"&lt;&gt;null",'D1 In-year standard inspections'!$AJ:$AJ,$D$5)</f>
        <v>137</v>
      </c>
      <c r="E9" s="222">
        <f>COUNTIFS('D1 In-year standard inspections'!$Q:$Q,"&lt;&gt;null",'D1 In-year standard inspections'!$AJ:$AJ,$E$5)</f>
        <v>3</v>
      </c>
      <c r="F9" s="143">
        <f t="shared" si="0"/>
        <v>0.97857142857142854</v>
      </c>
      <c r="G9" s="144">
        <f t="shared" si="1"/>
        <v>2.1428571428571429E-2</v>
      </c>
      <c r="H9" s="31"/>
    </row>
    <row r="10" spans="1:8">
      <c r="A10" s="42"/>
      <c r="B10" s="88" t="s">
        <v>75</v>
      </c>
      <c r="C10" s="102">
        <f>'T1 In-year inspections'!$C$7</f>
        <v>142</v>
      </c>
      <c r="D10" s="220">
        <f>COUNTIFS('D1 In-year standard inspections'!$Q:$Q,"&lt;&gt;null",'D1 In-year standard inspections'!$AK:$AK,$D$5)</f>
        <v>133</v>
      </c>
      <c r="E10" s="222">
        <f>COUNTIFS('D1 In-year standard inspections'!$Q:$Q,"&lt;&gt;null",'D1 In-year standard inspections'!$AK:$AK,$E$5)</f>
        <v>9</v>
      </c>
      <c r="F10" s="143">
        <f t="shared" si="0"/>
        <v>0.93661971830985913</v>
      </c>
      <c r="G10" s="144">
        <f t="shared" si="1"/>
        <v>6.3380281690140844E-2</v>
      </c>
      <c r="H10" s="31"/>
    </row>
    <row r="11" spans="1:8">
      <c r="A11" s="42"/>
      <c r="B11" s="88" t="s">
        <v>76</v>
      </c>
      <c r="C11" s="102">
        <f>'T1 In-year inspections'!$C$7</f>
        <v>142</v>
      </c>
      <c r="D11" s="220">
        <f>COUNTIFS('D1 In-year standard inspections'!$Q:$Q,"&lt;&gt;null",'D1 In-year standard inspections'!$AL:$AL,$D$5)</f>
        <v>136</v>
      </c>
      <c r="E11" s="222">
        <f>COUNTIFS('D1 In-year standard inspections'!$Q:$Q,"&lt;&gt;null",'D1 In-year standard inspections'!$AL:$AL,$E$5)</f>
        <v>6</v>
      </c>
      <c r="F11" s="143">
        <f t="shared" si="0"/>
        <v>0.95774647887323938</v>
      </c>
      <c r="G11" s="144">
        <f t="shared" si="1"/>
        <v>4.2253521126760563E-2</v>
      </c>
      <c r="H11" s="31"/>
    </row>
    <row r="12" spans="1:8">
      <c r="A12" s="42"/>
      <c r="B12" s="88" t="s">
        <v>77</v>
      </c>
      <c r="C12" s="102">
        <f>'T1 In-year inspections'!$C$7</f>
        <v>142</v>
      </c>
      <c r="D12" s="220">
        <f>COUNTIFS('D1 In-year standard inspections'!$Q:$Q,"&lt;&gt;null",'D1 In-year standard inspections'!$AM:$AM,$D$5)</f>
        <v>135</v>
      </c>
      <c r="E12" s="222">
        <f>COUNTIFS('D1 In-year standard inspections'!$Q:$Q,"&lt;&gt;null",'D1 In-year standard inspections'!$AM:$AM,$E$5)</f>
        <v>7</v>
      </c>
      <c r="F12" s="143">
        <f t="shared" si="0"/>
        <v>0.95070422535211263</v>
      </c>
      <c r="G12" s="144">
        <f t="shared" si="1"/>
        <v>4.9295774647887321E-2</v>
      </c>
      <c r="H12" s="31"/>
    </row>
    <row r="13" spans="1:8">
      <c r="A13" s="42"/>
      <c r="B13" s="88" t="s">
        <v>78</v>
      </c>
      <c r="C13" s="102">
        <f>'T1 In-year inspections'!$C$7</f>
        <v>142</v>
      </c>
      <c r="D13" s="220">
        <f>COUNTIFS('D1 In-year standard inspections'!$Q:$Q,"&lt;&gt;null",'D1 In-year standard inspections'!$AN:$AN,$D$5)</f>
        <v>131</v>
      </c>
      <c r="E13" s="222">
        <f>COUNTIFS('D1 In-year standard inspections'!$Q:$Q,"&lt;&gt;null",'D1 In-year standard inspections'!$AN:$AN,$E$5)</f>
        <v>11</v>
      </c>
      <c r="F13" s="143">
        <f t="shared" si="0"/>
        <v>0.92253521126760563</v>
      </c>
      <c r="G13" s="144">
        <f t="shared" si="1"/>
        <v>7.746478873239436E-2</v>
      </c>
      <c r="H13" s="31"/>
    </row>
    <row r="14" spans="1:8">
      <c r="A14" s="42"/>
      <c r="B14" s="89" t="s">
        <v>79</v>
      </c>
      <c r="C14" s="102">
        <f>'T1 In-year inspections'!$C$7</f>
        <v>142</v>
      </c>
      <c r="D14" s="220">
        <f>COUNTIFS('D1 In-year standard inspections'!$Q:$Q,"&lt;&gt;null",'D1 In-year standard inspections'!$AO:$AO,$D$5)</f>
        <v>139</v>
      </c>
      <c r="E14" s="222">
        <f>COUNTIFS('D1 In-year standard inspections'!$Q:$Q,"&lt;&gt;null",'D1 In-year standard inspections'!$AO:$AO,$E$5)</f>
        <v>3</v>
      </c>
      <c r="F14" s="143">
        <f t="shared" si="0"/>
        <v>0.97887323943661975</v>
      </c>
      <c r="G14" s="144">
        <f t="shared" si="1"/>
        <v>2.1126760563380281E-2</v>
      </c>
      <c r="H14" s="31"/>
    </row>
    <row r="15" spans="1:8">
      <c r="A15" s="42"/>
      <c r="B15" s="89" t="s">
        <v>80</v>
      </c>
      <c r="C15" s="102">
        <f>'T1 In-year inspections'!$C$7</f>
        <v>142</v>
      </c>
      <c r="D15" s="220">
        <f>COUNTIFS('D1 In-year standard inspections'!$Q:$Q,"&lt;&gt;null",'D1 In-year standard inspections'!$AP:$AP,$D$5)</f>
        <v>110</v>
      </c>
      <c r="E15" s="222">
        <f>COUNTIFS('D1 In-year standard inspections'!$Q:$Q,"&lt;&gt;null",'D1 In-year standard inspections'!$AP:$AP,$E$5)</f>
        <v>32</v>
      </c>
      <c r="F15" s="143">
        <f t="shared" si="0"/>
        <v>0.77464788732394363</v>
      </c>
      <c r="G15" s="144">
        <f t="shared" si="1"/>
        <v>0.22535211267605634</v>
      </c>
      <c r="H15" s="31"/>
    </row>
    <row r="16" spans="1:8">
      <c r="A16" s="42"/>
      <c r="B16" s="89"/>
      <c r="C16" s="103"/>
      <c r="D16" s="179"/>
      <c r="E16" s="180"/>
      <c r="F16" s="145"/>
      <c r="G16" s="146"/>
      <c r="H16" s="31"/>
    </row>
    <row r="17" spans="1:8">
      <c r="A17" s="42"/>
      <c r="B17" s="87" t="s">
        <v>71</v>
      </c>
      <c r="C17" s="103"/>
      <c r="D17" s="179"/>
      <c r="E17" s="180"/>
      <c r="F17" s="145"/>
      <c r="G17" s="146"/>
      <c r="H17" s="31"/>
    </row>
    <row r="18" spans="1:8">
      <c r="A18" s="41"/>
      <c r="B18" s="90" t="s">
        <v>89</v>
      </c>
      <c r="C18" s="102">
        <f>'T1 In-year inspections'!$C$8</f>
        <v>91</v>
      </c>
      <c r="D18" s="181">
        <f>COUNTIFS('D1 In-year standard inspections'!$Q:$Q,"&lt;&gt;null",'D1 In-year standard inspections'!$F:$F,$B$17,'D1 In-year standard inspections'!$AH:$AH,"All standards Met")</f>
        <v>69</v>
      </c>
      <c r="E18" s="223">
        <f>COUNTIFS('D1 In-year standard inspections'!$Q:$Q,"&lt;&gt;null",'D1 In-year standard inspections'!$F:$F,$B$17,'D1 In-year standard inspections'!$AH:$AH,"Did not meet all standards")</f>
        <v>22</v>
      </c>
      <c r="F18" s="141">
        <f>D18/SUM($D18,$E18)</f>
        <v>0.75824175824175821</v>
      </c>
      <c r="G18" s="142">
        <f>E18/SUM($D18,$E18)</f>
        <v>0.24175824175824176</v>
      </c>
      <c r="H18" s="31"/>
    </row>
    <row r="19" spans="1:8">
      <c r="A19" s="42"/>
      <c r="B19" s="91" t="s">
        <v>73</v>
      </c>
      <c r="C19" s="102">
        <f>'T1 In-year inspections'!$C$8</f>
        <v>91</v>
      </c>
      <c r="D19" s="220">
        <f>COUNTIFS('D1 In-year standard inspections'!$Q:$Q,"&lt;&gt;null",'D1 In-year standard inspections'!$F:$F,$B$17,'D1 In-year standard inspections'!$AI:$AI,$D$5)</f>
        <v>79</v>
      </c>
      <c r="E19" s="222">
        <f>COUNTIFS('D1 In-year standard inspections'!$Q:$Q,"&lt;&gt;null",'D1 In-year standard inspections'!$F:$F,$B$17,'D1 In-year standard inspections'!$AI:$AI,$E$5)</f>
        <v>11</v>
      </c>
      <c r="F19" s="143">
        <f t="shared" ref="F19:F26" si="2">D19/SUM($D19,$E19)</f>
        <v>0.87777777777777777</v>
      </c>
      <c r="G19" s="144">
        <f t="shared" ref="G19:G26" si="3">E19/SUM($D19,$E19)</f>
        <v>0.12222222222222222</v>
      </c>
      <c r="H19" s="31"/>
    </row>
    <row r="20" spans="1:8">
      <c r="A20" s="42"/>
      <c r="B20" s="91" t="s">
        <v>74</v>
      </c>
      <c r="C20" s="102">
        <f>'T1 In-year inspections'!$C$8</f>
        <v>91</v>
      </c>
      <c r="D20" s="220">
        <f>COUNTIFS('D1 In-year standard inspections'!$Q:$Q,"&lt;&gt;null",'D1 In-year standard inspections'!$F:$F,$B$17,'D1 In-year standard inspections'!$AJ:$AJ,$D$5)</f>
        <v>89</v>
      </c>
      <c r="E20" s="222">
        <f>COUNTIFS('D1 In-year standard inspections'!$Q:$Q,"&lt;&gt;null",'D1 In-year standard inspections'!$F:$F,$B$17,'D1 In-year standard inspections'!$AJ:$AJ,$E$5)</f>
        <v>1</v>
      </c>
      <c r="F20" s="143">
        <f t="shared" si="2"/>
        <v>0.98888888888888893</v>
      </c>
      <c r="G20" s="144">
        <f t="shared" si="3"/>
        <v>1.1111111111111112E-2</v>
      </c>
      <c r="H20" s="31"/>
    </row>
    <row r="21" spans="1:8">
      <c r="A21" s="42"/>
      <c r="B21" s="91" t="s">
        <v>75</v>
      </c>
      <c r="C21" s="102">
        <f>'T1 In-year inspections'!$C$8</f>
        <v>91</v>
      </c>
      <c r="D21" s="220">
        <f>COUNTIFS('D1 In-year standard inspections'!$Q:$Q,"&lt;&gt;null",'D1 In-year standard inspections'!$F:$F,$B$17,'D1 In-year standard inspections'!$AK:$AK,$D$5)</f>
        <v>85</v>
      </c>
      <c r="E21" s="222">
        <f>COUNTIFS('D1 In-year standard inspections'!$Q:$Q,"&lt;&gt;null",'D1 In-year standard inspections'!$F:$F,$B$17,'D1 In-year standard inspections'!$AK:$AK,$E$5)</f>
        <v>6</v>
      </c>
      <c r="F21" s="143">
        <f t="shared" si="2"/>
        <v>0.93406593406593408</v>
      </c>
      <c r="G21" s="144">
        <f t="shared" si="3"/>
        <v>6.5934065934065936E-2</v>
      </c>
      <c r="H21" s="31"/>
    </row>
    <row r="22" spans="1:8">
      <c r="A22" s="42"/>
      <c r="B22" s="91" t="s">
        <v>76</v>
      </c>
      <c r="C22" s="102">
        <f>'T1 In-year inspections'!$C$8</f>
        <v>91</v>
      </c>
      <c r="D22" s="220">
        <f>COUNTIFS('D1 In-year standard inspections'!$Q:$Q,"&lt;&gt;null",'D1 In-year standard inspections'!$F:$F,$B$17,'D1 In-year standard inspections'!$AL:$AL,$D$5)</f>
        <v>88</v>
      </c>
      <c r="E22" s="222">
        <f>COUNTIFS('D1 In-year standard inspections'!$Q:$Q,"&lt;&gt;null",'D1 In-year standard inspections'!$F:$F,$B$17,'D1 In-year standard inspections'!$AL:$AL,$E$5)</f>
        <v>3</v>
      </c>
      <c r="F22" s="143">
        <f t="shared" si="2"/>
        <v>0.96703296703296704</v>
      </c>
      <c r="G22" s="144">
        <f t="shared" si="3"/>
        <v>3.2967032967032968E-2</v>
      </c>
      <c r="H22" s="31"/>
    </row>
    <row r="23" spans="1:8">
      <c r="A23" s="42"/>
      <c r="B23" s="91" t="s">
        <v>77</v>
      </c>
      <c r="C23" s="102">
        <f>'T1 In-year inspections'!$C$8</f>
        <v>91</v>
      </c>
      <c r="D23" s="220">
        <f>COUNTIFS('D1 In-year standard inspections'!$Q:$Q,"&lt;&gt;null",'D1 In-year standard inspections'!$F:$F,$B$17,'D1 In-year standard inspections'!$AM:$AM,$D$5)</f>
        <v>85</v>
      </c>
      <c r="E23" s="222">
        <f>COUNTIFS('D1 In-year standard inspections'!$Q:$Q,"&lt;&gt;null",'D1 In-year standard inspections'!$F:$F,$B$17,'D1 In-year standard inspections'!$AM:$AM,$E$5)</f>
        <v>6</v>
      </c>
      <c r="F23" s="143">
        <f t="shared" si="2"/>
        <v>0.93406593406593408</v>
      </c>
      <c r="G23" s="144">
        <f t="shared" si="3"/>
        <v>6.5934065934065936E-2</v>
      </c>
      <c r="H23" s="31"/>
    </row>
    <row r="24" spans="1:8">
      <c r="A24" s="42"/>
      <c r="B24" s="91" t="s">
        <v>78</v>
      </c>
      <c r="C24" s="102">
        <f>'T1 In-year inspections'!$C$8</f>
        <v>91</v>
      </c>
      <c r="D24" s="220">
        <f>COUNTIFS('D1 In-year standard inspections'!$Q:$Q,"&lt;&gt;null",'D1 In-year standard inspections'!$F:$F,$B$17,'D1 In-year standard inspections'!$AN:$AN,$D$5)</f>
        <v>84</v>
      </c>
      <c r="E24" s="222">
        <f>COUNTIFS('D1 In-year standard inspections'!$Q:$Q,"&lt;&gt;null",'D1 In-year standard inspections'!$F:$F,$B$17,'D1 In-year standard inspections'!$AN:$AN,$E$5)</f>
        <v>7</v>
      </c>
      <c r="F24" s="143">
        <f t="shared" si="2"/>
        <v>0.92307692307692313</v>
      </c>
      <c r="G24" s="144">
        <f t="shared" si="3"/>
        <v>7.6923076923076927E-2</v>
      </c>
      <c r="H24" s="31"/>
    </row>
    <row r="25" spans="1:8">
      <c r="A25" s="42"/>
      <c r="B25" s="92" t="s">
        <v>79</v>
      </c>
      <c r="C25" s="102">
        <f>'T1 In-year inspections'!$C$8</f>
        <v>91</v>
      </c>
      <c r="D25" s="220">
        <f>COUNTIFS('D1 In-year standard inspections'!$Q:$Q,"&lt;&gt;null",'D1 In-year standard inspections'!$F:$F,$B$17,'D1 In-year standard inspections'!$AO:$AO,$D$5)</f>
        <v>89</v>
      </c>
      <c r="E25" s="222">
        <f>COUNTIFS('D1 In-year standard inspections'!$Q:$Q,"&lt;&gt;null",'D1 In-year standard inspections'!$F:$F,$B$17,'D1 In-year standard inspections'!$AO:$AO,$E$5)</f>
        <v>2</v>
      </c>
      <c r="F25" s="143">
        <f t="shared" si="2"/>
        <v>0.97802197802197799</v>
      </c>
      <c r="G25" s="144">
        <f t="shared" si="3"/>
        <v>2.197802197802198E-2</v>
      </c>
      <c r="H25" s="31"/>
    </row>
    <row r="26" spans="1:8">
      <c r="A26" s="42"/>
      <c r="B26" s="92" t="s">
        <v>80</v>
      </c>
      <c r="C26" s="102">
        <f>'T1 In-year inspections'!$C$8</f>
        <v>91</v>
      </c>
      <c r="D26" s="220">
        <f>COUNTIFS('D1 In-year standard inspections'!$Q:$Q,"&lt;&gt;null",'D1 In-year standard inspections'!$F:$F,$B$17,'D1 In-year standard inspections'!$AP:$AP,$D$5)</f>
        <v>70</v>
      </c>
      <c r="E26" s="222">
        <f>COUNTIFS('D1 In-year standard inspections'!$Q:$Q,"&lt;&gt;null",'D1 In-year standard inspections'!$F:$F,$B$17,'D1 In-year standard inspections'!$AP:$AP,$E$5)</f>
        <v>21</v>
      </c>
      <c r="F26" s="143">
        <f t="shared" si="2"/>
        <v>0.76923076923076927</v>
      </c>
      <c r="G26" s="144">
        <f t="shared" si="3"/>
        <v>0.23076923076923078</v>
      </c>
      <c r="H26" s="31"/>
    </row>
    <row r="27" spans="1:8">
      <c r="A27" s="42"/>
      <c r="B27" s="92"/>
      <c r="C27" s="103"/>
      <c r="D27" s="179"/>
      <c r="E27" s="180"/>
      <c r="F27" s="145"/>
      <c r="G27" s="146"/>
      <c r="H27" s="31"/>
    </row>
    <row r="28" spans="1:8">
      <c r="A28" s="42"/>
      <c r="B28" s="87" t="s">
        <v>72</v>
      </c>
      <c r="C28" s="103"/>
      <c r="D28" s="179"/>
      <c r="E28" s="180"/>
      <c r="F28" s="145"/>
      <c r="G28" s="146"/>
      <c r="H28" s="31"/>
    </row>
    <row r="29" spans="1:8">
      <c r="A29" s="41"/>
      <c r="B29" s="90" t="s">
        <v>89</v>
      </c>
      <c r="C29" s="102">
        <f>'T1 In-year inspections'!$C$9</f>
        <v>51</v>
      </c>
      <c r="D29" s="181">
        <f>COUNTIFS('D1 In-year standard inspections'!$Q:$Q,"&lt;&gt;null",'D1 In-year standard inspections'!$F:$F,$B$28,'D1 In-year standard inspections'!$AH:$AH,"All standards Met")</f>
        <v>40</v>
      </c>
      <c r="E29" s="223">
        <f>COUNTIFS('D1 In-year standard inspections'!$Q:$Q,"&lt;&gt;null",'D1 In-year standard inspections'!$F:$F,$B$28,'D1 In-year standard inspections'!$AH:$AH,"Did not meet all standards")</f>
        <v>11</v>
      </c>
      <c r="F29" s="141">
        <f>D29/SUM($D29,$E29)</f>
        <v>0.78431372549019607</v>
      </c>
      <c r="G29" s="142">
        <f>E29/SUM($D29,$E29)</f>
        <v>0.21568627450980393</v>
      </c>
      <c r="H29" s="31"/>
    </row>
    <row r="30" spans="1:8">
      <c r="A30" s="42"/>
      <c r="B30" s="91" t="s">
        <v>73</v>
      </c>
      <c r="C30" s="102">
        <f>'T1 In-year inspections'!$C$9</f>
        <v>51</v>
      </c>
      <c r="D30" s="220">
        <f>COUNTIFS('D1 In-year standard inspections'!$Q:$Q,"&lt;&gt;null",'D1 In-year standard inspections'!$F:$F,$B$28,'D1 In-year standard inspections'!$AI:$AI,$D$5)</f>
        <v>49</v>
      </c>
      <c r="E30" s="222">
        <f>COUNTIFS('D1 In-year standard inspections'!$Q:$Q,"&lt;&gt;null",'D1 In-year standard inspections'!$F:$F,$B$28,'D1 In-year standard inspections'!$AI:$AI,$E$5)</f>
        <v>1</v>
      </c>
      <c r="F30" s="143">
        <f t="shared" ref="F30:F37" si="4">D30/SUM($D30,$E30)</f>
        <v>0.98</v>
      </c>
      <c r="G30" s="144">
        <f t="shared" ref="G30:G37" si="5">E30/SUM($D30,$E30)</f>
        <v>0.02</v>
      </c>
      <c r="H30" s="31"/>
    </row>
    <row r="31" spans="1:8">
      <c r="A31" s="42"/>
      <c r="B31" s="91" t="s">
        <v>74</v>
      </c>
      <c r="C31" s="102">
        <f>'T1 In-year inspections'!$C$9</f>
        <v>51</v>
      </c>
      <c r="D31" s="220">
        <f>COUNTIFS('D1 In-year standard inspections'!$Q:$Q,"&lt;&gt;null",'D1 In-year standard inspections'!$F:$F,$B$28,'D1 In-year standard inspections'!$AJ:$AJ,$D$5)</f>
        <v>48</v>
      </c>
      <c r="E31" s="222">
        <f>COUNTIFS('D1 In-year standard inspections'!$Q:$Q,"&lt;&gt;null",'D1 In-year standard inspections'!$F:$F,$B$28,'D1 In-year standard inspections'!$AJ:$AJ,$E$5)</f>
        <v>2</v>
      </c>
      <c r="F31" s="143">
        <f t="shared" si="4"/>
        <v>0.96</v>
      </c>
      <c r="G31" s="144">
        <f t="shared" si="5"/>
        <v>0.04</v>
      </c>
      <c r="H31" s="31"/>
    </row>
    <row r="32" spans="1:8">
      <c r="A32" s="42"/>
      <c r="B32" s="91" t="s">
        <v>75</v>
      </c>
      <c r="C32" s="102">
        <f>'T1 In-year inspections'!$C$9</f>
        <v>51</v>
      </c>
      <c r="D32" s="220">
        <f>COUNTIFS('D1 In-year standard inspections'!$Q:$Q,"&lt;&gt;null",'D1 In-year standard inspections'!$F:$F,$B$28,'D1 In-year standard inspections'!$AK:$AK,$D$5)</f>
        <v>48</v>
      </c>
      <c r="E32" s="222">
        <f>COUNTIFS('D1 In-year standard inspections'!$Q:$Q,"&lt;&gt;null",'D1 In-year standard inspections'!$F:$F,$B$28,'D1 In-year standard inspections'!$AK:$AK,$E$5)</f>
        <v>3</v>
      </c>
      <c r="F32" s="143">
        <f t="shared" si="4"/>
        <v>0.94117647058823528</v>
      </c>
      <c r="G32" s="144">
        <f t="shared" si="5"/>
        <v>5.8823529411764705E-2</v>
      </c>
      <c r="H32" s="31"/>
    </row>
    <row r="33" spans="1:8">
      <c r="A33" s="42"/>
      <c r="B33" s="91" t="s">
        <v>76</v>
      </c>
      <c r="C33" s="102">
        <f>'T1 In-year inspections'!$C$9</f>
        <v>51</v>
      </c>
      <c r="D33" s="220">
        <f>COUNTIFS('D1 In-year standard inspections'!$Q:$Q,"&lt;&gt;null",'D1 In-year standard inspections'!$F:$F,$B$28,'D1 In-year standard inspections'!$AL:$AL,$D$5)</f>
        <v>48</v>
      </c>
      <c r="E33" s="222">
        <f>COUNTIFS('D1 In-year standard inspections'!$Q:$Q,"&lt;&gt;null",'D1 In-year standard inspections'!$F:$F,$B$28,'D1 In-year standard inspections'!$AL:$AL,$E$5)</f>
        <v>3</v>
      </c>
      <c r="F33" s="143">
        <f t="shared" si="4"/>
        <v>0.94117647058823528</v>
      </c>
      <c r="G33" s="144">
        <f t="shared" si="5"/>
        <v>5.8823529411764705E-2</v>
      </c>
      <c r="H33" s="31"/>
    </row>
    <row r="34" spans="1:8">
      <c r="A34" s="42"/>
      <c r="B34" s="91" t="s">
        <v>77</v>
      </c>
      <c r="C34" s="102">
        <f>'T1 In-year inspections'!$C$9</f>
        <v>51</v>
      </c>
      <c r="D34" s="220">
        <f>COUNTIFS('D1 In-year standard inspections'!$Q:$Q,"&lt;&gt;null",'D1 In-year standard inspections'!$F:$F,$B$28,'D1 In-year standard inspections'!$AM:$AM,$D$5)</f>
        <v>50</v>
      </c>
      <c r="E34" s="222">
        <f>COUNTIFS('D1 In-year standard inspections'!$Q:$Q,"&lt;&gt;null",'D1 In-year standard inspections'!$F:$F,$B$28,'D1 In-year standard inspections'!$AM:$AM,$E$5)</f>
        <v>1</v>
      </c>
      <c r="F34" s="143">
        <f t="shared" si="4"/>
        <v>0.98039215686274506</v>
      </c>
      <c r="G34" s="144">
        <f t="shared" si="5"/>
        <v>1.9607843137254902E-2</v>
      </c>
      <c r="H34" s="31"/>
    </row>
    <row r="35" spans="1:8">
      <c r="A35" s="42"/>
      <c r="B35" s="91" t="s">
        <v>78</v>
      </c>
      <c r="C35" s="102">
        <f>'T1 In-year inspections'!$C$9</f>
        <v>51</v>
      </c>
      <c r="D35" s="220">
        <f>COUNTIFS('D1 In-year standard inspections'!$Q:$Q,"&lt;&gt;null",'D1 In-year standard inspections'!$F:$F,$B$28,'D1 In-year standard inspections'!$AN:$AN,$D$5)</f>
        <v>47</v>
      </c>
      <c r="E35" s="222">
        <f>COUNTIFS('D1 In-year standard inspections'!$Q:$Q,"&lt;&gt;null",'D1 In-year standard inspections'!$F:$F,$B$28,'D1 In-year standard inspections'!$AN:$AN,$E$5)</f>
        <v>4</v>
      </c>
      <c r="F35" s="143">
        <f t="shared" si="4"/>
        <v>0.92156862745098034</v>
      </c>
      <c r="G35" s="144">
        <f t="shared" si="5"/>
        <v>7.8431372549019607E-2</v>
      </c>
      <c r="H35" s="31"/>
    </row>
    <row r="36" spans="1:8">
      <c r="A36" s="42"/>
      <c r="B36" s="92" t="s">
        <v>79</v>
      </c>
      <c r="C36" s="102">
        <f>'T1 In-year inspections'!$C$9</f>
        <v>51</v>
      </c>
      <c r="D36" s="220">
        <f>COUNTIFS('D1 In-year standard inspections'!$Q:$Q,"&lt;&gt;null",'D1 In-year standard inspections'!$F:$F,$B$28,'D1 In-year standard inspections'!$AO:$AO,$D$5)</f>
        <v>50</v>
      </c>
      <c r="E36" s="222">
        <f>COUNTIFS('D1 In-year standard inspections'!$Q:$Q,"&lt;&gt;null",'D1 In-year standard inspections'!$F:$F,$B$28,'D1 In-year standard inspections'!$AO:$AO,$E$5)</f>
        <v>1</v>
      </c>
      <c r="F36" s="143">
        <f t="shared" si="4"/>
        <v>0.98039215686274506</v>
      </c>
      <c r="G36" s="144">
        <f t="shared" si="5"/>
        <v>1.9607843137254902E-2</v>
      </c>
      <c r="H36" s="31"/>
    </row>
    <row r="37" spans="1:8">
      <c r="A37" s="42"/>
      <c r="B37" s="93" t="s">
        <v>80</v>
      </c>
      <c r="C37" s="104">
        <f>'T1 In-year inspections'!$C$9</f>
        <v>51</v>
      </c>
      <c r="D37" s="224">
        <f>COUNTIFS('D1 In-year standard inspections'!$Q:$Q,"&lt;&gt;null",'D1 In-year standard inspections'!$F:$F,$B$28,'D1 In-year standard inspections'!$AP:$AP,$D$5)</f>
        <v>40</v>
      </c>
      <c r="E37" s="225">
        <f>COUNTIFS('D1 In-year standard inspections'!$Q:$Q,"&lt;&gt;null",'D1 In-year standard inspections'!$F:$F,$B$28,'D1 In-year standard inspections'!$AP:$AP,$E$5)</f>
        <v>11</v>
      </c>
      <c r="F37" s="147">
        <f t="shared" si="4"/>
        <v>0.78431372549019607</v>
      </c>
      <c r="G37" s="148">
        <f t="shared" si="5"/>
        <v>0.21568627450980393</v>
      </c>
      <c r="H37" s="31"/>
    </row>
    <row r="38" spans="1:8">
      <c r="A38" s="40"/>
      <c r="B38" s="43"/>
      <c r="C38" s="43"/>
      <c r="D38" s="43"/>
      <c r="E38" s="43"/>
      <c r="F38" s="43"/>
      <c r="G38" s="19" t="s">
        <v>62</v>
      </c>
      <c r="H38" s="31"/>
    </row>
    <row r="39" spans="1:8">
      <c r="A39" s="40"/>
      <c r="B39" s="44"/>
      <c r="C39" s="45"/>
      <c r="D39" s="45"/>
      <c r="E39" s="45"/>
      <c r="F39" s="45"/>
      <c r="G39" s="45"/>
      <c r="H39" s="31"/>
    </row>
    <row r="40" spans="1:8" ht="23.25" customHeight="1">
      <c r="A40" s="40"/>
      <c r="B40" s="291" t="s">
        <v>91</v>
      </c>
      <c r="C40" s="292"/>
      <c r="D40" s="292"/>
      <c r="E40" s="292"/>
      <c r="F40" s="292"/>
      <c r="G40" s="293"/>
      <c r="H40" s="31"/>
    </row>
    <row r="41" spans="1:8">
      <c r="A41" s="40"/>
      <c r="B41" s="8" t="s">
        <v>64</v>
      </c>
      <c r="C41" s="8"/>
      <c r="D41" s="8"/>
      <c r="E41" s="8"/>
      <c r="F41" s="8"/>
      <c r="G41" s="8"/>
      <c r="H41" s="31"/>
    </row>
    <row r="42" spans="1:8">
      <c r="A42" s="47"/>
      <c r="B42" s="243" t="s">
        <v>2984</v>
      </c>
      <c r="C42" s="31"/>
      <c r="D42" s="31"/>
      <c r="E42" s="31"/>
      <c r="F42" s="31"/>
      <c r="G42" s="31"/>
      <c r="H42" s="31"/>
    </row>
    <row r="43" spans="1:8" ht="38.25" customHeight="1"/>
  </sheetData>
  <sheetProtection sheet="1" objects="1" scenarios="1"/>
  <mergeCells count="4">
    <mergeCell ref="C4:C5"/>
    <mergeCell ref="D4:E4"/>
    <mergeCell ref="F4:G4"/>
    <mergeCell ref="B40:G40"/>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4" tint="0.79998168889431442"/>
  </sheetPr>
  <dimension ref="A1:H17"/>
  <sheetViews>
    <sheetView showGridLines="0" zoomScaleNormal="100" workbookViewId="0"/>
  </sheetViews>
  <sheetFormatPr defaultColWidth="9.140625" defaultRowHeight="12.75"/>
  <cols>
    <col min="1" max="1" width="2.7109375" style="32" customWidth="1"/>
    <col min="2" max="2" width="52" style="32" customWidth="1"/>
    <col min="3" max="3" width="14.85546875" style="32" customWidth="1"/>
    <col min="4" max="7" width="10" style="32" customWidth="1"/>
    <col min="8" max="8" width="15.140625" style="32" bestFit="1" customWidth="1"/>
    <col min="9" max="9" width="10" style="32" customWidth="1"/>
    <col min="10" max="16384" width="9.140625" style="32"/>
  </cols>
  <sheetData>
    <row r="1" spans="1:8" ht="17.25">
      <c r="A1" s="46"/>
      <c r="B1" s="259" t="s">
        <v>2990</v>
      </c>
      <c r="C1" s="13"/>
      <c r="D1" s="13"/>
      <c r="E1" s="13"/>
      <c r="F1" s="13"/>
      <c r="G1" s="13"/>
      <c r="H1" s="13"/>
    </row>
    <row r="2" spans="1:8">
      <c r="A2" s="46"/>
      <c r="B2" s="6" t="str">
        <f>Cover!C8</f>
        <v>Inspections from 1 September 2017 to 31 December 2017, published by 31 December 2017</v>
      </c>
      <c r="C2" s="14"/>
      <c r="D2" s="14"/>
      <c r="E2" s="14"/>
      <c r="F2" s="14"/>
      <c r="G2" s="14"/>
      <c r="H2" s="13"/>
    </row>
    <row r="3" spans="1:8">
      <c r="A3" s="46"/>
      <c r="B3" s="12"/>
      <c r="C3" s="14"/>
      <c r="D3" s="49"/>
      <c r="E3" s="16"/>
      <c r="F3" s="16"/>
      <c r="G3" s="14"/>
      <c r="H3" s="13"/>
    </row>
    <row r="4" spans="1:8" ht="25.5">
      <c r="A4" s="50"/>
      <c r="B4" s="83"/>
      <c r="C4" s="72" t="s">
        <v>34</v>
      </c>
      <c r="D4" s="295" t="s">
        <v>29</v>
      </c>
      <c r="E4" s="295"/>
      <c r="F4" s="295" t="s">
        <v>30</v>
      </c>
      <c r="G4" s="287"/>
      <c r="H4" s="17"/>
    </row>
    <row r="5" spans="1:8">
      <c r="A5" s="50"/>
      <c r="B5" s="84"/>
      <c r="C5" s="71"/>
      <c r="D5" s="71" t="s">
        <v>59</v>
      </c>
      <c r="E5" s="71" t="s">
        <v>60</v>
      </c>
      <c r="F5" s="71" t="s">
        <v>59</v>
      </c>
      <c r="G5" s="70" t="s">
        <v>60</v>
      </c>
      <c r="H5" s="51"/>
    </row>
    <row r="6" spans="1:8">
      <c r="A6" s="50"/>
      <c r="B6" s="85" t="s">
        <v>36</v>
      </c>
      <c r="C6" s="94">
        <f>SUM(C7:C8)</f>
        <v>30</v>
      </c>
      <c r="D6" s="95">
        <f t="shared" ref="D6:E6" si="0">SUM(D7:D8)</f>
        <v>16</v>
      </c>
      <c r="E6" s="95">
        <f t="shared" si="0"/>
        <v>14</v>
      </c>
      <c r="F6" s="106">
        <f t="shared" ref="F6:G8" si="1">D6/(SUM($D6,$E6))</f>
        <v>0.53333333333333333</v>
      </c>
      <c r="G6" s="107">
        <f t="shared" si="1"/>
        <v>0.46666666666666667</v>
      </c>
      <c r="H6" s="159"/>
    </row>
    <row r="7" spans="1:8">
      <c r="A7" s="50"/>
      <c r="B7" s="76" t="s">
        <v>71</v>
      </c>
      <c r="C7" s="34">
        <f>COUNTIFS('D2 In-year monitoring'!$Q:$Q,"&lt;&gt;null",'D2 In-year monitoring'!$F:$F,$B7)</f>
        <v>16</v>
      </c>
      <c r="D7" s="33">
        <f>COUNTIFS('D2 In-year monitoring'!$Q:$Q,"&lt;&gt;null",'D2 In-year monitoring'!$F:$F,$B7,'D2 In-year monitoring'!$AG:$AG,"Met all standards that were checked")</f>
        <v>9</v>
      </c>
      <c r="E7" s="33">
        <f>COUNTIFS('D2 In-year monitoring'!$Q:$Q,"&lt;&gt;null",'D2 In-year monitoring'!$F:$F,$B7,'D2 In-year monitoring'!$AG:$AG,"Did not meet all standards that were checked")</f>
        <v>7</v>
      </c>
      <c r="F7" s="108">
        <f t="shared" si="1"/>
        <v>0.5625</v>
      </c>
      <c r="G7" s="109">
        <f t="shared" si="1"/>
        <v>0.4375</v>
      </c>
      <c r="H7" s="78"/>
    </row>
    <row r="8" spans="1:8">
      <c r="A8" s="50"/>
      <c r="B8" s="77" t="s">
        <v>72</v>
      </c>
      <c r="C8" s="37">
        <f>COUNTIFS('D2 In-year monitoring'!$Q:$Q,"&lt;&gt;null",'D2 In-year monitoring'!$F:$F,$B8)</f>
        <v>14</v>
      </c>
      <c r="D8" s="36">
        <f>COUNTIFS('D2 In-year monitoring'!$Q:$Q,"&lt;&gt;null",'D2 In-year monitoring'!$F:$F,$B8,'D2 In-year monitoring'!$AG:$AG,"Met all standards that were checked")</f>
        <v>7</v>
      </c>
      <c r="E8" s="36">
        <f>COUNTIFS('D2 In-year monitoring'!$Q:$Q,"&lt;&gt;null",'D2 In-year monitoring'!$F:$F,$B8,'D2 In-year monitoring'!$AG:$AG,"Did not meet all standards that were checked")</f>
        <v>7</v>
      </c>
      <c r="F8" s="110">
        <f t="shared" si="1"/>
        <v>0.5</v>
      </c>
      <c r="G8" s="111">
        <f t="shared" si="1"/>
        <v>0.5</v>
      </c>
      <c r="H8" s="78"/>
    </row>
    <row r="9" spans="1:8">
      <c r="A9" s="46"/>
      <c r="B9" s="15"/>
      <c r="C9" s="43"/>
      <c r="D9" s="43"/>
      <c r="E9" s="43"/>
      <c r="F9" s="52"/>
      <c r="G9" s="19" t="s">
        <v>62</v>
      </c>
      <c r="H9" s="18"/>
    </row>
    <row r="10" spans="1:8">
      <c r="A10" s="46"/>
      <c r="B10" s="20"/>
      <c r="C10" s="43"/>
      <c r="D10" s="43"/>
      <c r="E10" s="43"/>
      <c r="F10" s="52"/>
      <c r="G10" s="19"/>
      <c r="H10" s="18"/>
    </row>
    <row r="11" spans="1:8">
      <c r="A11" s="46"/>
      <c r="B11" s="31" t="s">
        <v>63</v>
      </c>
      <c r="C11" s="45"/>
      <c r="D11" s="45"/>
      <c r="E11" s="45"/>
      <c r="F11" s="45"/>
      <c r="G11" s="45"/>
      <c r="H11" s="45"/>
    </row>
    <row r="12" spans="1:8" ht="26.25" customHeight="1">
      <c r="A12" s="31"/>
      <c r="B12" s="294" t="s">
        <v>64</v>
      </c>
      <c r="C12" s="294"/>
      <c r="D12" s="294"/>
      <c r="E12" s="294"/>
      <c r="F12" s="294"/>
      <c r="G12" s="294"/>
      <c r="H12" s="31"/>
    </row>
    <row r="13" spans="1:8">
      <c r="A13" s="31"/>
      <c r="B13" s="31"/>
      <c r="C13" s="31"/>
      <c r="D13" s="31"/>
      <c r="E13" s="31"/>
      <c r="F13" s="31"/>
      <c r="G13" s="31"/>
      <c r="H13" s="31"/>
    </row>
    <row r="14" spans="1:8">
      <c r="B14" s="170"/>
    </row>
    <row r="17" spans="2:2">
      <c r="B17" s="170"/>
    </row>
  </sheetData>
  <sheetProtection sheet="1" objects="1" scenarios="1"/>
  <mergeCells count="3">
    <mergeCell ref="B12:G12"/>
    <mergeCell ref="D4:E4"/>
    <mergeCell ref="F4:G4"/>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4" tint="0.79998168889431442"/>
  </sheetPr>
  <dimension ref="A1:AS35"/>
  <sheetViews>
    <sheetView showGridLines="0" zoomScaleNormal="100" workbookViewId="0"/>
  </sheetViews>
  <sheetFormatPr defaultColWidth="9.140625" defaultRowHeight="12.75"/>
  <cols>
    <col min="1" max="1" width="2.7109375" style="27" customWidth="1"/>
    <col min="2" max="2" width="47.85546875" style="27" customWidth="1"/>
    <col min="3" max="3" width="14.5703125" style="27" customWidth="1"/>
    <col min="4" max="4" width="14.7109375" style="27" customWidth="1"/>
    <col min="5" max="6" width="13.7109375" style="27" customWidth="1"/>
    <col min="7" max="7" width="14.5703125" style="27" customWidth="1"/>
    <col min="8" max="12" width="13.7109375" style="27" customWidth="1"/>
    <col min="13" max="16384" width="9.140625" style="27"/>
  </cols>
  <sheetData>
    <row r="1" spans="1:45" ht="17.25">
      <c r="A1" s="9"/>
      <c r="B1" s="258" t="s">
        <v>2988</v>
      </c>
      <c r="C1" s="26"/>
      <c r="D1" s="26"/>
      <c r="E1" s="26"/>
      <c r="F1" s="26"/>
      <c r="G1" s="26"/>
      <c r="H1" s="26"/>
      <c r="I1" s="26"/>
      <c r="J1" s="26"/>
      <c r="K1" s="26"/>
      <c r="L1" s="26"/>
      <c r="M1" s="26"/>
      <c r="N1" s="26"/>
      <c r="O1" s="26"/>
      <c r="P1" s="26"/>
      <c r="Q1" s="26"/>
      <c r="R1" s="10"/>
      <c r="S1" s="10"/>
      <c r="T1" s="10"/>
      <c r="U1" s="10"/>
    </row>
    <row r="2" spans="1:45">
      <c r="A2" s="26"/>
      <c r="B2" s="26" t="str">
        <f>Cover!C9</f>
        <v>Most recent inspections published by 31 December 2017</v>
      </c>
      <c r="C2" s="26"/>
      <c r="D2" s="26"/>
      <c r="E2" s="26"/>
      <c r="F2" s="26"/>
      <c r="G2" s="26"/>
      <c r="H2" s="26"/>
      <c r="I2" s="26"/>
      <c r="J2" s="26"/>
      <c r="K2" s="26"/>
      <c r="L2" s="26"/>
      <c r="M2" s="26"/>
      <c r="N2" s="26"/>
      <c r="O2" s="26"/>
      <c r="P2" s="26"/>
      <c r="Q2" s="26"/>
      <c r="R2" s="10"/>
      <c r="S2" s="10"/>
      <c r="T2" s="10"/>
      <c r="U2" s="10"/>
    </row>
    <row r="3" spans="1:45">
      <c r="A3" s="26"/>
      <c r="B3" s="26"/>
      <c r="C3" s="169"/>
      <c r="D3" s="26"/>
      <c r="E3" s="26"/>
      <c r="F3" s="26"/>
      <c r="G3" s="26"/>
      <c r="H3" s="26"/>
      <c r="I3" s="26"/>
      <c r="J3" s="26"/>
      <c r="K3" s="26"/>
      <c r="L3" s="26"/>
      <c r="M3" s="26"/>
      <c r="N3" s="26"/>
      <c r="O3" s="26"/>
      <c r="P3" s="26"/>
      <c r="Q3" s="26"/>
      <c r="R3" s="10"/>
      <c r="S3" s="10"/>
      <c r="T3" s="10"/>
      <c r="U3" s="10"/>
    </row>
    <row r="4" spans="1:45" ht="14.45" customHeight="1">
      <c r="A4" s="26"/>
      <c r="B4" s="284"/>
      <c r="C4" s="300" t="s">
        <v>2760</v>
      </c>
      <c r="D4" s="287" t="s">
        <v>2761</v>
      </c>
      <c r="E4" s="282" t="s">
        <v>28</v>
      </c>
      <c r="F4" s="282"/>
      <c r="G4" s="282"/>
      <c r="H4" s="282"/>
      <c r="I4" s="282"/>
      <c r="J4" s="282"/>
      <c r="K4" s="282"/>
      <c r="L4" s="282"/>
      <c r="M4" s="305" t="s">
        <v>130</v>
      </c>
      <c r="N4" s="306"/>
      <c r="O4" s="306"/>
      <c r="P4" s="306"/>
      <c r="Q4" s="305" t="s">
        <v>124</v>
      </c>
      <c r="R4" s="306"/>
      <c r="S4" s="306"/>
      <c r="T4" s="307"/>
      <c r="U4" s="10"/>
    </row>
    <row r="5" spans="1:45" ht="34.5" customHeight="1">
      <c r="A5" s="26"/>
      <c r="B5" s="285"/>
      <c r="C5" s="301"/>
      <c r="D5" s="288"/>
      <c r="E5" s="282" t="s">
        <v>29</v>
      </c>
      <c r="F5" s="282"/>
      <c r="G5" s="282"/>
      <c r="H5" s="282"/>
      <c r="I5" s="282" t="s">
        <v>30</v>
      </c>
      <c r="J5" s="282"/>
      <c r="K5" s="282"/>
      <c r="L5" s="282"/>
      <c r="M5" s="305" t="s">
        <v>29</v>
      </c>
      <c r="N5" s="307"/>
      <c r="O5" s="305" t="s">
        <v>30</v>
      </c>
      <c r="P5" s="306"/>
      <c r="Q5" s="305" t="s">
        <v>29</v>
      </c>
      <c r="R5" s="307"/>
      <c r="S5" s="305" t="s">
        <v>30</v>
      </c>
      <c r="T5" s="307"/>
      <c r="U5" s="10"/>
    </row>
    <row r="6" spans="1:45" ht="34.5" customHeight="1">
      <c r="A6" s="26"/>
      <c r="B6" s="286"/>
      <c r="C6" s="302"/>
      <c r="D6" s="289"/>
      <c r="E6" s="21" t="s">
        <v>31</v>
      </c>
      <c r="F6" s="21" t="s">
        <v>35</v>
      </c>
      <c r="G6" s="21" t="s">
        <v>32</v>
      </c>
      <c r="H6" s="21" t="s">
        <v>33</v>
      </c>
      <c r="I6" s="150" t="s">
        <v>31</v>
      </c>
      <c r="J6" s="151" t="s">
        <v>35</v>
      </c>
      <c r="K6" s="151" t="s">
        <v>32</v>
      </c>
      <c r="L6" s="151" t="s">
        <v>33</v>
      </c>
      <c r="M6" s="176" t="s">
        <v>59</v>
      </c>
      <c r="N6" s="177" t="s">
        <v>60</v>
      </c>
      <c r="O6" s="178" t="s">
        <v>59</v>
      </c>
      <c r="P6" s="178" t="s">
        <v>60</v>
      </c>
      <c r="Q6" s="176" t="s">
        <v>128</v>
      </c>
      <c r="R6" s="177" t="s">
        <v>129</v>
      </c>
      <c r="S6" s="178" t="s">
        <v>128</v>
      </c>
      <c r="T6" s="177" t="s">
        <v>129</v>
      </c>
      <c r="U6" s="10"/>
    </row>
    <row r="7" spans="1:45">
      <c r="A7" s="26"/>
      <c r="B7" s="75" t="s">
        <v>36</v>
      </c>
      <c r="C7" s="226">
        <f>SUM(C8:C9)</f>
        <v>1096</v>
      </c>
      <c r="D7" s="226">
        <f>SUM(D8:D9)</f>
        <v>984</v>
      </c>
      <c r="E7" s="227">
        <f t="shared" ref="E7:H7" si="0">SUM(E8:E9)</f>
        <v>140</v>
      </c>
      <c r="F7" s="228">
        <f t="shared" si="0"/>
        <v>525</v>
      </c>
      <c r="G7" s="228">
        <f t="shared" si="0"/>
        <v>175</v>
      </c>
      <c r="H7" s="228">
        <f t="shared" si="0"/>
        <v>143</v>
      </c>
      <c r="I7" s="124">
        <f>E7/SUM($E7:$H7)</f>
        <v>0.14242115971515767</v>
      </c>
      <c r="J7" s="125">
        <f t="shared" ref="J7:L7" si="1">F7/SUM($E7:$H7)</f>
        <v>0.53407934893184128</v>
      </c>
      <c r="K7" s="125">
        <f t="shared" si="1"/>
        <v>0.17802644964394709</v>
      </c>
      <c r="L7" s="126">
        <f t="shared" si="1"/>
        <v>0.14547304170905392</v>
      </c>
      <c r="M7" s="238">
        <f t="shared" ref="M7" si="2">SUM(M8:M9)</f>
        <v>491</v>
      </c>
      <c r="N7" s="231">
        <f t="shared" ref="N7" si="3">SUM(N8:N9)</f>
        <v>188</v>
      </c>
      <c r="O7" s="232">
        <f>M7/SUM($M7,$N7)</f>
        <v>0.7231222385861561</v>
      </c>
      <c r="P7" s="232">
        <f>N7/SUM($M7,$N7)</f>
        <v>0.2768777614138439</v>
      </c>
      <c r="Q7" s="94">
        <f t="shared" ref="Q7" si="4">SUM(Q8:Q9)</f>
        <v>585</v>
      </c>
      <c r="R7" s="213">
        <f t="shared" ref="R7" si="5">SUM(R8:R9)</f>
        <v>94</v>
      </c>
      <c r="S7" s="127">
        <f>Q7/SUM($Q7,$R7)</f>
        <v>0.8615611192930781</v>
      </c>
      <c r="T7" s="128">
        <f>R7/SUM($Q7,$R7)</f>
        <v>0.13843888070692195</v>
      </c>
      <c r="U7" s="10"/>
    </row>
    <row r="8" spans="1:45">
      <c r="A8" s="26"/>
      <c r="B8" s="79" t="s">
        <v>37</v>
      </c>
      <c r="C8" s="160">
        <f>COUNTIFS('D3 Most recent inspections'!$E:$E,$B8)</f>
        <v>630</v>
      </c>
      <c r="D8" s="160">
        <f>COUNTIFS('D3 Most recent inspections'!$E:$E,$B8,'D3 Most recent inspections'!$P:$P,"&lt;&gt;NULL")</f>
        <v>559</v>
      </c>
      <c r="E8" s="229">
        <f>COUNTIFS('D3 Most recent inspections'!$E:$E,$B8,'D3 Most recent inspections'!$T:$T,1)</f>
        <v>70</v>
      </c>
      <c r="F8" s="65">
        <f>COUNTIFS('D3 Most recent inspections'!$E:$E,$B8,'D3 Most recent inspections'!$T:$T,2)</f>
        <v>270</v>
      </c>
      <c r="G8" s="65">
        <f>COUNTIFS('D3 Most recent inspections'!$E:$E,$B8,'D3 Most recent inspections'!$T:$T,3)</f>
        <v>112</v>
      </c>
      <c r="H8" s="65">
        <f>COUNTIFS('D3 Most recent inspections'!$E:$E,$B8,'D3 Most recent inspections'!$T:$T,4)</f>
        <v>107</v>
      </c>
      <c r="I8" s="162">
        <f t="shared" ref="I8:I9" si="6">E8/SUM($E8:$H8)</f>
        <v>0.12522361359570661</v>
      </c>
      <c r="J8" s="163">
        <f t="shared" ref="J8:J9" si="7">F8/SUM($E8:$H8)</f>
        <v>0.48300536672629696</v>
      </c>
      <c r="K8" s="163">
        <f t="shared" ref="K8:K9" si="8">G8/SUM($E8:$H8)</f>
        <v>0.2003577817531306</v>
      </c>
      <c r="L8" s="164">
        <f t="shared" ref="L8:L9" si="9">H8/SUM($E8:$H8)</f>
        <v>0.19141323792486584</v>
      </c>
      <c r="M8" s="239">
        <f>COUNTIFS('D3 Most recent inspections'!$E:$E,$B8,'D3 Most recent inspections'!$AB:$AB,"All standards Met")</f>
        <v>248</v>
      </c>
      <c r="N8" s="53">
        <f>COUNTIFS('D3 Most recent inspections'!$E:$E,$B8,'D3 Most recent inspections'!$AB:$AB,"Did not meet all standards")</f>
        <v>130</v>
      </c>
      <c r="O8" s="121">
        <f t="shared" ref="O8:O9" si="10">M8/SUM($M8,$N8)</f>
        <v>0.65608465608465605</v>
      </c>
      <c r="P8" s="121">
        <f t="shared" ref="P8:P9" si="11">N8/SUM($M8,$N8)</f>
        <v>0.3439153439153439</v>
      </c>
      <c r="Q8" s="22">
        <f>COUNTIFS('D3 Most recent inspections'!$E:$E,$B8,'D3 Most recent inspections'!$U:$U,Q$6)</f>
        <v>307</v>
      </c>
      <c r="R8" s="23">
        <f>COUNTIFS('D3 Most recent inspections'!$E:$E,$B8,'D3 Most recent inspections'!$U:$U,R$6)</f>
        <v>71</v>
      </c>
      <c r="S8" s="129">
        <f t="shared" ref="S8:S9" si="12">Q8/SUM($Q8,$R8)</f>
        <v>0.81216931216931221</v>
      </c>
      <c r="T8" s="130">
        <f t="shared" ref="T8:T9" si="13">R8/SUM($Q8,$R8)</f>
        <v>0.18783068783068782</v>
      </c>
      <c r="U8" s="10"/>
    </row>
    <row r="9" spans="1:45">
      <c r="A9" s="26"/>
      <c r="B9" s="80" t="s">
        <v>38</v>
      </c>
      <c r="C9" s="161">
        <f>COUNTIFS('D3 Most recent inspections'!$E:$E,$B9)</f>
        <v>466</v>
      </c>
      <c r="D9" s="161">
        <f>COUNTIFS('D3 Most recent inspections'!$E:$E,$B9,'D3 Most recent inspections'!$P:$P,"&lt;&gt;NULL")</f>
        <v>425</v>
      </c>
      <c r="E9" s="230">
        <f>COUNTIFS('D3 Most recent inspections'!$E:$E,$B9,'D3 Most recent inspections'!$T:$T,1)</f>
        <v>70</v>
      </c>
      <c r="F9" s="66">
        <f>COUNTIFS('D3 Most recent inspections'!$E:$E,$B9,'D3 Most recent inspections'!$T:$T,2)</f>
        <v>255</v>
      </c>
      <c r="G9" s="66">
        <f>COUNTIFS('D3 Most recent inspections'!$E:$E,$B9,'D3 Most recent inspections'!$T:$T,3)</f>
        <v>63</v>
      </c>
      <c r="H9" s="66">
        <f>COUNTIFS('D3 Most recent inspections'!$E:$E,$B9,'D3 Most recent inspections'!$T:$T,4)</f>
        <v>36</v>
      </c>
      <c r="I9" s="165">
        <f t="shared" si="6"/>
        <v>0.1650943396226415</v>
      </c>
      <c r="J9" s="166">
        <f t="shared" si="7"/>
        <v>0.60141509433962259</v>
      </c>
      <c r="K9" s="166">
        <f t="shared" si="8"/>
        <v>0.14858490566037735</v>
      </c>
      <c r="L9" s="167">
        <f t="shared" si="9"/>
        <v>8.4905660377358486E-2</v>
      </c>
      <c r="M9" s="240">
        <f>COUNTIFS('D3 Most recent inspections'!$E:$E,$B9,'D3 Most recent inspections'!$AB:$AB,"All standards Met")</f>
        <v>243</v>
      </c>
      <c r="N9" s="54">
        <f>COUNTIFS('D3 Most recent inspections'!$E:$E,$B9,'D3 Most recent inspections'!$AB:$AB,"Did not meet all standards")</f>
        <v>58</v>
      </c>
      <c r="O9" s="237">
        <f t="shared" si="10"/>
        <v>0.80730897009966773</v>
      </c>
      <c r="P9" s="186">
        <f t="shared" si="11"/>
        <v>0.19269102990033224</v>
      </c>
      <c r="Q9" s="24">
        <f>COUNTIFS('D3 Most recent inspections'!$E:$E,$B9,'D3 Most recent inspections'!$U:$U,Q$6)</f>
        <v>278</v>
      </c>
      <c r="R9" s="25">
        <f>COUNTIFS('D3 Most recent inspections'!$E:$E,$B9,'D3 Most recent inspections'!$U:$U,R$6)</f>
        <v>23</v>
      </c>
      <c r="S9" s="131">
        <f t="shared" si="12"/>
        <v>0.92358803986710969</v>
      </c>
      <c r="T9" s="132">
        <f t="shared" si="13"/>
        <v>7.6411960132890366E-2</v>
      </c>
      <c r="U9" s="10"/>
    </row>
    <row r="10" spans="1:45" ht="12.75" customHeight="1">
      <c r="A10" s="26"/>
      <c r="B10" s="2"/>
      <c r="C10" s="3"/>
      <c r="D10" s="168"/>
      <c r="E10" s="28"/>
      <c r="F10" s="28"/>
      <c r="G10" s="28"/>
      <c r="H10" s="28"/>
      <c r="I10" s="29"/>
      <c r="J10" s="29"/>
      <c r="K10" s="29"/>
      <c r="L10" s="29"/>
      <c r="M10" s="10"/>
      <c r="N10" s="10"/>
      <c r="O10" s="10"/>
      <c r="P10" s="10"/>
      <c r="Q10" s="10"/>
      <c r="R10" s="10"/>
      <c r="S10" s="10"/>
      <c r="T10" s="19" t="s">
        <v>62</v>
      </c>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row>
    <row r="11" spans="1:45" ht="12.75" customHeight="1">
      <c r="A11" s="26"/>
      <c r="B11" s="2"/>
      <c r="C11" s="3"/>
      <c r="D11" s="168"/>
      <c r="E11" s="28"/>
      <c r="F11" s="28"/>
      <c r="G11" s="28"/>
      <c r="H11" s="28"/>
      <c r="I11" s="29"/>
      <c r="J11" s="29"/>
      <c r="K11" s="29"/>
      <c r="L11" s="29"/>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row>
    <row r="12" spans="1:45" s="11" customFormat="1">
      <c r="A12" s="10"/>
      <c r="B12" s="10" t="s">
        <v>63</v>
      </c>
      <c r="C12" s="10"/>
      <c r="D12" s="10"/>
      <c r="E12" s="10"/>
      <c r="F12" s="10"/>
      <c r="G12" s="10"/>
      <c r="H12" s="10"/>
      <c r="I12" s="158"/>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row>
    <row r="13" spans="1:45" s="11" customFormat="1">
      <c r="A13" s="10"/>
      <c r="B13" s="10" t="s">
        <v>64</v>
      </c>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row>
    <row r="14" spans="1:45" s="11" customFormat="1">
      <c r="A14" s="10"/>
      <c r="B14" s="57" t="s">
        <v>90</v>
      </c>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row>
    <row r="15" spans="1:45" s="11" customFormat="1" ht="40.5" customHeight="1">
      <c r="A15" s="10"/>
      <c r="B15" s="303" t="s">
        <v>2985</v>
      </c>
      <c r="C15" s="304"/>
      <c r="D15" s="304"/>
      <c r="E15" s="304"/>
      <c r="F15" s="304"/>
      <c r="G15" s="304"/>
      <c r="H15" s="304"/>
      <c r="I15" s="304"/>
      <c r="J15" s="304"/>
      <c r="K15" s="304"/>
      <c r="L15" s="304"/>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row>
    <row r="16" spans="1:45" s="11" customFormat="1">
      <c r="A16" s="10"/>
      <c r="B16" s="184" t="s">
        <v>2777</v>
      </c>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row>
    <row r="17" spans="1:45" s="10" customFormat="1"/>
    <row r="18" spans="1:45" s="10" customFormat="1">
      <c r="B18" s="112"/>
    </row>
    <row r="19" spans="1:45" s="56" customFormat="1" ht="35.25" customHeight="1">
      <c r="A19" s="55"/>
      <c r="B19" s="299" t="s">
        <v>2989</v>
      </c>
      <c r="C19" s="299"/>
      <c r="D19" s="299"/>
      <c r="E19" s="299"/>
      <c r="F19" s="299"/>
      <c r="G19" s="299"/>
      <c r="H19" s="10"/>
      <c r="I19" s="55"/>
      <c r="J19" s="55"/>
      <c r="K19" s="55"/>
      <c r="L19" s="55"/>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row>
    <row r="20" spans="1:45">
      <c r="A20" s="26"/>
      <c r="B20" s="26" t="str">
        <f>B2</f>
        <v>Most recent inspections published by 31 December 2017</v>
      </c>
      <c r="C20" s="26"/>
      <c r="D20" s="26"/>
      <c r="E20" s="26"/>
      <c r="F20" s="26"/>
      <c r="G20" s="26"/>
      <c r="H20" s="26"/>
      <c r="I20" s="26"/>
      <c r="J20" s="26"/>
      <c r="K20" s="26"/>
      <c r="L20" s="26"/>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row>
    <row r="21" spans="1:45">
      <c r="A21" s="26"/>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row>
    <row r="22" spans="1:45">
      <c r="A22" s="26"/>
      <c r="B22" s="10"/>
      <c r="C22" s="281" t="s">
        <v>2757</v>
      </c>
      <c r="D22" s="282"/>
      <c r="E22" s="282"/>
      <c r="F22" s="282"/>
      <c r="G22" s="283"/>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row>
    <row r="23" spans="1:45" ht="12.75" customHeight="1">
      <c r="A23" s="26"/>
      <c r="B23" s="284" t="s">
        <v>70</v>
      </c>
      <c r="C23" s="287" t="s">
        <v>61</v>
      </c>
      <c r="D23" s="282" t="s">
        <v>29</v>
      </c>
      <c r="E23" s="283"/>
      <c r="F23" s="281" t="s">
        <v>30</v>
      </c>
      <c r="G23" s="283"/>
      <c r="H23" s="26"/>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row>
    <row r="24" spans="1:45" ht="31.5" customHeight="1">
      <c r="A24" s="26"/>
      <c r="B24" s="285"/>
      <c r="C24" s="289"/>
      <c r="D24" s="183" t="s">
        <v>59</v>
      </c>
      <c r="E24" s="182" t="s">
        <v>60</v>
      </c>
      <c r="F24" s="187" t="s">
        <v>59</v>
      </c>
      <c r="G24" s="182" t="s">
        <v>60</v>
      </c>
      <c r="H24" s="26"/>
      <c r="I24" s="112"/>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row>
    <row r="25" spans="1:45">
      <c r="A25" s="26"/>
      <c r="B25" s="82" t="s">
        <v>2762</v>
      </c>
      <c r="C25" s="101">
        <f t="shared" ref="C25:E25" si="14">SUM(C26:C27)</f>
        <v>113</v>
      </c>
      <c r="D25" s="99">
        <f t="shared" si="14"/>
        <v>72</v>
      </c>
      <c r="E25" s="100">
        <f t="shared" si="14"/>
        <v>41</v>
      </c>
      <c r="F25" s="122">
        <f>D25/SUM($D25,$E25)</f>
        <v>0.63716814159292035</v>
      </c>
      <c r="G25" s="81">
        <f>E25/SUM($D25,$E25)</f>
        <v>0.36283185840707965</v>
      </c>
      <c r="H25" s="26"/>
      <c r="I25" s="10"/>
      <c r="J25" s="10"/>
      <c r="K25" s="10"/>
      <c r="L25" s="10"/>
      <c r="M25" s="10"/>
      <c r="N25" s="10"/>
      <c r="O25" s="10"/>
      <c r="P25" s="10"/>
      <c r="Q25" s="10"/>
      <c r="R25" s="10"/>
      <c r="S25" s="10"/>
      <c r="T25" s="10"/>
      <c r="U25" s="10"/>
    </row>
    <row r="26" spans="1:45">
      <c r="A26" s="26"/>
      <c r="B26" s="76" t="s">
        <v>32</v>
      </c>
      <c r="C26" s="233">
        <f>COUNTIFS('D3 Most recent inspections'!$AC:$AC,"&lt;&gt;NULL",'D3 Most recent inspections'!$T:$T,3,'D3 Most recent inspections'!$P:$P,"&lt;&gt;NULL")</f>
        <v>22</v>
      </c>
      <c r="D26" s="263">
        <f>COUNTIFS('D3 Most recent inspections'!$T:$T,3,'D3 Most recent inspections'!$P:$P,"&lt;&gt;NULL",'D3 Most recent inspections'!$AH:$AH,"Met all standards that were checked")+(COUNTIFS('D3 Most recent inspections'!$T:$T,3,'D3 Most recent inspections'!$P:$P,"&lt;&gt;NULL",'D3 Most recent inspections'!$AH:$AH,"Standards Met")+(COUNTIFS('D3 Most recent inspections'!$T:$T,3,'D3 Most recent inspections'!$P:$P,"&lt;&gt;NULL",'D3 Most recent inspections'!$AH:$AH,"Good progress")))</f>
        <v>16</v>
      </c>
      <c r="E26" s="234">
        <f>COUNTIFS('D3 Most recent inspections'!$T:$T,3,'D3 Most recent inspections'!$P:$P,"&lt;&gt;NULL",'D3 Most recent inspections'!$AH:$AH,"Did not meet all standards that were checked")+(COUNTIFS('D3 Most recent inspections'!$T:$T,3,'D3 Most recent inspections'!$P:$P,"&lt;&gt;NULL",'D3 Most recent inspections'!$AH:$AH,"Standards not met"))</f>
        <v>6</v>
      </c>
      <c r="F26" s="172">
        <f t="shared" ref="F26:G27" si="15">D26/SUM($D26,$E26)</f>
        <v>0.72727272727272729</v>
      </c>
      <c r="G26" s="173">
        <f t="shared" si="15"/>
        <v>0.27272727272727271</v>
      </c>
      <c r="H26" s="26"/>
      <c r="I26" s="10"/>
      <c r="J26" s="10"/>
      <c r="K26" s="10"/>
      <c r="L26" s="10"/>
      <c r="M26" s="10"/>
      <c r="N26" s="10"/>
      <c r="O26" s="10"/>
      <c r="P26" s="10"/>
      <c r="Q26" s="10"/>
      <c r="R26" s="10"/>
      <c r="S26" s="10"/>
      <c r="T26" s="10"/>
      <c r="U26" s="10"/>
    </row>
    <row r="27" spans="1:45">
      <c r="A27" s="26"/>
      <c r="B27" s="77" t="s">
        <v>33</v>
      </c>
      <c r="C27" s="235">
        <f>COUNTIFS('D3 Most recent inspections'!$AC:$AC,"&lt;&gt;NULL",'D3 Most recent inspections'!$T:$T,4,'D3 Most recent inspections'!$P:$P,"&lt;&gt;NULL")</f>
        <v>91</v>
      </c>
      <c r="D27" s="264">
        <f>COUNTIFS('D3 Most recent inspections'!$T:$T,4,'D3 Most recent inspections'!$P:$P,"&lt;&gt;NULL",'D3 Most recent inspections'!$AH:$AH,"Met all standards that were checked")+(COUNTIFS('D3 Most recent inspections'!$T:$T,4,'D3 Most recent inspections'!$P:$P,"&lt;&gt;NULL",'D3 Most recent inspections'!$AH:$AH,"Standards Met")+(COUNTIFS('D3 Most recent inspections'!$T:$T,4,'D3 Most recent inspections'!$P:$P,"&lt;&gt;NULL",'D3 Most recent inspections'!$AH:$AH,"Good progress")))</f>
        <v>56</v>
      </c>
      <c r="E27" s="236">
        <f>COUNTIFS('D3 Most recent inspections'!$T:$T,4,'D3 Most recent inspections'!$P:$P,"&lt;&gt;NULL",'D3 Most recent inspections'!$AH:$AH,"Did not meet all standards that were checked")+(COUNTIFS('D3 Most recent inspections'!$T:$T,4,'D3 Most recent inspections'!$P:$P,"&lt;&gt;NULL",'D3 Most recent inspections'!$AH:$AH,"Standards not met"))</f>
        <v>35</v>
      </c>
      <c r="F27" s="174">
        <f t="shared" si="15"/>
        <v>0.61538461538461542</v>
      </c>
      <c r="G27" s="175">
        <f t="shared" si="15"/>
        <v>0.38461538461538464</v>
      </c>
      <c r="H27" s="26"/>
      <c r="I27" s="10"/>
      <c r="J27" s="10"/>
      <c r="K27" s="10"/>
      <c r="L27" s="10"/>
      <c r="M27" s="10"/>
      <c r="N27" s="10"/>
      <c r="O27" s="10"/>
      <c r="P27" s="10"/>
      <c r="Q27" s="10"/>
      <c r="R27" s="10"/>
      <c r="S27" s="10"/>
      <c r="T27" s="10"/>
      <c r="U27" s="10"/>
    </row>
    <row r="28" spans="1:45">
      <c r="A28" s="26"/>
      <c r="B28" s="2"/>
      <c r="C28" s="2"/>
      <c r="D28" s="2"/>
      <c r="E28" s="2"/>
      <c r="F28" s="2"/>
      <c r="G28" s="19" t="s">
        <v>62</v>
      </c>
      <c r="H28" s="28"/>
      <c r="I28" s="10"/>
      <c r="J28" s="10"/>
      <c r="K28" s="10"/>
      <c r="L28" s="10"/>
      <c r="M28" s="10"/>
      <c r="N28" s="10"/>
      <c r="O28" s="10"/>
      <c r="P28" s="10"/>
      <c r="Q28" s="10"/>
      <c r="R28" s="10"/>
      <c r="S28" s="10"/>
      <c r="T28" s="10"/>
      <c r="U28" s="10"/>
    </row>
    <row r="29" spans="1:45">
      <c r="A29" s="26"/>
      <c r="B29" s="2"/>
      <c r="C29" s="2"/>
      <c r="D29" s="2"/>
      <c r="E29" s="2"/>
      <c r="F29" s="2"/>
      <c r="G29" s="241"/>
      <c r="H29" s="28"/>
      <c r="I29" s="10"/>
      <c r="J29" s="10"/>
      <c r="K29" s="10"/>
      <c r="L29" s="10"/>
      <c r="M29" s="10"/>
      <c r="N29" s="10"/>
      <c r="O29" s="10"/>
      <c r="P29" s="10"/>
      <c r="Q29" s="10"/>
      <c r="R29" s="10"/>
      <c r="S29" s="10"/>
      <c r="T29" s="10"/>
      <c r="U29" s="10"/>
    </row>
    <row r="30" spans="1:45" s="11" customFormat="1">
      <c r="A30" s="10"/>
      <c r="B30" s="10" t="s">
        <v>63</v>
      </c>
      <c r="C30" s="10"/>
      <c r="D30" s="10"/>
      <c r="E30" s="10"/>
      <c r="F30" s="10"/>
      <c r="G30" s="10"/>
      <c r="H30" s="10"/>
      <c r="I30" s="10"/>
      <c r="J30" s="10"/>
      <c r="K30" s="10"/>
      <c r="L30" s="10"/>
      <c r="M30" s="10"/>
      <c r="N30" s="10"/>
      <c r="O30" s="10"/>
      <c r="P30" s="10"/>
      <c r="Q30" s="10"/>
      <c r="R30" s="10"/>
      <c r="S30" s="10"/>
      <c r="T30" s="10"/>
      <c r="U30" s="10"/>
    </row>
    <row r="31" spans="1:45" s="11" customFormat="1">
      <c r="A31" s="10"/>
      <c r="B31" s="10" t="s">
        <v>64</v>
      </c>
      <c r="C31" s="10"/>
      <c r="D31" s="10"/>
      <c r="E31" s="10"/>
      <c r="F31" s="10"/>
      <c r="G31" s="10"/>
      <c r="H31" s="10"/>
      <c r="I31" s="10"/>
      <c r="J31" s="10"/>
      <c r="K31" s="10"/>
      <c r="L31" s="10"/>
      <c r="M31" s="10"/>
      <c r="N31" s="10"/>
      <c r="O31" s="10"/>
      <c r="P31" s="10"/>
      <c r="Q31" s="10"/>
      <c r="R31" s="10"/>
      <c r="S31" s="10"/>
      <c r="T31" s="10"/>
      <c r="U31" s="10"/>
    </row>
    <row r="32" spans="1:45" s="11" customFormat="1" ht="24.75" customHeight="1">
      <c r="A32" s="10"/>
      <c r="B32" s="296" t="s">
        <v>3115</v>
      </c>
      <c r="C32" s="297"/>
      <c r="D32" s="297"/>
      <c r="E32" s="297"/>
      <c r="F32" s="297"/>
      <c r="G32" s="297"/>
      <c r="H32" s="10"/>
      <c r="I32" s="10"/>
      <c r="J32" s="10"/>
      <c r="K32" s="10"/>
      <c r="L32" s="10"/>
      <c r="M32" s="10"/>
      <c r="N32" s="10"/>
      <c r="O32" s="10"/>
      <c r="P32" s="10"/>
      <c r="Q32" s="10"/>
      <c r="R32" s="10"/>
      <c r="S32" s="10"/>
      <c r="T32" s="10"/>
      <c r="U32" s="10"/>
    </row>
    <row r="33" spans="1:21" s="11" customFormat="1" ht="24.75" customHeight="1">
      <c r="A33" s="10"/>
      <c r="B33" s="298" t="s">
        <v>2986</v>
      </c>
      <c r="C33" s="297"/>
      <c r="D33" s="297"/>
      <c r="E33" s="297"/>
      <c r="F33" s="297"/>
      <c r="G33" s="297"/>
      <c r="H33" s="10"/>
      <c r="I33" s="10"/>
      <c r="J33" s="10"/>
      <c r="K33" s="10"/>
      <c r="L33" s="10"/>
      <c r="M33" s="10"/>
      <c r="N33" s="10"/>
      <c r="O33" s="10"/>
      <c r="P33" s="10"/>
      <c r="Q33" s="10"/>
      <c r="R33" s="10"/>
      <c r="S33" s="10"/>
      <c r="T33" s="10"/>
      <c r="U33" s="10"/>
    </row>
    <row r="34" spans="1:21">
      <c r="A34" s="10"/>
      <c r="B34" s="10"/>
      <c r="C34" s="10"/>
      <c r="D34" s="10"/>
      <c r="E34" s="10"/>
      <c r="F34" s="10"/>
      <c r="G34" s="10"/>
      <c r="H34" s="10"/>
      <c r="I34" s="10"/>
      <c r="J34" s="10"/>
      <c r="K34" s="10"/>
      <c r="L34" s="10"/>
      <c r="M34" s="10"/>
      <c r="N34" s="10"/>
      <c r="O34" s="10"/>
      <c r="P34" s="10"/>
      <c r="Q34" s="10"/>
      <c r="R34" s="10"/>
      <c r="S34" s="10"/>
      <c r="T34" s="10"/>
      <c r="U34" s="10"/>
    </row>
    <row r="35" spans="1:21">
      <c r="A35" s="10"/>
      <c r="B35" s="10"/>
      <c r="C35" s="10"/>
      <c r="D35" s="10"/>
      <c r="E35" s="10"/>
      <c r="F35" s="10"/>
      <c r="G35" s="10"/>
      <c r="H35" s="10"/>
      <c r="I35" s="10"/>
      <c r="J35" s="10"/>
      <c r="K35" s="10"/>
      <c r="L35" s="10"/>
      <c r="M35" s="10"/>
      <c r="N35" s="10"/>
      <c r="O35" s="10"/>
      <c r="P35" s="10"/>
      <c r="Q35" s="10"/>
      <c r="R35" s="10"/>
      <c r="S35" s="10"/>
      <c r="T35" s="10"/>
      <c r="U35" s="10"/>
    </row>
  </sheetData>
  <sheetProtection sheet="1" objects="1" scenarios="1"/>
  <mergeCells count="21">
    <mergeCell ref="Q4:T4"/>
    <mergeCell ref="Q5:R5"/>
    <mergeCell ref="S5:T5"/>
    <mergeCell ref="M4:P4"/>
    <mergeCell ref="M5:N5"/>
    <mergeCell ref="O5:P5"/>
    <mergeCell ref="B32:G32"/>
    <mergeCell ref="B33:G33"/>
    <mergeCell ref="I5:L5"/>
    <mergeCell ref="F23:G23"/>
    <mergeCell ref="B23:B24"/>
    <mergeCell ref="C23:C24"/>
    <mergeCell ref="D23:E23"/>
    <mergeCell ref="B19:G19"/>
    <mergeCell ref="B4:B6"/>
    <mergeCell ref="C4:C6"/>
    <mergeCell ref="D4:D6"/>
    <mergeCell ref="E4:L4"/>
    <mergeCell ref="E5:H5"/>
    <mergeCell ref="C22:G22"/>
    <mergeCell ref="B15:L15"/>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6" tint="0.79998168889431442"/>
  </sheetPr>
  <dimension ref="A1:JQ146"/>
  <sheetViews>
    <sheetView showGridLines="0" zoomScaleNormal="100" workbookViewId="0"/>
  </sheetViews>
  <sheetFormatPr defaultColWidth="26.5703125" defaultRowHeight="15"/>
  <cols>
    <col min="1" max="1" width="23.85546875" customWidth="1"/>
    <col min="2" max="2" width="17" bestFit="1" customWidth="1"/>
    <col min="3" max="3" width="10" bestFit="1" customWidth="1"/>
    <col min="4" max="4" width="10.85546875" bestFit="1" customWidth="1"/>
    <col min="5" max="5" width="42.5703125" bestFit="1" customWidth="1"/>
    <col min="6" max="6" width="31.85546875" bestFit="1" customWidth="1"/>
    <col min="7" max="7" width="25.85546875" bestFit="1" customWidth="1"/>
    <col min="8" max="8" width="35" bestFit="1" customWidth="1"/>
    <col min="9" max="9" width="27.42578125" bestFit="1" customWidth="1"/>
    <col min="10" max="10" width="24.7109375" bestFit="1" customWidth="1"/>
    <col min="11" max="11" width="11.42578125" bestFit="1" customWidth="1"/>
    <col min="12" max="12" width="20.28515625" bestFit="1" customWidth="1"/>
    <col min="13" max="13" width="28.85546875" bestFit="1" customWidth="1"/>
    <col min="14" max="14" width="27" bestFit="1" customWidth="1"/>
    <col min="15" max="15" width="15.85546875" bestFit="1" customWidth="1"/>
    <col min="16" max="16" width="14.42578125" bestFit="1" customWidth="1"/>
    <col min="17" max="17" width="20.28515625" bestFit="1" customWidth="1"/>
    <col min="18" max="18" width="23" bestFit="1" customWidth="1"/>
    <col min="19" max="19" width="22.5703125" bestFit="1" customWidth="1"/>
    <col min="20" max="20" width="17.85546875" bestFit="1" customWidth="1"/>
    <col min="21" max="21" width="38.85546875" bestFit="1" customWidth="1"/>
    <col min="22" max="22" width="58.85546875" bestFit="1" customWidth="1"/>
    <col min="23" max="23" width="21.140625" bestFit="1" customWidth="1"/>
    <col min="24" max="24" width="31.28515625" bestFit="1" customWidth="1"/>
    <col min="25" max="25" width="22.42578125" bestFit="1" customWidth="1"/>
    <col min="26" max="26" width="44.140625" bestFit="1" customWidth="1"/>
    <col min="27" max="27" width="45.5703125" bestFit="1" customWidth="1"/>
    <col min="28" max="28" width="20.28515625" bestFit="1" customWidth="1"/>
    <col min="29" max="29" width="21.42578125" bestFit="1" customWidth="1"/>
    <col min="30" max="30" width="21.7109375" bestFit="1" customWidth="1"/>
    <col min="31" max="31" width="21.42578125" bestFit="1" customWidth="1"/>
    <col min="32" max="32" width="14.85546875" bestFit="1" customWidth="1"/>
    <col min="33" max="33" width="18.140625" bestFit="1" customWidth="1"/>
    <col min="34" max="34" width="24.5703125" bestFit="1" customWidth="1"/>
    <col min="35" max="42" width="14.85546875" bestFit="1" customWidth="1"/>
    <col min="43" max="43" width="36.42578125" bestFit="1" customWidth="1"/>
    <col min="44" max="44" width="38.85546875" bestFit="1" customWidth="1"/>
    <col min="45" max="45" width="39" bestFit="1" customWidth="1"/>
    <col min="46" max="46" width="41.140625" bestFit="1" customWidth="1"/>
    <col min="47" max="47" width="41.7109375" bestFit="1" customWidth="1"/>
    <col min="48" max="48" width="36.42578125" bestFit="1" customWidth="1"/>
    <col min="49" max="49" width="38.85546875" bestFit="1" customWidth="1"/>
    <col min="50" max="50" width="39" bestFit="1" customWidth="1"/>
    <col min="51" max="51" width="38.7109375" bestFit="1" customWidth="1"/>
    <col min="52" max="52" width="39" bestFit="1" customWidth="1"/>
    <col min="53" max="53" width="41.140625" bestFit="1" customWidth="1"/>
    <col min="54" max="54" width="41.7109375" bestFit="1" customWidth="1"/>
    <col min="55" max="55" width="39" bestFit="1" customWidth="1"/>
    <col min="56" max="56" width="41.140625" bestFit="1" customWidth="1"/>
    <col min="57" max="57" width="41.7109375" bestFit="1" customWidth="1"/>
    <col min="58" max="58" width="42.28515625" bestFit="1" customWidth="1"/>
    <col min="59" max="59" width="38.5703125" bestFit="1" customWidth="1"/>
    <col min="60" max="60" width="38.85546875" bestFit="1" customWidth="1"/>
    <col min="61" max="61" width="39" bestFit="1" customWidth="1"/>
    <col min="62" max="62" width="38.42578125" bestFit="1" customWidth="1"/>
    <col min="63" max="63" width="33.85546875" bestFit="1" customWidth="1"/>
    <col min="64" max="64" width="36.42578125" bestFit="1" customWidth="1"/>
    <col min="65" max="65" width="36.5703125" bestFit="1" customWidth="1"/>
    <col min="66" max="66" width="36.28515625" bestFit="1" customWidth="1"/>
    <col min="67" max="68" width="36.5703125" bestFit="1" customWidth="1"/>
    <col min="69" max="69" width="36.140625" bestFit="1" customWidth="1"/>
    <col min="70" max="70" width="36.42578125" bestFit="1" customWidth="1"/>
    <col min="71" max="71" width="36.5703125" bestFit="1" customWidth="1"/>
    <col min="72" max="73" width="35.85546875" bestFit="1" customWidth="1"/>
    <col min="74" max="75" width="33.85546875" bestFit="1" customWidth="1"/>
    <col min="76" max="76" width="36.42578125" bestFit="1" customWidth="1"/>
    <col min="77" max="77" width="36.5703125" bestFit="1" customWidth="1"/>
    <col min="78" max="78" width="38.5703125" bestFit="1" customWidth="1"/>
    <col min="79" max="79" width="39.140625" bestFit="1" customWidth="1"/>
    <col min="80" max="80" width="39.7109375" bestFit="1" customWidth="1"/>
    <col min="81" max="81" width="39.5703125" bestFit="1" customWidth="1"/>
    <col min="82" max="82" width="39" bestFit="1" customWidth="1"/>
    <col min="83" max="83" width="39.5703125" bestFit="1" customWidth="1"/>
    <col min="84" max="84" width="40.28515625" bestFit="1" customWidth="1"/>
    <col min="85" max="85" width="36.28515625" bestFit="1" customWidth="1"/>
    <col min="86" max="86" width="36.5703125" bestFit="1" customWidth="1"/>
    <col min="87" max="87" width="38.5703125" bestFit="1" customWidth="1"/>
    <col min="88" max="88" width="39.140625" bestFit="1" customWidth="1"/>
    <col min="89" max="89" width="39.7109375" bestFit="1" customWidth="1"/>
    <col min="90" max="90" width="33.85546875" bestFit="1" customWidth="1"/>
    <col min="91" max="91" width="36.42578125" bestFit="1" customWidth="1"/>
    <col min="92" max="92" width="36.5703125" bestFit="1" customWidth="1"/>
    <col min="93" max="95" width="37.28515625" bestFit="1" customWidth="1"/>
    <col min="96" max="96" width="33.85546875" bestFit="1" customWidth="1"/>
    <col min="97" max="97" width="36.42578125" bestFit="1" customWidth="1"/>
    <col min="98" max="98" width="36.5703125" bestFit="1" customWidth="1"/>
    <col min="99" max="99" width="36.28515625" bestFit="1" customWidth="1"/>
    <col min="100" max="106" width="34.85546875" bestFit="1" customWidth="1"/>
    <col min="107" max="107" width="37.42578125" bestFit="1" customWidth="1"/>
    <col min="108" max="108" width="37.5703125" bestFit="1" customWidth="1"/>
    <col min="109" max="109" width="37.42578125" bestFit="1" customWidth="1"/>
    <col min="110" max="110" width="39.85546875" bestFit="1" customWidth="1"/>
    <col min="111" max="111" width="40" bestFit="1" customWidth="1"/>
    <col min="112" max="112" width="39.7109375" bestFit="1" customWidth="1"/>
    <col min="113" max="113" width="41.85546875" bestFit="1" customWidth="1"/>
    <col min="114" max="114" width="42.42578125" bestFit="1" customWidth="1"/>
    <col min="115" max="115" width="43" bestFit="1" customWidth="1"/>
    <col min="116" max="116" width="42.85546875" bestFit="1" customWidth="1"/>
    <col min="117" max="118" width="40" bestFit="1" customWidth="1"/>
    <col min="119" max="119" width="39.5703125" bestFit="1" customWidth="1"/>
    <col min="120" max="121" width="37.42578125" bestFit="1" customWidth="1"/>
    <col min="122" max="122" width="39.85546875" bestFit="1" customWidth="1"/>
    <col min="123" max="123" width="42" bestFit="1" customWidth="1"/>
    <col min="124" max="124" width="45.5703125" bestFit="1" customWidth="1"/>
    <col min="125" max="125" width="45.85546875" bestFit="1" customWidth="1"/>
    <col min="126" max="126" width="45.28515625" bestFit="1" customWidth="1"/>
    <col min="127" max="127" width="42.5703125" bestFit="1" customWidth="1"/>
    <col min="128" max="128" width="40" bestFit="1" customWidth="1"/>
    <col min="129" max="129" width="39.7109375" bestFit="1" customWidth="1"/>
    <col min="130" max="130" width="40" bestFit="1" customWidth="1"/>
    <col min="131" max="131" width="42.140625" bestFit="1" customWidth="1"/>
    <col min="132" max="132" width="42.7109375" bestFit="1" customWidth="1"/>
    <col min="133" max="133" width="40" bestFit="1" customWidth="1"/>
    <col min="134" max="135" width="37.42578125" bestFit="1" customWidth="1"/>
    <col min="136" max="136" width="39.85546875" bestFit="1" customWidth="1"/>
    <col min="137" max="137" width="42" bestFit="1" customWidth="1"/>
    <col min="138" max="138" width="42.5703125" bestFit="1" customWidth="1"/>
    <col min="139" max="139" width="40" bestFit="1" customWidth="1"/>
    <col min="140" max="140" width="42.140625" bestFit="1" customWidth="1"/>
    <col min="141" max="141" width="42.7109375" bestFit="1" customWidth="1"/>
    <col min="142" max="142" width="43.28515625" bestFit="1" customWidth="1"/>
    <col min="143" max="143" width="39.7109375" bestFit="1" customWidth="1"/>
    <col min="144" max="146" width="37.42578125" bestFit="1" customWidth="1"/>
    <col min="147" max="147" width="39.85546875" bestFit="1" customWidth="1"/>
    <col min="148" max="148" width="42" bestFit="1" customWidth="1"/>
    <col min="149" max="149" width="42.5703125" bestFit="1" customWidth="1"/>
    <col min="150" max="150" width="43.140625" bestFit="1" customWidth="1"/>
    <col min="151" max="151" width="43" bestFit="1" customWidth="1"/>
    <col min="152" max="152" width="42.42578125" bestFit="1" customWidth="1"/>
    <col min="153" max="153" width="43" bestFit="1" customWidth="1"/>
    <col min="154" max="154" width="43.5703125" bestFit="1" customWidth="1"/>
    <col min="155" max="155" width="44.140625" bestFit="1" customWidth="1"/>
    <col min="156" max="156" width="40" bestFit="1" customWidth="1"/>
    <col min="157" max="158" width="37.42578125" bestFit="1" customWidth="1"/>
    <col min="159" max="159" width="39.85546875" bestFit="1" customWidth="1"/>
    <col min="160" max="160" width="42" bestFit="1" customWidth="1"/>
    <col min="161" max="161" width="42.5703125" bestFit="1" customWidth="1"/>
    <col min="162" max="162" width="40" bestFit="1" customWidth="1"/>
    <col min="163" max="163" width="39.7109375" bestFit="1" customWidth="1"/>
    <col min="164" max="165" width="37.42578125" bestFit="1" customWidth="1"/>
    <col min="166" max="166" width="39.85546875" bestFit="1" customWidth="1"/>
    <col min="167" max="167" width="40" bestFit="1" customWidth="1"/>
    <col min="168" max="168" width="37.42578125" bestFit="1" customWidth="1"/>
    <col min="169" max="169" width="39.85546875" bestFit="1" customWidth="1"/>
    <col min="170" max="170" width="40" bestFit="1" customWidth="1"/>
    <col min="171" max="171" width="39.7109375" bestFit="1" customWidth="1"/>
    <col min="172" max="172" width="37.42578125" bestFit="1" customWidth="1"/>
    <col min="173" max="173" width="39.85546875" bestFit="1" customWidth="1"/>
    <col min="174" max="174" width="40" bestFit="1" customWidth="1"/>
    <col min="175" max="175" width="39.7109375" bestFit="1" customWidth="1"/>
    <col min="176" max="176" width="37.42578125" bestFit="1" customWidth="1"/>
    <col min="177" max="179" width="34.85546875" bestFit="1" customWidth="1"/>
    <col min="180" max="180" width="37.42578125" bestFit="1" customWidth="1"/>
    <col min="181" max="181" width="37.5703125" bestFit="1" customWidth="1"/>
    <col min="182" max="182" width="37.42578125" bestFit="1" customWidth="1"/>
    <col min="183" max="183" width="39.85546875" bestFit="1" customWidth="1"/>
    <col min="184" max="184" width="40" bestFit="1" customWidth="1"/>
    <col min="185" max="185" width="39.7109375" bestFit="1" customWidth="1"/>
    <col min="186" max="186" width="40" bestFit="1" customWidth="1"/>
    <col min="187" max="187" width="37.42578125" bestFit="1" customWidth="1"/>
    <col min="188" max="188" width="39.85546875" bestFit="1" customWidth="1"/>
    <col min="189" max="189" width="40" bestFit="1" customWidth="1"/>
    <col min="190" max="190" width="37.42578125" bestFit="1" customWidth="1"/>
    <col min="191" max="191" width="39.85546875" bestFit="1" customWidth="1"/>
    <col min="192" max="192" width="40" bestFit="1" customWidth="1"/>
    <col min="193" max="193" width="37.28515625" bestFit="1" customWidth="1"/>
    <col min="194" max="194" width="37.42578125" bestFit="1" customWidth="1"/>
    <col min="195" max="195" width="39.85546875" bestFit="1" customWidth="1"/>
    <col min="196" max="196" width="40" bestFit="1" customWidth="1"/>
    <col min="197" max="197" width="39.7109375" bestFit="1" customWidth="1"/>
    <col min="198" max="199" width="40" bestFit="1" customWidth="1"/>
    <col min="200" max="200" width="39.5703125" bestFit="1" customWidth="1"/>
    <col min="201" max="201" width="39.85546875" bestFit="1" customWidth="1"/>
    <col min="202" max="202" width="40" bestFit="1" customWidth="1"/>
    <col min="203" max="204" width="39.42578125" bestFit="1" customWidth="1"/>
    <col min="205" max="205" width="37.42578125" bestFit="1" customWidth="1"/>
    <col min="206" max="206" width="39.85546875" bestFit="1" customWidth="1"/>
    <col min="207" max="207" width="40" bestFit="1" customWidth="1"/>
    <col min="208" max="208" width="42.140625" bestFit="1" customWidth="1"/>
    <col min="209" max="209" width="42.7109375" bestFit="1" customWidth="1"/>
    <col min="210" max="210" width="39.7109375" bestFit="1" customWidth="1"/>
    <col min="211" max="211" width="40" bestFit="1" customWidth="1"/>
    <col min="212" max="212" width="37.42578125" bestFit="1" customWidth="1"/>
    <col min="213" max="213" width="39.85546875" bestFit="1" customWidth="1"/>
    <col min="214" max="214" width="40" bestFit="1" customWidth="1"/>
    <col min="215" max="215" width="39.7109375" bestFit="1" customWidth="1"/>
    <col min="216" max="217" width="40" bestFit="1" customWidth="1"/>
    <col min="218" max="218" width="39.5703125" bestFit="1" customWidth="1"/>
    <col min="219" max="219" width="39.85546875" bestFit="1" customWidth="1"/>
    <col min="220" max="220" width="37.42578125" bestFit="1" customWidth="1"/>
    <col min="221" max="221" width="39.85546875" bestFit="1" customWidth="1"/>
    <col min="222" max="222" width="40" bestFit="1" customWidth="1"/>
    <col min="223" max="223" width="39.7109375" bestFit="1" customWidth="1"/>
    <col min="224" max="224" width="34.85546875" bestFit="1" customWidth="1"/>
    <col min="225" max="225" width="37.42578125" bestFit="1" customWidth="1"/>
    <col min="226" max="226" width="37.5703125" bestFit="1" customWidth="1"/>
    <col min="227" max="227" width="37.28515625" bestFit="1" customWidth="1"/>
    <col min="228" max="229" width="37.5703125" bestFit="1" customWidth="1"/>
    <col min="230" max="230" width="37.140625" bestFit="1" customWidth="1"/>
    <col min="231" max="231" width="37.42578125" bestFit="1" customWidth="1"/>
    <col min="232" max="232" width="37.5703125" bestFit="1" customWidth="1"/>
    <col min="233" max="233" width="37" bestFit="1" customWidth="1"/>
    <col min="234" max="234" width="39" bestFit="1" customWidth="1"/>
    <col min="235" max="235" width="39.5703125" bestFit="1" customWidth="1"/>
    <col min="236" max="236" width="37" bestFit="1" customWidth="1"/>
    <col min="237" max="237" width="39" bestFit="1" customWidth="1"/>
    <col min="238" max="238" width="39.5703125" bestFit="1" customWidth="1"/>
    <col min="239" max="240" width="37.42578125" bestFit="1" customWidth="1"/>
    <col min="241" max="241" width="39.85546875" bestFit="1" customWidth="1"/>
    <col min="242" max="242" width="40" bestFit="1" customWidth="1"/>
    <col min="243" max="243" width="39.7109375" bestFit="1" customWidth="1"/>
    <col min="244" max="246" width="26.28515625" bestFit="1" customWidth="1"/>
    <col min="247" max="247" width="29.7109375" bestFit="1" customWidth="1"/>
    <col min="248" max="248" width="43.42578125" bestFit="1" customWidth="1"/>
    <col min="249" max="249" width="51.140625" bestFit="1" customWidth="1"/>
    <col min="250" max="250" width="53" bestFit="1" customWidth="1"/>
    <col min="251" max="251" width="47.140625" bestFit="1" customWidth="1"/>
    <col min="252" max="252" width="68.85546875" bestFit="1" customWidth="1"/>
    <col min="253" max="253" width="76.5703125" bestFit="1" customWidth="1"/>
    <col min="254" max="254" width="78.42578125" bestFit="1" customWidth="1"/>
    <col min="255" max="255" width="72.5703125" bestFit="1" customWidth="1"/>
    <col min="256" max="256" width="49" bestFit="1" customWidth="1"/>
    <col min="257" max="257" width="56.5703125" bestFit="1" customWidth="1"/>
    <col min="258" max="258" width="58.42578125" bestFit="1" customWidth="1"/>
    <col min="259" max="259" width="52.7109375" bestFit="1" customWidth="1"/>
    <col min="260" max="260" width="59.28515625" bestFit="1" customWidth="1"/>
    <col min="261" max="261" width="67" bestFit="1" customWidth="1"/>
    <col min="262" max="262" width="68.7109375" bestFit="1" customWidth="1"/>
    <col min="263" max="263" width="63" bestFit="1" customWidth="1"/>
    <col min="264" max="264" width="55.28515625" bestFit="1" customWidth="1"/>
    <col min="265" max="265" width="63" bestFit="1" customWidth="1"/>
    <col min="266" max="266" width="64.7109375" bestFit="1" customWidth="1"/>
    <col min="267" max="267" width="59" bestFit="1" customWidth="1"/>
    <col min="268" max="268" width="38.42578125" bestFit="1" customWidth="1"/>
    <col min="269" max="269" width="46.140625" bestFit="1" customWidth="1"/>
    <col min="270" max="270" width="47.85546875" bestFit="1" customWidth="1"/>
    <col min="271" max="271" width="42.140625" bestFit="1" customWidth="1"/>
    <col min="272" max="272" width="53.42578125" bestFit="1" customWidth="1"/>
    <col min="273" max="273" width="61.140625" bestFit="1" customWidth="1"/>
    <col min="274" max="274" width="57.140625" bestFit="1" customWidth="1"/>
    <col min="275" max="275" width="63.5703125" bestFit="1" customWidth="1"/>
    <col min="276" max="276" width="71.28515625" bestFit="1" customWidth="1"/>
    <col min="277" max="277" width="67.28515625" bestFit="1" customWidth="1"/>
  </cols>
  <sheetData>
    <row r="1" spans="1:277" ht="15.75">
      <c r="A1" s="258" t="s">
        <v>69</v>
      </c>
      <c r="B1" s="10"/>
      <c r="C1" s="10"/>
      <c r="D1" s="10"/>
      <c r="E1" s="10"/>
      <c r="F1" s="10"/>
      <c r="G1" s="10"/>
      <c r="N1" s="9"/>
    </row>
    <row r="2" spans="1:277">
      <c r="A2" s="10" t="str">
        <f>Cover!C8</f>
        <v>Inspections from 1 September 2017 to 31 December 2017, published by 31 December 2017</v>
      </c>
      <c r="B2" s="10"/>
      <c r="C2" s="10"/>
      <c r="D2" s="10"/>
      <c r="E2" s="10"/>
      <c r="F2" s="10"/>
      <c r="G2" s="10"/>
    </row>
    <row r="4" spans="1:277" s="105" customFormat="1">
      <c r="A4" s="105" t="s">
        <v>39</v>
      </c>
      <c r="B4" s="105" t="s">
        <v>134</v>
      </c>
      <c r="C4" s="105" t="s">
        <v>40</v>
      </c>
      <c r="D4" s="105" t="s">
        <v>41</v>
      </c>
      <c r="E4" s="105" t="s">
        <v>42</v>
      </c>
      <c r="F4" s="105" t="s">
        <v>27</v>
      </c>
      <c r="G4" s="105" t="s">
        <v>135</v>
      </c>
      <c r="H4" s="105" t="s">
        <v>136</v>
      </c>
      <c r="I4" s="105" t="s">
        <v>137</v>
      </c>
      <c r="J4" s="105" t="s">
        <v>138</v>
      </c>
      <c r="K4" s="105" t="s">
        <v>46</v>
      </c>
      <c r="L4" s="105" t="s">
        <v>65</v>
      </c>
      <c r="M4" s="105" t="s">
        <v>139</v>
      </c>
      <c r="N4" s="105" t="s">
        <v>66</v>
      </c>
      <c r="O4" s="105" t="s">
        <v>140</v>
      </c>
      <c r="P4" s="105" t="s">
        <v>68</v>
      </c>
      <c r="Q4" s="105" t="s">
        <v>47</v>
      </c>
      <c r="R4" s="105" t="s">
        <v>48</v>
      </c>
      <c r="S4" s="105" t="s">
        <v>49</v>
      </c>
      <c r="T4" s="105" t="s">
        <v>50</v>
      </c>
      <c r="U4" s="105" t="s">
        <v>141</v>
      </c>
      <c r="V4" s="105" t="s">
        <v>51</v>
      </c>
      <c r="W4" s="105" t="s">
        <v>142</v>
      </c>
      <c r="X4" s="105" t="s">
        <v>143</v>
      </c>
      <c r="Y4" s="105" t="s">
        <v>28</v>
      </c>
      <c r="Z4" s="105" t="s">
        <v>52</v>
      </c>
      <c r="AA4" s="105" t="s">
        <v>53</v>
      </c>
      <c r="AB4" s="105" t="s">
        <v>54</v>
      </c>
      <c r="AC4" s="105" t="s">
        <v>55</v>
      </c>
      <c r="AD4" s="105" t="s">
        <v>56</v>
      </c>
      <c r="AE4" s="105" t="s">
        <v>57</v>
      </c>
      <c r="AF4" s="105" t="s">
        <v>58</v>
      </c>
      <c r="AG4" s="105" t="s">
        <v>144</v>
      </c>
      <c r="AH4" s="105" t="s">
        <v>2745</v>
      </c>
      <c r="AI4" s="105" t="s">
        <v>2746</v>
      </c>
      <c r="AJ4" s="105" t="s">
        <v>2747</v>
      </c>
      <c r="AK4" s="105" t="s">
        <v>2748</v>
      </c>
      <c r="AL4" s="105" t="s">
        <v>2749</v>
      </c>
      <c r="AM4" s="105" t="s">
        <v>2750</v>
      </c>
      <c r="AN4" s="105" t="s">
        <v>2751</v>
      </c>
      <c r="AO4" s="105" t="s">
        <v>2752</v>
      </c>
      <c r="AP4" s="105" t="s">
        <v>2753</v>
      </c>
      <c r="AQ4" s="105" t="s">
        <v>2778</v>
      </c>
      <c r="AR4" s="105" t="s">
        <v>2779</v>
      </c>
      <c r="AS4" s="105" t="s">
        <v>2780</v>
      </c>
      <c r="AT4" s="105" t="s">
        <v>2781</v>
      </c>
      <c r="AU4" s="105" t="s">
        <v>2782</v>
      </c>
      <c r="AV4" s="105" t="s">
        <v>2783</v>
      </c>
      <c r="AW4" s="105" t="s">
        <v>2784</v>
      </c>
      <c r="AX4" s="105" t="s">
        <v>2785</v>
      </c>
      <c r="AY4" s="105" t="s">
        <v>2786</v>
      </c>
      <c r="AZ4" s="105" t="s">
        <v>2787</v>
      </c>
      <c r="BA4" s="105" t="s">
        <v>2788</v>
      </c>
      <c r="BB4" s="105" t="s">
        <v>2789</v>
      </c>
      <c r="BC4" s="105" t="s">
        <v>2790</v>
      </c>
      <c r="BD4" s="105" t="s">
        <v>2791</v>
      </c>
      <c r="BE4" s="105" t="s">
        <v>2792</v>
      </c>
      <c r="BF4" s="105" t="s">
        <v>2793</v>
      </c>
      <c r="BG4" s="105" t="s">
        <v>2794</v>
      </c>
      <c r="BH4" s="105" t="s">
        <v>2795</v>
      </c>
      <c r="BI4" s="105" t="s">
        <v>2796</v>
      </c>
      <c r="BJ4" s="105" t="s">
        <v>2797</v>
      </c>
      <c r="BK4" s="105" t="s">
        <v>2798</v>
      </c>
      <c r="BL4" s="105" t="s">
        <v>2799</v>
      </c>
      <c r="BM4" s="105" t="s">
        <v>2800</v>
      </c>
      <c r="BN4" s="105" t="s">
        <v>2801</v>
      </c>
      <c r="BO4" s="105" t="s">
        <v>2802</v>
      </c>
      <c r="BP4" s="105" t="s">
        <v>2803</v>
      </c>
      <c r="BQ4" s="105" t="s">
        <v>2804</v>
      </c>
      <c r="BR4" s="105" t="s">
        <v>2805</v>
      </c>
      <c r="BS4" s="105" t="s">
        <v>2806</v>
      </c>
      <c r="BT4" s="105" t="s">
        <v>2807</v>
      </c>
      <c r="BU4" s="105" t="s">
        <v>2808</v>
      </c>
      <c r="BV4" s="105" t="s">
        <v>2809</v>
      </c>
      <c r="BW4" s="105" t="s">
        <v>2810</v>
      </c>
      <c r="BX4" s="105" t="s">
        <v>2811</v>
      </c>
      <c r="BY4" s="105" t="s">
        <v>2812</v>
      </c>
      <c r="BZ4" s="105" t="s">
        <v>2813</v>
      </c>
      <c r="CA4" s="105" t="s">
        <v>2814</v>
      </c>
      <c r="CB4" s="105" t="s">
        <v>2815</v>
      </c>
      <c r="CC4" s="105" t="s">
        <v>2816</v>
      </c>
      <c r="CD4" s="105" t="s">
        <v>2817</v>
      </c>
      <c r="CE4" s="105" t="s">
        <v>2818</v>
      </c>
      <c r="CF4" s="105" t="s">
        <v>2819</v>
      </c>
      <c r="CG4" s="105" t="s">
        <v>2820</v>
      </c>
      <c r="CH4" s="105" t="s">
        <v>2821</v>
      </c>
      <c r="CI4" s="105" t="s">
        <v>2822</v>
      </c>
      <c r="CJ4" s="105" t="s">
        <v>2823</v>
      </c>
      <c r="CK4" s="105" t="s">
        <v>2824</v>
      </c>
      <c r="CL4" s="105" t="s">
        <v>2825</v>
      </c>
      <c r="CM4" s="105" t="s">
        <v>2826</v>
      </c>
      <c r="CN4" s="105" t="s">
        <v>2827</v>
      </c>
      <c r="CO4" s="105" t="s">
        <v>2828</v>
      </c>
      <c r="CP4" s="105" t="s">
        <v>2829</v>
      </c>
      <c r="CQ4" s="105" t="s">
        <v>2830</v>
      </c>
      <c r="CR4" s="105" t="s">
        <v>2831</v>
      </c>
      <c r="CS4" s="105" t="s">
        <v>2832</v>
      </c>
      <c r="CT4" s="105" t="s">
        <v>2833</v>
      </c>
      <c r="CU4" s="105" t="s">
        <v>2834</v>
      </c>
      <c r="CV4" s="105" t="s">
        <v>2835</v>
      </c>
      <c r="CW4" s="105" t="s">
        <v>2836</v>
      </c>
      <c r="CX4" s="105" t="s">
        <v>2837</v>
      </c>
      <c r="CY4" s="105" t="s">
        <v>2838</v>
      </c>
      <c r="CZ4" s="105" t="s">
        <v>2839</v>
      </c>
      <c r="DA4" s="105" t="s">
        <v>2840</v>
      </c>
      <c r="DB4" s="105" t="s">
        <v>2841</v>
      </c>
      <c r="DC4" s="105" t="s">
        <v>2842</v>
      </c>
      <c r="DD4" s="105" t="s">
        <v>2843</v>
      </c>
      <c r="DE4" s="105" t="s">
        <v>2844</v>
      </c>
      <c r="DF4" s="105" t="s">
        <v>2845</v>
      </c>
      <c r="DG4" s="105" t="s">
        <v>2846</v>
      </c>
      <c r="DH4" s="105" t="s">
        <v>2847</v>
      </c>
      <c r="DI4" s="105" t="s">
        <v>2848</v>
      </c>
      <c r="DJ4" s="105" t="s">
        <v>2849</v>
      </c>
      <c r="DK4" s="105" t="s">
        <v>2850</v>
      </c>
      <c r="DL4" s="105" t="s">
        <v>2851</v>
      </c>
      <c r="DM4" s="105" t="s">
        <v>2852</v>
      </c>
      <c r="DN4" s="105" t="s">
        <v>2853</v>
      </c>
      <c r="DO4" s="105" t="s">
        <v>2854</v>
      </c>
      <c r="DP4" s="105" t="s">
        <v>2855</v>
      </c>
      <c r="DQ4" s="105" t="s">
        <v>2856</v>
      </c>
      <c r="DR4" s="105" t="s">
        <v>2857</v>
      </c>
      <c r="DS4" s="105" t="s">
        <v>2858</v>
      </c>
      <c r="DT4" s="105" t="s">
        <v>2859</v>
      </c>
      <c r="DU4" s="105" t="s">
        <v>2860</v>
      </c>
      <c r="DV4" s="105" t="s">
        <v>2861</v>
      </c>
      <c r="DW4" s="105" t="s">
        <v>2862</v>
      </c>
      <c r="DX4" s="105" t="s">
        <v>2863</v>
      </c>
      <c r="DY4" s="105" t="s">
        <v>2864</v>
      </c>
      <c r="DZ4" s="105" t="s">
        <v>2865</v>
      </c>
      <c r="EA4" s="105" t="s">
        <v>2866</v>
      </c>
      <c r="EB4" s="105" t="s">
        <v>2867</v>
      </c>
      <c r="EC4" s="105" t="s">
        <v>2868</v>
      </c>
      <c r="ED4" s="105" t="s">
        <v>2869</v>
      </c>
      <c r="EE4" s="105" t="s">
        <v>2870</v>
      </c>
      <c r="EF4" s="105" t="s">
        <v>2871</v>
      </c>
      <c r="EG4" s="105" t="s">
        <v>2872</v>
      </c>
      <c r="EH4" s="105" t="s">
        <v>2873</v>
      </c>
      <c r="EI4" s="105" t="s">
        <v>2874</v>
      </c>
      <c r="EJ4" s="105" t="s">
        <v>2875</v>
      </c>
      <c r="EK4" s="105" t="s">
        <v>2876</v>
      </c>
      <c r="EL4" s="105" t="s">
        <v>2877</v>
      </c>
      <c r="EM4" s="105" t="s">
        <v>2878</v>
      </c>
      <c r="EN4" s="105" t="s">
        <v>2879</v>
      </c>
      <c r="EO4" s="105" t="s">
        <v>2880</v>
      </c>
      <c r="EP4" s="105" t="s">
        <v>2881</v>
      </c>
      <c r="EQ4" s="105" t="s">
        <v>2882</v>
      </c>
      <c r="ER4" s="105" t="s">
        <v>2883</v>
      </c>
      <c r="ES4" s="105" t="s">
        <v>2884</v>
      </c>
      <c r="ET4" s="105" t="s">
        <v>2885</v>
      </c>
      <c r="EU4" s="105" t="s">
        <v>2886</v>
      </c>
      <c r="EV4" s="105" t="s">
        <v>2887</v>
      </c>
      <c r="EW4" s="105" t="s">
        <v>2888</v>
      </c>
      <c r="EX4" s="105" t="s">
        <v>2889</v>
      </c>
      <c r="EY4" s="105" t="s">
        <v>2890</v>
      </c>
      <c r="EZ4" s="105" t="s">
        <v>2891</v>
      </c>
      <c r="FA4" s="105" t="s">
        <v>2892</v>
      </c>
      <c r="FB4" s="105" t="s">
        <v>2893</v>
      </c>
      <c r="FC4" s="105" t="s">
        <v>2894</v>
      </c>
      <c r="FD4" s="105" t="s">
        <v>2895</v>
      </c>
      <c r="FE4" s="105" t="s">
        <v>2896</v>
      </c>
      <c r="FF4" s="105" t="s">
        <v>2897</v>
      </c>
      <c r="FG4" s="105" t="s">
        <v>2898</v>
      </c>
      <c r="FH4" s="105" t="s">
        <v>2899</v>
      </c>
      <c r="FI4" s="105" t="s">
        <v>2900</v>
      </c>
      <c r="FJ4" s="105" t="s">
        <v>2901</v>
      </c>
      <c r="FK4" s="105" t="s">
        <v>2902</v>
      </c>
      <c r="FL4" s="105" t="s">
        <v>2903</v>
      </c>
      <c r="FM4" s="105" t="s">
        <v>2904</v>
      </c>
      <c r="FN4" s="105" t="s">
        <v>2905</v>
      </c>
      <c r="FO4" s="105" t="s">
        <v>2906</v>
      </c>
      <c r="FP4" s="105" t="s">
        <v>2907</v>
      </c>
      <c r="FQ4" s="105" t="s">
        <v>2908</v>
      </c>
      <c r="FR4" s="105" t="s">
        <v>2909</v>
      </c>
      <c r="FS4" s="105" t="s">
        <v>2910</v>
      </c>
      <c r="FT4" s="105" t="s">
        <v>2911</v>
      </c>
      <c r="FU4" s="105" t="s">
        <v>2912</v>
      </c>
      <c r="FV4" s="105" t="s">
        <v>2913</v>
      </c>
      <c r="FW4" s="105" t="s">
        <v>2914</v>
      </c>
      <c r="FX4" s="105" t="s">
        <v>2915</v>
      </c>
      <c r="FY4" s="105" t="s">
        <v>2916</v>
      </c>
      <c r="FZ4" s="105" t="s">
        <v>2917</v>
      </c>
      <c r="GA4" s="105" t="s">
        <v>2918</v>
      </c>
      <c r="GB4" s="105" t="s">
        <v>2919</v>
      </c>
      <c r="GC4" s="105" t="s">
        <v>2920</v>
      </c>
      <c r="GD4" s="105" t="s">
        <v>2921</v>
      </c>
      <c r="GE4" s="105" t="s">
        <v>2922</v>
      </c>
      <c r="GF4" s="105" t="s">
        <v>2923</v>
      </c>
      <c r="GG4" s="105" t="s">
        <v>2924</v>
      </c>
      <c r="GH4" s="105" t="s">
        <v>2925</v>
      </c>
      <c r="GI4" s="105" t="s">
        <v>2926</v>
      </c>
      <c r="GJ4" s="105" t="s">
        <v>2927</v>
      </c>
      <c r="GK4" s="105" t="s">
        <v>2928</v>
      </c>
      <c r="GL4" s="105" t="s">
        <v>2929</v>
      </c>
      <c r="GM4" s="105" t="s">
        <v>2930</v>
      </c>
      <c r="GN4" s="105" t="s">
        <v>2931</v>
      </c>
      <c r="GO4" s="105" t="s">
        <v>2932</v>
      </c>
      <c r="GP4" s="105" t="s">
        <v>2933</v>
      </c>
      <c r="GQ4" s="105" t="s">
        <v>2934</v>
      </c>
      <c r="GR4" s="105" t="s">
        <v>2935</v>
      </c>
      <c r="GS4" s="105" t="s">
        <v>2936</v>
      </c>
      <c r="GT4" s="105" t="s">
        <v>2937</v>
      </c>
      <c r="GU4" s="105" t="s">
        <v>2938</v>
      </c>
      <c r="GV4" s="105" t="s">
        <v>2939</v>
      </c>
      <c r="GW4" s="105" t="s">
        <v>2940</v>
      </c>
      <c r="GX4" s="105" t="s">
        <v>2941</v>
      </c>
      <c r="GY4" s="105" t="s">
        <v>2942</v>
      </c>
      <c r="GZ4" s="105" t="s">
        <v>2943</v>
      </c>
      <c r="HA4" s="105" t="s">
        <v>2944</v>
      </c>
      <c r="HB4" s="105" t="s">
        <v>2945</v>
      </c>
      <c r="HC4" s="105" t="s">
        <v>2946</v>
      </c>
      <c r="HD4" s="105" t="s">
        <v>2947</v>
      </c>
      <c r="HE4" s="105" t="s">
        <v>2948</v>
      </c>
      <c r="HF4" s="105" t="s">
        <v>2949</v>
      </c>
      <c r="HG4" s="105" t="s">
        <v>2950</v>
      </c>
      <c r="HH4" s="105" t="s">
        <v>2951</v>
      </c>
      <c r="HI4" s="105" t="s">
        <v>2952</v>
      </c>
      <c r="HJ4" s="105" t="s">
        <v>2953</v>
      </c>
      <c r="HK4" s="105" t="s">
        <v>2954</v>
      </c>
      <c r="HL4" s="105" t="s">
        <v>2955</v>
      </c>
      <c r="HM4" s="105" t="s">
        <v>2956</v>
      </c>
      <c r="HN4" s="105" t="s">
        <v>2957</v>
      </c>
      <c r="HO4" s="105" t="s">
        <v>2958</v>
      </c>
      <c r="HP4" s="105" t="s">
        <v>2959</v>
      </c>
      <c r="HQ4" s="105" t="s">
        <v>2960</v>
      </c>
      <c r="HR4" s="105" t="s">
        <v>2961</v>
      </c>
      <c r="HS4" s="105" t="s">
        <v>2962</v>
      </c>
      <c r="HT4" s="105" t="s">
        <v>2963</v>
      </c>
      <c r="HU4" s="105" t="s">
        <v>2964</v>
      </c>
      <c r="HV4" s="105" t="s">
        <v>2965</v>
      </c>
      <c r="HW4" s="105" t="s">
        <v>2966</v>
      </c>
      <c r="HX4" s="105" t="s">
        <v>2967</v>
      </c>
      <c r="HY4" s="105" t="s">
        <v>2968</v>
      </c>
      <c r="HZ4" s="105" t="s">
        <v>2969</v>
      </c>
      <c r="IA4" s="105" t="s">
        <v>2970</v>
      </c>
      <c r="IB4" s="105" t="s">
        <v>2971</v>
      </c>
      <c r="IC4" s="105" t="s">
        <v>2972</v>
      </c>
      <c r="ID4" s="105" t="s">
        <v>2973</v>
      </c>
      <c r="IE4" s="105" t="s">
        <v>2974</v>
      </c>
      <c r="IF4" s="105" t="s">
        <v>2975</v>
      </c>
      <c r="IG4" s="105" t="s">
        <v>2976</v>
      </c>
      <c r="IH4" s="105" t="s">
        <v>2977</v>
      </c>
      <c r="II4" s="105" t="s">
        <v>2978</v>
      </c>
      <c r="IJ4" s="105" t="s">
        <v>145</v>
      </c>
      <c r="IK4" s="105" t="s">
        <v>146</v>
      </c>
      <c r="IL4" s="105" t="s">
        <v>147</v>
      </c>
      <c r="IM4" s="105" t="s">
        <v>148</v>
      </c>
      <c r="IN4" s="105" t="s">
        <v>149</v>
      </c>
      <c r="IO4" s="105" t="s">
        <v>150</v>
      </c>
      <c r="IP4" s="105" t="s">
        <v>151</v>
      </c>
      <c r="IQ4" s="105" t="s">
        <v>152</v>
      </c>
      <c r="IR4" s="105" t="s">
        <v>153</v>
      </c>
      <c r="IS4" s="105" t="s">
        <v>154</v>
      </c>
      <c r="IT4" s="105" t="s">
        <v>155</v>
      </c>
      <c r="IU4" s="105" t="s">
        <v>156</v>
      </c>
      <c r="IV4" s="105" t="s">
        <v>157</v>
      </c>
      <c r="IW4" s="105" t="s">
        <v>158</v>
      </c>
      <c r="IX4" s="105" t="s">
        <v>159</v>
      </c>
      <c r="IY4" s="105" t="s">
        <v>160</v>
      </c>
      <c r="IZ4" s="105" t="s">
        <v>161</v>
      </c>
      <c r="JA4" s="105" t="s">
        <v>162</v>
      </c>
      <c r="JB4" s="105" t="s">
        <v>163</v>
      </c>
      <c r="JC4" s="105" t="s">
        <v>164</v>
      </c>
      <c r="JD4" s="105" t="s">
        <v>165</v>
      </c>
      <c r="JE4" s="105" t="s">
        <v>166</v>
      </c>
      <c r="JF4" s="105" t="s">
        <v>167</v>
      </c>
      <c r="JG4" s="105" t="s">
        <v>168</v>
      </c>
      <c r="JH4" s="105" t="s">
        <v>169</v>
      </c>
      <c r="JI4" s="105" t="s">
        <v>170</v>
      </c>
      <c r="JJ4" s="105" t="s">
        <v>171</v>
      </c>
      <c r="JK4" s="105" t="s">
        <v>172</v>
      </c>
      <c r="JL4" s="105" t="s">
        <v>173</v>
      </c>
      <c r="JM4" s="105" t="s">
        <v>174</v>
      </c>
      <c r="JN4" s="105" t="s">
        <v>175</v>
      </c>
      <c r="JO4" s="105" t="s">
        <v>176</v>
      </c>
      <c r="JP4" s="105" t="s">
        <v>177</v>
      </c>
      <c r="JQ4" s="105" t="s">
        <v>178</v>
      </c>
    </row>
    <row r="5" spans="1:277">
      <c r="A5" s="149" t="str">
        <f>HYPERLINK("http://www.ofsted.gov.uk/inspection-reports/find-inspection-report/provider/ELS/100372 ","Ofsted School Webpage")</f>
        <v>Ofsted School Webpage</v>
      </c>
      <c r="B5">
        <v>1132797</v>
      </c>
      <c r="C5">
        <v>100372</v>
      </c>
      <c r="D5">
        <v>2056382</v>
      </c>
      <c r="E5" t="s">
        <v>302</v>
      </c>
      <c r="F5" t="s">
        <v>37</v>
      </c>
      <c r="G5" t="s">
        <v>209</v>
      </c>
      <c r="H5" t="s">
        <v>232</v>
      </c>
      <c r="I5" t="s">
        <v>232</v>
      </c>
      <c r="J5" t="s">
        <v>300</v>
      </c>
      <c r="K5" t="s">
        <v>303</v>
      </c>
      <c r="L5" t="s">
        <v>304</v>
      </c>
      <c r="M5" t="s">
        <v>2730</v>
      </c>
      <c r="N5" t="s">
        <v>223</v>
      </c>
      <c r="O5" t="s">
        <v>2730</v>
      </c>
      <c r="P5" t="s">
        <v>186</v>
      </c>
      <c r="Q5">
        <v>10035773</v>
      </c>
      <c r="R5" s="120">
        <v>42990</v>
      </c>
      <c r="S5" s="120">
        <v>42992</v>
      </c>
      <c r="T5" s="120">
        <v>43054</v>
      </c>
      <c r="U5" t="s">
        <v>2730</v>
      </c>
      <c r="V5" t="s">
        <v>196</v>
      </c>
      <c r="W5" t="s">
        <v>2730</v>
      </c>
      <c r="X5" t="s">
        <v>197</v>
      </c>
      <c r="Y5">
        <v>3</v>
      </c>
      <c r="Z5">
        <v>3</v>
      </c>
      <c r="AA5">
        <v>3</v>
      </c>
      <c r="AB5">
        <v>3</v>
      </c>
      <c r="AC5">
        <v>3</v>
      </c>
      <c r="AD5">
        <v>3</v>
      </c>
      <c r="AE5" t="s">
        <v>2730</v>
      </c>
      <c r="AF5" t="s">
        <v>128</v>
      </c>
      <c r="AG5" t="s">
        <v>2730</v>
      </c>
      <c r="AH5" t="s">
        <v>2732</v>
      </c>
      <c r="AI5" t="s">
        <v>59</v>
      </c>
      <c r="AJ5" t="s">
        <v>59</v>
      </c>
      <c r="AK5" t="s">
        <v>59</v>
      </c>
      <c r="AL5" t="s">
        <v>59</v>
      </c>
      <c r="AM5" t="s">
        <v>59</v>
      </c>
      <c r="AN5" t="s">
        <v>59</v>
      </c>
      <c r="AO5" t="s">
        <v>59</v>
      </c>
      <c r="AP5" t="s">
        <v>59</v>
      </c>
      <c r="AQ5" t="s">
        <v>59</v>
      </c>
      <c r="AR5" t="s">
        <v>59</v>
      </c>
      <c r="AS5" t="s">
        <v>59</v>
      </c>
      <c r="AT5" t="s">
        <v>59</v>
      </c>
      <c r="AU5" t="s">
        <v>59</v>
      </c>
      <c r="AV5" t="s">
        <v>59</v>
      </c>
      <c r="AW5" t="s">
        <v>59</v>
      </c>
      <c r="AX5" t="s">
        <v>59</v>
      </c>
      <c r="AY5" t="s">
        <v>191</v>
      </c>
      <c r="AZ5" t="s">
        <v>59</v>
      </c>
      <c r="BA5" t="s">
        <v>59</v>
      </c>
      <c r="BB5" t="s">
        <v>203</v>
      </c>
      <c r="BC5" t="s">
        <v>191</v>
      </c>
      <c r="BD5" t="s">
        <v>191</v>
      </c>
      <c r="BE5" t="s">
        <v>191</v>
      </c>
      <c r="BF5" t="s">
        <v>191</v>
      </c>
      <c r="BG5" t="s">
        <v>59</v>
      </c>
      <c r="BH5" t="s">
        <v>191</v>
      </c>
      <c r="BI5" t="s">
        <v>59</v>
      </c>
      <c r="BJ5" t="s">
        <v>59</v>
      </c>
      <c r="BK5" t="s">
        <v>59</v>
      </c>
      <c r="BL5" t="s">
        <v>59</v>
      </c>
      <c r="BM5" t="s">
        <v>59</v>
      </c>
      <c r="BN5" t="s">
        <v>59</v>
      </c>
      <c r="BO5" t="s">
        <v>59</v>
      </c>
      <c r="BP5" t="s">
        <v>59</v>
      </c>
      <c r="BQ5" t="s">
        <v>203</v>
      </c>
      <c r="BR5" t="s">
        <v>59</v>
      </c>
      <c r="BS5" t="s">
        <v>59</v>
      </c>
      <c r="BT5" t="s">
        <v>59</v>
      </c>
      <c r="BU5" t="s">
        <v>59</v>
      </c>
      <c r="BV5" t="s">
        <v>59</v>
      </c>
      <c r="BW5" t="s">
        <v>59</v>
      </c>
      <c r="BX5" t="s">
        <v>59</v>
      </c>
      <c r="BY5" t="s">
        <v>59</v>
      </c>
      <c r="BZ5" t="s">
        <v>59</v>
      </c>
      <c r="CA5" t="s">
        <v>59</v>
      </c>
      <c r="CB5" t="s">
        <v>59</v>
      </c>
      <c r="CC5" t="s">
        <v>59</v>
      </c>
      <c r="CD5" t="s">
        <v>59</v>
      </c>
      <c r="CE5" t="s">
        <v>59</v>
      </c>
      <c r="CF5" t="s">
        <v>59</v>
      </c>
      <c r="CG5" t="s">
        <v>59</v>
      </c>
      <c r="CH5" t="s">
        <v>59</v>
      </c>
      <c r="CI5" t="s">
        <v>59</v>
      </c>
      <c r="CJ5" t="s">
        <v>59</v>
      </c>
      <c r="CK5" t="s">
        <v>59</v>
      </c>
      <c r="CL5" t="s">
        <v>59</v>
      </c>
      <c r="CM5" t="s">
        <v>59</v>
      </c>
      <c r="CN5" t="s">
        <v>59</v>
      </c>
      <c r="CO5" t="s">
        <v>191</v>
      </c>
      <c r="CP5" t="s">
        <v>191</v>
      </c>
      <c r="CQ5" t="s">
        <v>191</v>
      </c>
      <c r="CR5" t="s">
        <v>203</v>
      </c>
      <c r="CS5" t="s">
        <v>59</v>
      </c>
      <c r="CT5" t="s">
        <v>59</v>
      </c>
      <c r="CU5" t="s">
        <v>59</v>
      </c>
      <c r="CV5" t="s">
        <v>59</v>
      </c>
      <c r="CW5" t="s">
        <v>59</v>
      </c>
      <c r="CX5" t="s">
        <v>59</v>
      </c>
      <c r="CY5" t="s">
        <v>59</v>
      </c>
      <c r="CZ5" t="s">
        <v>59</v>
      </c>
      <c r="DA5" t="s">
        <v>59</v>
      </c>
      <c r="DB5" t="s">
        <v>59</v>
      </c>
      <c r="DC5" t="s">
        <v>59</v>
      </c>
      <c r="DD5" t="s">
        <v>59</v>
      </c>
      <c r="DE5" t="s">
        <v>59</v>
      </c>
      <c r="DF5" t="s">
        <v>59</v>
      </c>
      <c r="DG5" t="s">
        <v>59</v>
      </c>
      <c r="DH5" t="s">
        <v>59</v>
      </c>
      <c r="DI5" t="s">
        <v>59</v>
      </c>
      <c r="DJ5" t="s">
        <v>59</v>
      </c>
      <c r="DK5" t="s">
        <v>59</v>
      </c>
      <c r="DL5" t="s">
        <v>59</v>
      </c>
      <c r="DM5" t="s">
        <v>59</v>
      </c>
      <c r="DN5" t="s">
        <v>59</v>
      </c>
      <c r="DO5" t="s">
        <v>191</v>
      </c>
      <c r="DP5" t="s">
        <v>59</v>
      </c>
      <c r="DQ5" t="s">
        <v>191</v>
      </c>
      <c r="DR5" t="s">
        <v>191</v>
      </c>
      <c r="DS5" t="s">
        <v>191</v>
      </c>
      <c r="DT5" t="s">
        <v>191</v>
      </c>
      <c r="DU5" t="s">
        <v>191</v>
      </c>
      <c r="DV5" t="s">
        <v>191</v>
      </c>
      <c r="DW5" t="s">
        <v>191</v>
      </c>
      <c r="DX5" t="s">
        <v>191</v>
      </c>
      <c r="DY5" t="s">
        <v>191</v>
      </c>
      <c r="DZ5" t="s">
        <v>191</v>
      </c>
      <c r="EA5" t="s">
        <v>191</v>
      </c>
      <c r="EB5" t="s">
        <v>191</v>
      </c>
      <c r="EC5" t="s">
        <v>191</v>
      </c>
      <c r="ED5" t="s">
        <v>191</v>
      </c>
      <c r="EE5" t="s">
        <v>59</v>
      </c>
      <c r="EF5" t="s">
        <v>59</v>
      </c>
      <c r="EG5" t="s">
        <v>59</v>
      </c>
      <c r="EH5" t="s">
        <v>59</v>
      </c>
      <c r="EI5" t="s">
        <v>59</v>
      </c>
      <c r="EJ5" t="s">
        <v>59</v>
      </c>
      <c r="EK5" t="s">
        <v>59</v>
      </c>
      <c r="EL5" t="s">
        <v>59</v>
      </c>
      <c r="EM5" t="s">
        <v>59</v>
      </c>
      <c r="EN5" t="s">
        <v>203</v>
      </c>
      <c r="EO5" t="s">
        <v>59</v>
      </c>
      <c r="EP5" t="s">
        <v>59</v>
      </c>
      <c r="EQ5" t="s">
        <v>59</v>
      </c>
      <c r="ER5" t="s">
        <v>59</v>
      </c>
      <c r="ES5" t="s">
        <v>59</v>
      </c>
      <c r="ET5" t="s">
        <v>59</v>
      </c>
      <c r="EU5" t="s">
        <v>59</v>
      </c>
      <c r="EV5" t="s">
        <v>59</v>
      </c>
      <c r="EW5" t="s">
        <v>59</v>
      </c>
      <c r="EX5" t="s">
        <v>59</v>
      </c>
      <c r="EY5" t="s">
        <v>59</v>
      </c>
      <c r="EZ5" t="s">
        <v>59</v>
      </c>
      <c r="FA5" t="s">
        <v>59</v>
      </c>
      <c r="FB5" t="s">
        <v>191</v>
      </c>
      <c r="FC5" t="s">
        <v>191</v>
      </c>
      <c r="FD5" t="s">
        <v>191</v>
      </c>
      <c r="FE5" t="s">
        <v>191</v>
      </c>
      <c r="FF5" t="s">
        <v>191</v>
      </c>
      <c r="FG5" t="s">
        <v>191</v>
      </c>
      <c r="FH5" t="s">
        <v>191</v>
      </c>
      <c r="FI5" t="s">
        <v>59</v>
      </c>
      <c r="FJ5" t="s">
        <v>59</v>
      </c>
      <c r="FK5" t="s">
        <v>59</v>
      </c>
      <c r="FL5" t="s">
        <v>59</v>
      </c>
      <c r="FM5" t="s">
        <v>59</v>
      </c>
      <c r="FN5" t="s">
        <v>59</v>
      </c>
      <c r="FO5" t="s">
        <v>191</v>
      </c>
      <c r="FP5" t="s">
        <v>59</v>
      </c>
      <c r="FQ5" t="s">
        <v>59</v>
      </c>
      <c r="FR5" t="s">
        <v>59</v>
      </c>
      <c r="FS5" t="s">
        <v>191</v>
      </c>
      <c r="FT5" t="s">
        <v>59</v>
      </c>
      <c r="FU5" t="s">
        <v>59</v>
      </c>
      <c r="FV5" t="s">
        <v>59</v>
      </c>
      <c r="FW5" t="s">
        <v>59</v>
      </c>
      <c r="FX5" t="s">
        <v>59</v>
      </c>
      <c r="FY5" t="s">
        <v>59</v>
      </c>
      <c r="FZ5" t="s">
        <v>59</v>
      </c>
      <c r="GA5" t="s">
        <v>59</v>
      </c>
      <c r="GB5" t="s">
        <v>59</v>
      </c>
      <c r="GC5" t="s">
        <v>59</v>
      </c>
      <c r="GD5" t="s">
        <v>59</v>
      </c>
      <c r="GE5" t="s">
        <v>59</v>
      </c>
      <c r="GF5" t="s">
        <v>59</v>
      </c>
      <c r="GG5" t="s">
        <v>203</v>
      </c>
      <c r="GH5" t="s">
        <v>59</v>
      </c>
      <c r="GI5" t="s">
        <v>59</v>
      </c>
      <c r="GJ5" t="s">
        <v>59</v>
      </c>
      <c r="GK5" t="s">
        <v>191</v>
      </c>
      <c r="GL5" t="s">
        <v>59</v>
      </c>
      <c r="GM5" t="s">
        <v>59</v>
      </c>
      <c r="GN5" t="s">
        <v>59</v>
      </c>
      <c r="GO5" t="s">
        <v>59</v>
      </c>
      <c r="GP5" t="s">
        <v>59</v>
      </c>
      <c r="GQ5" t="s">
        <v>191</v>
      </c>
      <c r="GR5" t="s">
        <v>59</v>
      </c>
      <c r="GS5" t="s">
        <v>59</v>
      </c>
      <c r="GT5" t="s">
        <v>191</v>
      </c>
      <c r="GU5" t="s">
        <v>191</v>
      </c>
      <c r="GV5" t="s">
        <v>59</v>
      </c>
      <c r="GW5" t="s">
        <v>59</v>
      </c>
      <c r="GX5" t="s">
        <v>59</v>
      </c>
      <c r="GY5" t="s">
        <v>59</v>
      </c>
      <c r="GZ5" t="s">
        <v>191</v>
      </c>
      <c r="HA5" t="s">
        <v>203</v>
      </c>
      <c r="HB5" t="s">
        <v>191</v>
      </c>
      <c r="HC5" t="s">
        <v>59</v>
      </c>
      <c r="HD5" t="s">
        <v>59</v>
      </c>
      <c r="HE5" t="s">
        <v>59</v>
      </c>
      <c r="HF5" t="s">
        <v>191</v>
      </c>
      <c r="HG5" t="s">
        <v>203</v>
      </c>
      <c r="HH5" t="s">
        <v>59</v>
      </c>
      <c r="HI5" t="s">
        <v>59</v>
      </c>
      <c r="HJ5" t="s">
        <v>59</v>
      </c>
      <c r="HK5" t="s">
        <v>59</v>
      </c>
      <c r="HL5" t="s">
        <v>59</v>
      </c>
      <c r="HM5" t="s">
        <v>191</v>
      </c>
      <c r="HN5" t="s">
        <v>191</v>
      </c>
      <c r="HO5" t="s">
        <v>191</v>
      </c>
      <c r="HP5" t="s">
        <v>59</v>
      </c>
      <c r="HQ5" t="s">
        <v>59</v>
      </c>
      <c r="HR5" t="s">
        <v>59</v>
      </c>
      <c r="HS5" t="s">
        <v>59</v>
      </c>
      <c r="HT5" t="s">
        <v>59</v>
      </c>
      <c r="HU5" t="s">
        <v>59</v>
      </c>
      <c r="HV5" t="s">
        <v>59</v>
      </c>
      <c r="HW5" t="s">
        <v>59</v>
      </c>
      <c r="HX5" t="s">
        <v>59</v>
      </c>
      <c r="HY5" t="s">
        <v>59</v>
      </c>
      <c r="HZ5" t="s">
        <v>59</v>
      </c>
      <c r="IA5" t="s">
        <v>59</v>
      </c>
      <c r="IB5" t="s">
        <v>59</v>
      </c>
      <c r="IC5" t="s">
        <v>59</v>
      </c>
      <c r="ID5" t="s">
        <v>59</v>
      </c>
      <c r="IE5" t="s">
        <v>59</v>
      </c>
      <c r="IF5" t="s">
        <v>59</v>
      </c>
      <c r="IG5" t="s">
        <v>59</v>
      </c>
      <c r="IH5" t="s">
        <v>59</v>
      </c>
      <c r="II5" t="s">
        <v>59</v>
      </c>
      <c r="IJ5" t="s">
        <v>129</v>
      </c>
      <c r="IK5" t="s">
        <v>198</v>
      </c>
      <c r="IL5" t="s">
        <v>128</v>
      </c>
      <c r="IM5" t="s">
        <v>199</v>
      </c>
      <c r="IN5">
        <v>24</v>
      </c>
      <c r="IO5">
        <v>2</v>
      </c>
      <c r="IP5">
        <v>6</v>
      </c>
      <c r="IQ5" t="s">
        <v>2730</v>
      </c>
      <c r="IR5">
        <v>15</v>
      </c>
      <c r="IS5" t="s">
        <v>2730</v>
      </c>
      <c r="IT5" t="s">
        <v>2730</v>
      </c>
      <c r="IU5" t="s">
        <v>2730</v>
      </c>
      <c r="IV5">
        <v>15</v>
      </c>
      <c r="IW5">
        <v>1</v>
      </c>
      <c r="IX5">
        <v>3</v>
      </c>
      <c r="IY5" t="s">
        <v>2730</v>
      </c>
      <c r="IZ5">
        <v>36</v>
      </c>
      <c r="JA5">
        <v>1</v>
      </c>
      <c r="JB5">
        <v>22</v>
      </c>
      <c r="JC5" t="s">
        <v>2730</v>
      </c>
      <c r="JD5">
        <v>22</v>
      </c>
      <c r="JE5">
        <v>1</v>
      </c>
      <c r="JF5">
        <v>3</v>
      </c>
      <c r="JG5" t="s">
        <v>2730</v>
      </c>
      <c r="JH5">
        <v>19</v>
      </c>
      <c r="JI5">
        <v>2</v>
      </c>
      <c r="JJ5">
        <v>9</v>
      </c>
      <c r="JK5" t="s">
        <v>2730</v>
      </c>
      <c r="JL5">
        <v>16</v>
      </c>
      <c r="JM5" t="s">
        <v>2730</v>
      </c>
      <c r="JN5" t="s">
        <v>2730</v>
      </c>
      <c r="JO5">
        <v>4</v>
      </c>
      <c r="JP5" t="s">
        <v>2730</v>
      </c>
      <c r="JQ5" t="s">
        <v>2730</v>
      </c>
    </row>
    <row r="6" spans="1:277">
      <c r="A6" s="149" t="str">
        <f>HYPERLINK("http://www.ofsted.gov.uk/inspection-reports/find-inspection-report/provider/ELS/135637 ","Ofsted School Webpage")</f>
        <v>Ofsted School Webpage</v>
      </c>
      <c r="B6">
        <v>1132143</v>
      </c>
      <c r="C6">
        <v>135637</v>
      </c>
      <c r="D6">
        <v>8016132</v>
      </c>
      <c r="E6" t="s">
        <v>450</v>
      </c>
      <c r="F6" t="s">
        <v>38</v>
      </c>
      <c r="G6" t="s">
        <v>180</v>
      </c>
      <c r="H6" t="s">
        <v>225</v>
      </c>
      <c r="I6" t="s">
        <v>225</v>
      </c>
      <c r="J6" t="s">
        <v>361</v>
      </c>
      <c r="K6" t="s">
        <v>451</v>
      </c>
      <c r="L6" t="s">
        <v>184</v>
      </c>
      <c r="M6" t="s">
        <v>185</v>
      </c>
      <c r="N6" t="s">
        <v>184</v>
      </c>
      <c r="O6" t="s">
        <v>2730</v>
      </c>
      <c r="P6" t="s">
        <v>186</v>
      </c>
      <c r="Q6">
        <v>10033895</v>
      </c>
      <c r="R6" s="120">
        <v>43019</v>
      </c>
      <c r="S6" s="120">
        <v>43021</v>
      </c>
      <c r="T6" s="120">
        <v>43056</v>
      </c>
      <c r="U6" t="s">
        <v>2730</v>
      </c>
      <c r="V6" t="s">
        <v>3120</v>
      </c>
      <c r="W6" t="s">
        <v>2730</v>
      </c>
      <c r="X6" t="s">
        <v>197</v>
      </c>
      <c r="Y6">
        <v>4</v>
      </c>
      <c r="Z6">
        <v>4</v>
      </c>
      <c r="AA6">
        <v>4</v>
      </c>
      <c r="AB6">
        <v>3</v>
      </c>
      <c r="AC6">
        <v>3</v>
      </c>
      <c r="AD6" t="s">
        <v>2730</v>
      </c>
      <c r="AE6" t="s">
        <v>2730</v>
      </c>
      <c r="AF6" t="s">
        <v>129</v>
      </c>
      <c r="AG6" t="s">
        <v>2730</v>
      </c>
      <c r="AH6" t="s">
        <v>2733</v>
      </c>
      <c r="AI6" t="s">
        <v>59</v>
      </c>
      <c r="AJ6" t="s">
        <v>59</v>
      </c>
      <c r="AK6" t="s">
        <v>60</v>
      </c>
      <c r="AL6" t="s">
        <v>60</v>
      </c>
      <c r="AM6" t="s">
        <v>59</v>
      </c>
      <c r="AN6" t="s">
        <v>59</v>
      </c>
      <c r="AO6" t="s">
        <v>60</v>
      </c>
      <c r="AP6" t="s">
        <v>60</v>
      </c>
      <c r="AQ6" t="s">
        <v>59</v>
      </c>
      <c r="AR6" t="s">
        <v>59</v>
      </c>
      <c r="AS6" t="s">
        <v>59</v>
      </c>
      <c r="AT6" t="s">
        <v>59</v>
      </c>
      <c r="AU6" t="s">
        <v>59</v>
      </c>
      <c r="AV6" t="s">
        <v>59</v>
      </c>
      <c r="AW6" t="s">
        <v>59</v>
      </c>
      <c r="AX6" t="s">
        <v>59</v>
      </c>
      <c r="AY6" t="s">
        <v>218</v>
      </c>
      <c r="AZ6" t="s">
        <v>59</v>
      </c>
      <c r="BA6" t="s">
        <v>59</v>
      </c>
      <c r="BB6" t="s">
        <v>59</v>
      </c>
      <c r="BC6" t="s">
        <v>59</v>
      </c>
      <c r="BD6" t="s">
        <v>59</v>
      </c>
      <c r="BE6" t="s">
        <v>59</v>
      </c>
      <c r="BF6" t="s">
        <v>59</v>
      </c>
      <c r="BG6" t="s">
        <v>218</v>
      </c>
      <c r="BH6" t="s">
        <v>218</v>
      </c>
      <c r="BI6" t="s">
        <v>59</v>
      </c>
      <c r="BJ6" t="s">
        <v>59</v>
      </c>
      <c r="BK6" t="s">
        <v>59</v>
      </c>
      <c r="BL6" t="s">
        <v>59</v>
      </c>
      <c r="BM6" t="s">
        <v>59</v>
      </c>
      <c r="BN6" t="s">
        <v>59</v>
      </c>
      <c r="BO6" t="s">
        <v>59</v>
      </c>
      <c r="BP6" t="s">
        <v>59</v>
      </c>
      <c r="BQ6" t="s">
        <v>59</v>
      </c>
      <c r="BR6" t="s">
        <v>59</v>
      </c>
      <c r="BS6" t="s">
        <v>59</v>
      </c>
      <c r="BT6" t="s">
        <v>59</v>
      </c>
      <c r="BU6" t="s">
        <v>59</v>
      </c>
      <c r="BV6" t="s">
        <v>59</v>
      </c>
      <c r="BW6" t="s">
        <v>59</v>
      </c>
      <c r="BX6" t="s">
        <v>59</v>
      </c>
      <c r="BY6" t="s">
        <v>59</v>
      </c>
      <c r="BZ6" t="s">
        <v>59</v>
      </c>
      <c r="CA6" t="s">
        <v>59</v>
      </c>
      <c r="CB6" t="s">
        <v>59</v>
      </c>
      <c r="CC6" t="s">
        <v>59</v>
      </c>
      <c r="CD6" t="s">
        <v>59</v>
      </c>
      <c r="CE6" t="s">
        <v>59</v>
      </c>
      <c r="CF6" t="s">
        <v>59</v>
      </c>
      <c r="CG6" t="s">
        <v>59</v>
      </c>
      <c r="CH6" t="s">
        <v>59</v>
      </c>
      <c r="CI6" t="s">
        <v>59</v>
      </c>
      <c r="CJ6" t="s">
        <v>59</v>
      </c>
      <c r="CK6" t="s">
        <v>59</v>
      </c>
      <c r="CL6" t="s">
        <v>60</v>
      </c>
      <c r="CM6" t="s">
        <v>60</v>
      </c>
      <c r="CN6" t="s">
        <v>60</v>
      </c>
      <c r="CO6" t="s">
        <v>218</v>
      </c>
      <c r="CP6" t="s">
        <v>218</v>
      </c>
      <c r="CQ6" t="s">
        <v>218</v>
      </c>
      <c r="CR6" t="s">
        <v>59</v>
      </c>
      <c r="CS6" t="s">
        <v>59</v>
      </c>
      <c r="CT6" t="s">
        <v>59</v>
      </c>
      <c r="CU6" t="s">
        <v>59</v>
      </c>
      <c r="CV6" t="s">
        <v>59</v>
      </c>
      <c r="CW6" t="s">
        <v>59</v>
      </c>
      <c r="CX6" t="s">
        <v>59</v>
      </c>
      <c r="CY6" t="s">
        <v>59</v>
      </c>
      <c r="CZ6" t="s">
        <v>60</v>
      </c>
      <c r="DA6" t="s">
        <v>59</v>
      </c>
      <c r="DB6" t="s">
        <v>60</v>
      </c>
      <c r="DC6" t="s">
        <v>60</v>
      </c>
      <c r="DD6" t="s">
        <v>60</v>
      </c>
      <c r="DE6" t="s">
        <v>60</v>
      </c>
      <c r="DF6" t="s">
        <v>59</v>
      </c>
      <c r="DG6" t="s">
        <v>59</v>
      </c>
      <c r="DH6" t="s">
        <v>60</v>
      </c>
      <c r="DI6" t="s">
        <v>59</v>
      </c>
      <c r="DJ6" t="s">
        <v>60</v>
      </c>
      <c r="DK6" t="s">
        <v>59</v>
      </c>
      <c r="DL6" t="s">
        <v>59</v>
      </c>
      <c r="DM6" t="s">
        <v>59</v>
      </c>
      <c r="DN6" t="s">
        <v>60</v>
      </c>
      <c r="DO6" t="s">
        <v>218</v>
      </c>
      <c r="DP6" t="s">
        <v>59</v>
      </c>
      <c r="DQ6" t="s">
        <v>218</v>
      </c>
      <c r="DR6" t="s">
        <v>218</v>
      </c>
      <c r="DS6" t="s">
        <v>218</v>
      </c>
      <c r="DT6" t="s">
        <v>218</v>
      </c>
      <c r="DU6" t="s">
        <v>218</v>
      </c>
      <c r="DV6" t="s">
        <v>218</v>
      </c>
      <c r="DW6" t="s">
        <v>218</v>
      </c>
      <c r="DX6" t="s">
        <v>218</v>
      </c>
      <c r="DY6" t="s">
        <v>218</v>
      </c>
      <c r="DZ6" t="s">
        <v>218</v>
      </c>
      <c r="EA6" t="s">
        <v>218</v>
      </c>
      <c r="EB6" t="s">
        <v>218</v>
      </c>
      <c r="EC6" t="s">
        <v>218</v>
      </c>
      <c r="ED6" t="s">
        <v>218</v>
      </c>
      <c r="EE6" t="s">
        <v>60</v>
      </c>
      <c r="EF6" t="s">
        <v>60</v>
      </c>
      <c r="EG6" t="s">
        <v>60</v>
      </c>
      <c r="EH6" t="s">
        <v>60</v>
      </c>
      <c r="EI6" t="s">
        <v>60</v>
      </c>
      <c r="EJ6" t="s">
        <v>60</v>
      </c>
      <c r="EK6" t="s">
        <v>60</v>
      </c>
      <c r="EL6" t="s">
        <v>60</v>
      </c>
      <c r="EM6" t="s">
        <v>60</v>
      </c>
      <c r="EN6" t="s">
        <v>60</v>
      </c>
      <c r="EO6" t="s">
        <v>59</v>
      </c>
      <c r="EP6" t="s">
        <v>60</v>
      </c>
      <c r="EQ6" t="s">
        <v>60</v>
      </c>
      <c r="ER6" t="s">
        <v>60</v>
      </c>
      <c r="ES6" t="s">
        <v>60</v>
      </c>
      <c r="ET6" t="s">
        <v>218</v>
      </c>
      <c r="EU6" t="s">
        <v>59</v>
      </c>
      <c r="EV6" t="s">
        <v>59</v>
      </c>
      <c r="EW6" t="s">
        <v>59</v>
      </c>
      <c r="EX6" t="s">
        <v>59</v>
      </c>
      <c r="EY6" t="s">
        <v>59</v>
      </c>
      <c r="EZ6" t="s">
        <v>60</v>
      </c>
      <c r="FA6" t="s">
        <v>218</v>
      </c>
      <c r="FB6" t="s">
        <v>218</v>
      </c>
      <c r="FC6" t="s">
        <v>218</v>
      </c>
      <c r="FD6" t="s">
        <v>218</v>
      </c>
      <c r="FE6" t="s">
        <v>218</v>
      </c>
      <c r="FF6" t="s">
        <v>218</v>
      </c>
      <c r="FG6" t="s">
        <v>218</v>
      </c>
      <c r="FH6" t="s">
        <v>218</v>
      </c>
      <c r="FI6" t="s">
        <v>60</v>
      </c>
      <c r="FJ6" t="s">
        <v>60</v>
      </c>
      <c r="FK6" t="s">
        <v>60</v>
      </c>
      <c r="FL6" t="s">
        <v>59</v>
      </c>
      <c r="FM6" t="s">
        <v>59</v>
      </c>
      <c r="FN6" t="s">
        <v>59</v>
      </c>
      <c r="FO6" t="s">
        <v>59</v>
      </c>
      <c r="FP6" t="s">
        <v>59</v>
      </c>
      <c r="FQ6" t="s">
        <v>59</v>
      </c>
      <c r="FR6" t="s">
        <v>59</v>
      </c>
      <c r="FS6" t="s">
        <v>59</v>
      </c>
      <c r="FT6" t="s">
        <v>59</v>
      </c>
      <c r="FU6" t="s">
        <v>59</v>
      </c>
      <c r="FV6" t="s">
        <v>59</v>
      </c>
      <c r="FW6" t="s">
        <v>59</v>
      </c>
      <c r="FX6" t="s">
        <v>59</v>
      </c>
      <c r="FY6" t="s">
        <v>59</v>
      </c>
      <c r="FZ6" t="s">
        <v>59</v>
      </c>
      <c r="GA6" t="s">
        <v>59</v>
      </c>
      <c r="GB6" t="s">
        <v>59</v>
      </c>
      <c r="GC6" t="s">
        <v>59</v>
      </c>
      <c r="GD6" t="s">
        <v>59</v>
      </c>
      <c r="GE6" t="s">
        <v>59</v>
      </c>
      <c r="GF6" t="s">
        <v>59</v>
      </c>
      <c r="GG6" t="s">
        <v>59</v>
      </c>
      <c r="GH6" t="s">
        <v>59</v>
      </c>
      <c r="GI6" t="s">
        <v>59</v>
      </c>
      <c r="GJ6" t="s">
        <v>59</v>
      </c>
      <c r="GK6" t="s">
        <v>218</v>
      </c>
      <c r="GL6" t="s">
        <v>59</v>
      </c>
      <c r="GM6" t="s">
        <v>59</v>
      </c>
      <c r="GN6" t="s">
        <v>59</v>
      </c>
      <c r="GO6" t="s">
        <v>59</v>
      </c>
      <c r="GP6" t="s">
        <v>59</v>
      </c>
      <c r="GQ6" t="s">
        <v>59</v>
      </c>
      <c r="GR6" t="s">
        <v>59</v>
      </c>
      <c r="GS6" t="s">
        <v>59</v>
      </c>
      <c r="GT6" t="s">
        <v>59</v>
      </c>
      <c r="GU6" t="s">
        <v>59</v>
      </c>
      <c r="GV6" t="s">
        <v>59</v>
      </c>
      <c r="GW6" t="s">
        <v>59</v>
      </c>
      <c r="GX6" t="s">
        <v>59</v>
      </c>
      <c r="GY6" t="s">
        <v>59</v>
      </c>
      <c r="GZ6" t="s">
        <v>59</v>
      </c>
      <c r="HA6" t="s">
        <v>218</v>
      </c>
      <c r="HB6" t="s">
        <v>218</v>
      </c>
      <c r="HC6" t="s">
        <v>59</v>
      </c>
      <c r="HD6" t="s">
        <v>59</v>
      </c>
      <c r="HE6" t="s">
        <v>59</v>
      </c>
      <c r="HF6" t="s">
        <v>218</v>
      </c>
      <c r="HG6" t="s">
        <v>59</v>
      </c>
      <c r="HH6" t="s">
        <v>59</v>
      </c>
      <c r="HI6" t="s">
        <v>59</v>
      </c>
      <c r="HJ6" t="s">
        <v>59</v>
      </c>
      <c r="HK6" t="s">
        <v>59</v>
      </c>
      <c r="HL6" t="s">
        <v>59</v>
      </c>
      <c r="HM6" t="s">
        <v>59</v>
      </c>
      <c r="HN6" t="s">
        <v>59</v>
      </c>
      <c r="HO6" t="s">
        <v>59</v>
      </c>
      <c r="HP6" t="s">
        <v>60</v>
      </c>
      <c r="HQ6" t="s">
        <v>59</v>
      </c>
      <c r="HR6" t="s">
        <v>59</v>
      </c>
      <c r="HS6" t="s">
        <v>59</v>
      </c>
      <c r="HT6" t="s">
        <v>59</v>
      </c>
      <c r="HU6" t="s">
        <v>59</v>
      </c>
      <c r="HV6" t="s">
        <v>60</v>
      </c>
      <c r="HW6" t="s">
        <v>60</v>
      </c>
      <c r="HX6" t="s">
        <v>59</v>
      </c>
      <c r="HY6" t="s">
        <v>59</v>
      </c>
      <c r="HZ6" t="s">
        <v>59</v>
      </c>
      <c r="IA6" t="s">
        <v>59</v>
      </c>
      <c r="IB6" t="s">
        <v>59</v>
      </c>
      <c r="IC6" t="s">
        <v>59</v>
      </c>
      <c r="ID6" t="s">
        <v>59</v>
      </c>
      <c r="IE6" t="s">
        <v>59</v>
      </c>
      <c r="IF6" t="s">
        <v>60</v>
      </c>
      <c r="IG6" t="s">
        <v>60</v>
      </c>
      <c r="IH6" t="s">
        <v>60</v>
      </c>
      <c r="II6" t="s">
        <v>60</v>
      </c>
      <c r="IJ6" t="s">
        <v>129</v>
      </c>
      <c r="IK6" t="s">
        <v>191</v>
      </c>
      <c r="IL6" t="s">
        <v>128</v>
      </c>
      <c r="IM6" t="s">
        <v>199</v>
      </c>
      <c r="IN6">
        <v>29</v>
      </c>
      <c r="IO6" t="s">
        <v>2730</v>
      </c>
      <c r="IP6" t="s">
        <v>2730</v>
      </c>
      <c r="IQ6" t="s">
        <v>2730</v>
      </c>
      <c r="IR6">
        <v>15</v>
      </c>
      <c r="IS6" t="s">
        <v>2730</v>
      </c>
      <c r="IT6" t="s">
        <v>2730</v>
      </c>
      <c r="IU6" t="s">
        <v>2730</v>
      </c>
      <c r="IV6">
        <v>9</v>
      </c>
      <c r="IW6" t="s">
        <v>2730</v>
      </c>
      <c r="IX6" t="s">
        <v>2730</v>
      </c>
      <c r="IY6">
        <v>7</v>
      </c>
      <c r="IZ6">
        <v>13</v>
      </c>
      <c r="JA6" t="s">
        <v>2730</v>
      </c>
      <c r="JB6" t="s">
        <v>2730</v>
      </c>
      <c r="JC6">
        <v>22</v>
      </c>
      <c r="JD6">
        <v>25</v>
      </c>
      <c r="JE6" t="s">
        <v>2730</v>
      </c>
      <c r="JF6" t="s">
        <v>2730</v>
      </c>
      <c r="JG6" t="s">
        <v>2730</v>
      </c>
      <c r="JH6">
        <v>27</v>
      </c>
      <c r="JI6" t="s">
        <v>2730</v>
      </c>
      <c r="JJ6" t="s">
        <v>2730</v>
      </c>
      <c r="JK6" t="s">
        <v>2730</v>
      </c>
      <c r="JL6">
        <v>13</v>
      </c>
      <c r="JM6" t="s">
        <v>2730</v>
      </c>
      <c r="JN6">
        <v>3</v>
      </c>
      <c r="JO6" t="s">
        <v>2730</v>
      </c>
      <c r="JP6" t="s">
        <v>2730</v>
      </c>
      <c r="JQ6">
        <v>4</v>
      </c>
    </row>
    <row r="7" spans="1:277">
      <c r="A7" s="149" t="str">
        <f>HYPERLINK("http://www.ofsted.gov.uk/inspection-reports/find-inspection-report/provider/ELS/135105 ","Ofsted School Webpage")</f>
        <v>Ofsted School Webpage</v>
      </c>
      <c r="B7">
        <v>1132219</v>
      </c>
      <c r="C7">
        <v>135105</v>
      </c>
      <c r="D7">
        <v>8506086</v>
      </c>
      <c r="E7" t="s">
        <v>369</v>
      </c>
      <c r="F7" t="s">
        <v>38</v>
      </c>
      <c r="G7" t="s">
        <v>180</v>
      </c>
      <c r="H7" t="s">
        <v>181</v>
      </c>
      <c r="I7" t="s">
        <v>181</v>
      </c>
      <c r="J7" t="s">
        <v>201</v>
      </c>
      <c r="K7" t="s">
        <v>370</v>
      </c>
      <c r="L7" t="s">
        <v>184</v>
      </c>
      <c r="M7" t="s">
        <v>185</v>
      </c>
      <c r="N7" t="s">
        <v>184</v>
      </c>
      <c r="O7" t="s">
        <v>2730</v>
      </c>
      <c r="P7" t="s">
        <v>186</v>
      </c>
      <c r="Q7">
        <v>10033961</v>
      </c>
      <c r="R7" s="120">
        <v>43004</v>
      </c>
      <c r="S7" s="120">
        <v>43006</v>
      </c>
      <c r="T7" s="120">
        <v>43052</v>
      </c>
      <c r="U7" t="s">
        <v>2730</v>
      </c>
      <c r="V7" t="s">
        <v>196</v>
      </c>
      <c r="W7" t="s">
        <v>2730</v>
      </c>
      <c r="X7" t="s">
        <v>197</v>
      </c>
      <c r="Y7">
        <v>1</v>
      </c>
      <c r="Z7">
        <v>1</v>
      </c>
      <c r="AA7">
        <v>1</v>
      </c>
      <c r="AB7">
        <v>1</v>
      </c>
      <c r="AC7">
        <v>1</v>
      </c>
      <c r="AD7" t="s">
        <v>2730</v>
      </c>
      <c r="AE7" t="s">
        <v>2730</v>
      </c>
      <c r="AF7" t="s">
        <v>128</v>
      </c>
      <c r="AG7" t="s">
        <v>2730</v>
      </c>
      <c r="AH7" t="s">
        <v>2732</v>
      </c>
      <c r="AI7" t="s">
        <v>59</v>
      </c>
      <c r="AJ7" t="s">
        <v>59</v>
      </c>
      <c r="AK7" t="s">
        <v>59</v>
      </c>
      <c r="AL7" t="s">
        <v>59</v>
      </c>
      <c r="AM7" t="s">
        <v>59</v>
      </c>
      <c r="AN7" t="s">
        <v>59</v>
      </c>
      <c r="AO7" t="s">
        <v>59</v>
      </c>
      <c r="AP7" t="s">
        <v>59</v>
      </c>
      <c r="AQ7" t="s">
        <v>59</v>
      </c>
      <c r="AR7" t="s">
        <v>59</v>
      </c>
      <c r="AS7" t="s">
        <v>59</v>
      </c>
      <c r="AT7" t="s">
        <v>59</v>
      </c>
      <c r="AU7" t="s">
        <v>59</v>
      </c>
      <c r="AV7" t="s">
        <v>59</v>
      </c>
      <c r="AW7" t="s">
        <v>59</v>
      </c>
      <c r="AX7" t="s">
        <v>59</v>
      </c>
      <c r="AY7" t="s">
        <v>218</v>
      </c>
      <c r="AZ7" t="s">
        <v>59</v>
      </c>
      <c r="BA7" t="s">
        <v>59</v>
      </c>
      <c r="BB7" t="s">
        <v>59</v>
      </c>
      <c r="BC7" t="s">
        <v>59</v>
      </c>
      <c r="BD7" t="s">
        <v>59</v>
      </c>
      <c r="BE7" t="s">
        <v>59</v>
      </c>
      <c r="BF7" t="s">
        <v>59</v>
      </c>
      <c r="BG7" t="s">
        <v>218</v>
      </c>
      <c r="BH7" t="s">
        <v>218</v>
      </c>
      <c r="BI7" t="s">
        <v>59</v>
      </c>
      <c r="BJ7" t="s">
        <v>59</v>
      </c>
      <c r="BK7" t="s">
        <v>59</v>
      </c>
      <c r="BL7" t="s">
        <v>59</v>
      </c>
      <c r="BM7" t="s">
        <v>59</v>
      </c>
      <c r="BN7" t="s">
        <v>59</v>
      </c>
      <c r="BO7" t="s">
        <v>59</v>
      </c>
      <c r="BP7" t="s">
        <v>59</v>
      </c>
      <c r="BQ7" t="s">
        <v>59</v>
      </c>
      <c r="BR7" t="s">
        <v>59</v>
      </c>
      <c r="BS7" t="s">
        <v>59</v>
      </c>
      <c r="BT7" t="s">
        <v>59</v>
      </c>
      <c r="BU7" t="s">
        <v>59</v>
      </c>
      <c r="BV7" t="s">
        <v>59</v>
      </c>
      <c r="BW7" t="s">
        <v>59</v>
      </c>
      <c r="BX7" t="s">
        <v>59</v>
      </c>
      <c r="BY7" t="s">
        <v>59</v>
      </c>
      <c r="BZ7" t="s">
        <v>59</v>
      </c>
      <c r="CA7" t="s">
        <v>59</v>
      </c>
      <c r="CB7" t="s">
        <v>59</v>
      </c>
      <c r="CC7" t="s">
        <v>59</v>
      </c>
      <c r="CD7" t="s">
        <v>59</v>
      </c>
      <c r="CE7" t="s">
        <v>59</v>
      </c>
      <c r="CF7" t="s">
        <v>59</v>
      </c>
      <c r="CG7" t="s">
        <v>59</v>
      </c>
      <c r="CH7" t="s">
        <v>59</v>
      </c>
      <c r="CI7" t="s">
        <v>59</v>
      </c>
      <c r="CJ7" t="s">
        <v>59</v>
      </c>
      <c r="CK7" t="s">
        <v>59</v>
      </c>
      <c r="CL7" t="s">
        <v>59</v>
      </c>
      <c r="CM7" t="s">
        <v>59</v>
      </c>
      <c r="CN7" t="s">
        <v>59</v>
      </c>
      <c r="CO7" t="s">
        <v>218</v>
      </c>
      <c r="CP7" t="s">
        <v>218</v>
      </c>
      <c r="CQ7" t="s">
        <v>218</v>
      </c>
      <c r="CR7" t="s">
        <v>59</v>
      </c>
      <c r="CS7" t="s">
        <v>59</v>
      </c>
      <c r="CT7" t="s">
        <v>59</v>
      </c>
      <c r="CU7" t="s">
        <v>59</v>
      </c>
      <c r="CV7" t="s">
        <v>59</v>
      </c>
      <c r="CW7" t="s">
        <v>59</v>
      </c>
      <c r="CX7" t="s">
        <v>59</v>
      </c>
      <c r="CY7" t="s">
        <v>59</v>
      </c>
      <c r="CZ7" t="s">
        <v>59</v>
      </c>
      <c r="DA7" t="s">
        <v>59</v>
      </c>
      <c r="DB7" t="s">
        <v>59</v>
      </c>
      <c r="DC7" t="s">
        <v>59</v>
      </c>
      <c r="DD7" t="s">
        <v>59</v>
      </c>
      <c r="DE7" t="s">
        <v>59</v>
      </c>
      <c r="DF7" t="s">
        <v>59</v>
      </c>
      <c r="DG7" t="s">
        <v>59</v>
      </c>
      <c r="DH7" t="s">
        <v>59</v>
      </c>
      <c r="DI7" t="s">
        <v>59</v>
      </c>
      <c r="DJ7" t="s">
        <v>59</v>
      </c>
      <c r="DK7" t="s">
        <v>59</v>
      </c>
      <c r="DL7" t="s">
        <v>59</v>
      </c>
      <c r="DM7" t="s">
        <v>59</v>
      </c>
      <c r="DN7" t="s">
        <v>59</v>
      </c>
      <c r="DO7" t="s">
        <v>218</v>
      </c>
      <c r="DP7" t="s">
        <v>59</v>
      </c>
      <c r="DQ7" t="s">
        <v>59</v>
      </c>
      <c r="DR7" t="s">
        <v>59</v>
      </c>
      <c r="DS7" t="s">
        <v>59</v>
      </c>
      <c r="DT7" t="s">
        <v>59</v>
      </c>
      <c r="DU7" t="s">
        <v>59</v>
      </c>
      <c r="DV7" t="s">
        <v>59</v>
      </c>
      <c r="DW7" t="s">
        <v>59</v>
      </c>
      <c r="DX7" t="s">
        <v>59</v>
      </c>
      <c r="DY7" t="s">
        <v>59</v>
      </c>
      <c r="DZ7" t="s">
        <v>59</v>
      </c>
      <c r="EA7" t="s">
        <v>59</v>
      </c>
      <c r="EB7" t="s">
        <v>59</v>
      </c>
      <c r="EC7" t="s">
        <v>218</v>
      </c>
      <c r="ED7" t="s">
        <v>59</v>
      </c>
      <c r="EE7" t="s">
        <v>59</v>
      </c>
      <c r="EF7" t="s">
        <v>59</v>
      </c>
      <c r="EG7" t="s">
        <v>59</v>
      </c>
      <c r="EH7" t="s">
        <v>59</v>
      </c>
      <c r="EI7" t="s">
        <v>59</v>
      </c>
      <c r="EJ7" t="s">
        <v>59</v>
      </c>
      <c r="EK7" t="s">
        <v>59</v>
      </c>
      <c r="EL7" t="s">
        <v>59</v>
      </c>
      <c r="EM7" t="s">
        <v>59</v>
      </c>
      <c r="EN7" t="s">
        <v>59</v>
      </c>
      <c r="EO7" t="s">
        <v>59</v>
      </c>
      <c r="EP7" t="s">
        <v>59</v>
      </c>
      <c r="EQ7" t="s">
        <v>59</v>
      </c>
      <c r="ER7" t="s">
        <v>59</v>
      </c>
      <c r="ES7" t="s">
        <v>59</v>
      </c>
      <c r="ET7" t="s">
        <v>59</v>
      </c>
      <c r="EU7" t="s">
        <v>59</v>
      </c>
      <c r="EV7" t="s">
        <v>59</v>
      </c>
      <c r="EW7" t="s">
        <v>59</v>
      </c>
      <c r="EX7" t="s">
        <v>59</v>
      </c>
      <c r="EY7" t="s">
        <v>59</v>
      </c>
      <c r="EZ7" t="s">
        <v>59</v>
      </c>
      <c r="FA7" t="s">
        <v>59</v>
      </c>
      <c r="FB7" t="s">
        <v>59</v>
      </c>
      <c r="FC7" t="s">
        <v>59</v>
      </c>
      <c r="FD7" t="s">
        <v>59</v>
      </c>
      <c r="FE7" t="s">
        <v>59</v>
      </c>
      <c r="FF7" t="s">
        <v>59</v>
      </c>
      <c r="FG7" t="s">
        <v>59</v>
      </c>
      <c r="FH7" t="s">
        <v>59</v>
      </c>
      <c r="FI7" t="s">
        <v>59</v>
      </c>
      <c r="FJ7" t="s">
        <v>59</v>
      </c>
      <c r="FK7" t="s">
        <v>59</v>
      </c>
      <c r="FL7" t="s">
        <v>59</v>
      </c>
      <c r="FM7" t="s">
        <v>59</v>
      </c>
      <c r="FN7" t="s">
        <v>59</v>
      </c>
      <c r="FO7" t="s">
        <v>59</v>
      </c>
      <c r="FP7" t="s">
        <v>59</v>
      </c>
      <c r="FQ7" t="s">
        <v>59</v>
      </c>
      <c r="FR7" t="s">
        <v>59</v>
      </c>
      <c r="FS7" t="s">
        <v>218</v>
      </c>
      <c r="FT7" t="s">
        <v>59</v>
      </c>
      <c r="FU7" t="s">
        <v>59</v>
      </c>
      <c r="FV7" t="s">
        <v>59</v>
      </c>
      <c r="FW7" t="s">
        <v>59</v>
      </c>
      <c r="FX7" t="s">
        <v>59</v>
      </c>
      <c r="FY7" t="s">
        <v>59</v>
      </c>
      <c r="FZ7" t="s">
        <v>59</v>
      </c>
      <c r="GA7" t="s">
        <v>59</v>
      </c>
      <c r="GB7" t="s">
        <v>59</v>
      </c>
      <c r="GC7" t="s">
        <v>59</v>
      </c>
      <c r="GD7" t="s">
        <v>59</v>
      </c>
      <c r="GE7" t="s">
        <v>59</v>
      </c>
      <c r="GF7" t="s">
        <v>59</v>
      </c>
      <c r="GG7" t="s">
        <v>59</v>
      </c>
      <c r="GH7" t="s">
        <v>59</v>
      </c>
      <c r="GI7" t="s">
        <v>59</v>
      </c>
      <c r="GJ7" t="s">
        <v>59</v>
      </c>
      <c r="GK7" t="s">
        <v>218</v>
      </c>
      <c r="GL7" t="s">
        <v>59</v>
      </c>
      <c r="GM7" t="s">
        <v>59</v>
      </c>
      <c r="GN7" t="s">
        <v>59</v>
      </c>
      <c r="GO7" t="s">
        <v>59</v>
      </c>
      <c r="GP7" t="s">
        <v>59</v>
      </c>
      <c r="GQ7" t="s">
        <v>59</v>
      </c>
      <c r="GR7" t="s">
        <v>59</v>
      </c>
      <c r="GS7" t="s">
        <v>59</v>
      </c>
      <c r="GT7" t="s">
        <v>59</v>
      </c>
      <c r="GU7" t="s">
        <v>59</v>
      </c>
      <c r="GV7" t="s">
        <v>59</v>
      </c>
      <c r="GW7" t="s">
        <v>59</v>
      </c>
      <c r="GX7" t="s">
        <v>59</v>
      </c>
      <c r="GY7" t="s">
        <v>59</v>
      </c>
      <c r="GZ7" t="s">
        <v>59</v>
      </c>
      <c r="HA7" t="s">
        <v>59</v>
      </c>
      <c r="HB7" t="s">
        <v>59</v>
      </c>
      <c r="HC7" t="s">
        <v>59</v>
      </c>
      <c r="HD7" t="s">
        <v>59</v>
      </c>
      <c r="HE7" t="s">
        <v>59</v>
      </c>
      <c r="HF7" t="s">
        <v>59</v>
      </c>
      <c r="HG7" t="s">
        <v>59</v>
      </c>
      <c r="HH7" t="s">
        <v>59</v>
      </c>
      <c r="HI7" t="s">
        <v>59</v>
      </c>
      <c r="HJ7" t="s">
        <v>59</v>
      </c>
      <c r="HK7" t="s">
        <v>59</v>
      </c>
      <c r="HL7" t="s">
        <v>59</v>
      </c>
      <c r="HM7" t="s">
        <v>59</v>
      </c>
      <c r="HN7" t="s">
        <v>59</v>
      </c>
      <c r="HO7" t="s">
        <v>59</v>
      </c>
      <c r="HP7" t="s">
        <v>59</v>
      </c>
      <c r="HQ7" t="s">
        <v>59</v>
      </c>
      <c r="HR7" t="s">
        <v>59</v>
      </c>
      <c r="HS7" t="s">
        <v>59</v>
      </c>
      <c r="HT7" t="s">
        <v>59</v>
      </c>
      <c r="HU7" t="s">
        <v>59</v>
      </c>
      <c r="HV7" t="s">
        <v>59</v>
      </c>
      <c r="HW7" t="s">
        <v>59</v>
      </c>
      <c r="HX7" t="s">
        <v>59</v>
      </c>
      <c r="HY7" t="s">
        <v>59</v>
      </c>
      <c r="HZ7" t="s">
        <v>59</v>
      </c>
      <c r="IA7" t="s">
        <v>59</v>
      </c>
      <c r="IB7" t="s">
        <v>59</v>
      </c>
      <c r="IC7" t="s">
        <v>59</v>
      </c>
      <c r="ID7" t="s">
        <v>59</v>
      </c>
      <c r="IE7" t="s">
        <v>59</v>
      </c>
      <c r="IF7" t="s">
        <v>59</v>
      </c>
      <c r="IG7" t="s">
        <v>59</v>
      </c>
      <c r="IH7" t="s">
        <v>59</v>
      </c>
      <c r="II7" t="s">
        <v>59</v>
      </c>
      <c r="IJ7" t="s">
        <v>128</v>
      </c>
      <c r="IK7" t="s">
        <v>128</v>
      </c>
      <c r="IL7" t="s">
        <v>128</v>
      </c>
      <c r="IM7" t="s">
        <v>199</v>
      </c>
      <c r="IN7">
        <v>29</v>
      </c>
      <c r="IO7" t="s">
        <v>2730</v>
      </c>
      <c r="IP7" t="s">
        <v>2730</v>
      </c>
      <c r="IQ7" t="s">
        <v>2730</v>
      </c>
      <c r="IR7">
        <v>15</v>
      </c>
      <c r="IS7" t="s">
        <v>2730</v>
      </c>
      <c r="IT7" t="s">
        <v>2730</v>
      </c>
      <c r="IU7" t="s">
        <v>2730</v>
      </c>
      <c r="IV7">
        <v>16</v>
      </c>
      <c r="IW7" t="s">
        <v>2730</v>
      </c>
      <c r="IX7" t="s">
        <v>2730</v>
      </c>
      <c r="IY7" t="s">
        <v>2730</v>
      </c>
      <c r="IZ7">
        <v>57</v>
      </c>
      <c r="JA7" t="s">
        <v>2730</v>
      </c>
      <c r="JB7" t="s">
        <v>2730</v>
      </c>
      <c r="JC7" t="s">
        <v>2730</v>
      </c>
      <c r="JD7">
        <v>24</v>
      </c>
      <c r="JE7" t="s">
        <v>2730</v>
      </c>
      <c r="JF7" t="s">
        <v>2730</v>
      </c>
      <c r="JG7" t="s">
        <v>2730</v>
      </c>
      <c r="JH7">
        <v>30</v>
      </c>
      <c r="JI7" t="s">
        <v>2730</v>
      </c>
      <c r="JJ7" t="s">
        <v>2730</v>
      </c>
      <c r="JK7" t="s">
        <v>2730</v>
      </c>
      <c r="JL7">
        <v>16</v>
      </c>
      <c r="JM7" t="s">
        <v>2730</v>
      </c>
      <c r="JN7" t="s">
        <v>2730</v>
      </c>
      <c r="JO7">
        <v>4</v>
      </c>
      <c r="JP7" t="s">
        <v>2730</v>
      </c>
      <c r="JQ7" t="s">
        <v>2730</v>
      </c>
    </row>
    <row r="8" spans="1:277">
      <c r="A8" s="149" t="str">
        <f>HYPERLINK("http://www.ofsted.gov.uk/inspection-reports/find-inspection-report/provider/ELS/131531 ","Ofsted School Webpage")</f>
        <v>Ofsted School Webpage</v>
      </c>
      <c r="B8">
        <v>1132533</v>
      </c>
      <c r="C8">
        <v>131531</v>
      </c>
      <c r="D8">
        <v>8506085</v>
      </c>
      <c r="E8" t="s">
        <v>1575</v>
      </c>
      <c r="F8" t="s">
        <v>38</v>
      </c>
      <c r="G8" t="s">
        <v>180</v>
      </c>
      <c r="H8" t="s">
        <v>181</v>
      </c>
      <c r="I8" t="s">
        <v>181</v>
      </c>
      <c r="J8" t="s">
        <v>201</v>
      </c>
      <c r="K8" t="s">
        <v>1576</v>
      </c>
      <c r="L8" t="s">
        <v>184</v>
      </c>
      <c r="M8" t="s">
        <v>185</v>
      </c>
      <c r="N8" t="s">
        <v>184</v>
      </c>
      <c r="O8" t="s">
        <v>2730</v>
      </c>
      <c r="P8" t="s">
        <v>186</v>
      </c>
      <c r="Q8">
        <v>10025981</v>
      </c>
      <c r="R8" s="120">
        <v>43053</v>
      </c>
      <c r="S8" s="120">
        <v>43055</v>
      </c>
      <c r="T8" s="120">
        <v>43075</v>
      </c>
      <c r="U8" t="s">
        <v>2730</v>
      </c>
      <c r="V8" t="s">
        <v>196</v>
      </c>
      <c r="W8" t="s">
        <v>2730</v>
      </c>
      <c r="X8" t="s">
        <v>197</v>
      </c>
      <c r="Y8">
        <v>2</v>
      </c>
      <c r="Z8">
        <v>2</v>
      </c>
      <c r="AA8">
        <v>1</v>
      </c>
      <c r="AB8">
        <v>2</v>
      </c>
      <c r="AC8">
        <v>2</v>
      </c>
      <c r="AD8" t="s">
        <v>2730</v>
      </c>
      <c r="AE8">
        <v>1</v>
      </c>
      <c r="AF8" t="s">
        <v>128</v>
      </c>
      <c r="AG8" t="s">
        <v>2730</v>
      </c>
      <c r="AH8" t="s">
        <v>2732</v>
      </c>
      <c r="AI8" t="s">
        <v>59</v>
      </c>
      <c r="AJ8" t="s">
        <v>59</v>
      </c>
      <c r="AK8" t="s">
        <v>59</v>
      </c>
      <c r="AL8" t="s">
        <v>59</v>
      </c>
      <c r="AM8" t="s">
        <v>59</v>
      </c>
      <c r="AN8" t="s">
        <v>59</v>
      </c>
      <c r="AO8" t="s">
        <v>59</v>
      </c>
      <c r="AP8" t="s">
        <v>59</v>
      </c>
      <c r="AQ8" t="s">
        <v>59</v>
      </c>
      <c r="AR8" t="s">
        <v>59</v>
      </c>
      <c r="AS8" t="s">
        <v>59</v>
      </c>
      <c r="AT8" t="s">
        <v>59</v>
      </c>
      <c r="AU8" t="s">
        <v>59</v>
      </c>
      <c r="AV8" t="s">
        <v>59</v>
      </c>
      <c r="AW8" t="s">
        <v>59</v>
      </c>
      <c r="AX8" t="s">
        <v>59</v>
      </c>
      <c r="AY8" t="s">
        <v>59</v>
      </c>
      <c r="AZ8" t="s">
        <v>59</v>
      </c>
      <c r="BA8" t="s">
        <v>59</v>
      </c>
      <c r="BB8" t="s">
        <v>59</v>
      </c>
      <c r="BC8" t="s">
        <v>59</v>
      </c>
      <c r="BD8" t="s">
        <v>59</v>
      </c>
      <c r="BE8" t="s">
        <v>59</v>
      </c>
      <c r="BF8" t="s">
        <v>59</v>
      </c>
      <c r="BG8" t="s">
        <v>59</v>
      </c>
      <c r="BH8" t="s">
        <v>59</v>
      </c>
      <c r="BI8" t="s">
        <v>59</v>
      </c>
      <c r="BJ8" t="s">
        <v>59</v>
      </c>
      <c r="BK8" t="s">
        <v>59</v>
      </c>
      <c r="BL8" t="s">
        <v>59</v>
      </c>
      <c r="BM8" t="s">
        <v>59</v>
      </c>
      <c r="BN8" t="s">
        <v>59</v>
      </c>
      <c r="BO8" t="s">
        <v>59</v>
      </c>
      <c r="BP8" t="s">
        <v>59</v>
      </c>
      <c r="BQ8" t="s">
        <v>59</v>
      </c>
      <c r="BR8" t="s">
        <v>59</v>
      </c>
      <c r="BS8" t="s">
        <v>59</v>
      </c>
      <c r="BT8" t="s">
        <v>59</v>
      </c>
      <c r="BU8" t="s">
        <v>59</v>
      </c>
      <c r="BV8" t="s">
        <v>59</v>
      </c>
      <c r="BW8" t="s">
        <v>59</v>
      </c>
      <c r="BX8" t="s">
        <v>59</v>
      </c>
      <c r="BY8" t="s">
        <v>59</v>
      </c>
      <c r="BZ8" t="s">
        <v>59</v>
      </c>
      <c r="CA8" t="s">
        <v>59</v>
      </c>
      <c r="CB8" t="s">
        <v>59</v>
      </c>
      <c r="CC8" t="s">
        <v>59</v>
      </c>
      <c r="CD8" t="s">
        <v>59</v>
      </c>
      <c r="CE8" t="s">
        <v>59</v>
      </c>
      <c r="CF8" t="s">
        <v>59</v>
      </c>
      <c r="CG8" t="s">
        <v>59</v>
      </c>
      <c r="CH8" t="s">
        <v>59</v>
      </c>
      <c r="CI8" t="s">
        <v>59</v>
      </c>
      <c r="CJ8" t="s">
        <v>59</v>
      </c>
      <c r="CK8" t="s">
        <v>59</v>
      </c>
      <c r="CL8" t="s">
        <v>59</v>
      </c>
      <c r="CM8" t="s">
        <v>59</v>
      </c>
      <c r="CN8" t="s">
        <v>59</v>
      </c>
      <c r="CO8" t="s">
        <v>191</v>
      </c>
      <c r="CP8" t="s">
        <v>191</v>
      </c>
      <c r="CQ8" t="s">
        <v>191</v>
      </c>
      <c r="CR8" t="s">
        <v>59</v>
      </c>
      <c r="CS8" t="s">
        <v>59</v>
      </c>
      <c r="CT8" t="s">
        <v>59</v>
      </c>
      <c r="CU8" t="s">
        <v>59</v>
      </c>
      <c r="CV8" t="s">
        <v>59</v>
      </c>
      <c r="CW8" t="s">
        <v>59</v>
      </c>
      <c r="CX8" t="s">
        <v>59</v>
      </c>
      <c r="CY8" t="s">
        <v>59</v>
      </c>
      <c r="CZ8" t="s">
        <v>59</v>
      </c>
      <c r="DA8" t="s">
        <v>59</v>
      </c>
      <c r="DB8" t="s">
        <v>59</v>
      </c>
      <c r="DC8" t="s">
        <v>59</v>
      </c>
      <c r="DD8" t="s">
        <v>59</v>
      </c>
      <c r="DE8" t="s">
        <v>59</v>
      </c>
      <c r="DF8" t="s">
        <v>59</v>
      </c>
      <c r="DG8" t="s">
        <v>59</v>
      </c>
      <c r="DH8" t="s">
        <v>59</v>
      </c>
      <c r="DI8" t="s">
        <v>59</v>
      </c>
      <c r="DJ8" t="s">
        <v>59</v>
      </c>
      <c r="DK8" t="s">
        <v>59</v>
      </c>
      <c r="DL8" t="s">
        <v>59</v>
      </c>
      <c r="DM8" t="s">
        <v>59</v>
      </c>
      <c r="DN8" t="s">
        <v>59</v>
      </c>
      <c r="DO8" t="s">
        <v>191</v>
      </c>
      <c r="DP8" t="s">
        <v>59</v>
      </c>
      <c r="DQ8" t="s">
        <v>59</v>
      </c>
      <c r="DR8" t="s">
        <v>59</v>
      </c>
      <c r="DS8" t="s">
        <v>59</v>
      </c>
      <c r="DT8" t="s">
        <v>59</v>
      </c>
      <c r="DU8" t="s">
        <v>59</v>
      </c>
      <c r="DV8" t="s">
        <v>59</v>
      </c>
      <c r="DW8" t="s">
        <v>59</v>
      </c>
      <c r="DX8" t="s">
        <v>59</v>
      </c>
      <c r="DY8" t="s">
        <v>59</v>
      </c>
      <c r="DZ8" t="s">
        <v>59</v>
      </c>
      <c r="EA8" t="s">
        <v>59</v>
      </c>
      <c r="EB8" t="s">
        <v>59</v>
      </c>
      <c r="EC8" t="s">
        <v>191</v>
      </c>
      <c r="ED8" t="s">
        <v>191</v>
      </c>
      <c r="EE8" t="s">
        <v>59</v>
      </c>
      <c r="EF8" t="s">
        <v>59</v>
      </c>
      <c r="EG8" t="s">
        <v>59</v>
      </c>
      <c r="EH8" t="s">
        <v>59</v>
      </c>
      <c r="EI8" t="s">
        <v>59</v>
      </c>
      <c r="EJ8" t="s">
        <v>59</v>
      </c>
      <c r="EK8" t="s">
        <v>59</v>
      </c>
      <c r="EL8" t="s">
        <v>59</v>
      </c>
      <c r="EM8" t="s">
        <v>59</v>
      </c>
      <c r="EN8" t="s">
        <v>59</v>
      </c>
      <c r="EO8" t="s">
        <v>59</v>
      </c>
      <c r="EP8" t="s">
        <v>59</v>
      </c>
      <c r="EQ8" t="s">
        <v>59</v>
      </c>
      <c r="ER8" t="s">
        <v>59</v>
      </c>
      <c r="ES8" t="s">
        <v>59</v>
      </c>
      <c r="ET8" t="s">
        <v>59</v>
      </c>
      <c r="EU8" t="s">
        <v>59</v>
      </c>
      <c r="EV8" t="s">
        <v>59</v>
      </c>
      <c r="EW8" t="s">
        <v>59</v>
      </c>
      <c r="EX8" t="s">
        <v>59</v>
      </c>
      <c r="EY8" t="s">
        <v>59</v>
      </c>
      <c r="EZ8" t="s">
        <v>59</v>
      </c>
      <c r="FA8" t="s">
        <v>59</v>
      </c>
      <c r="FB8" t="s">
        <v>59</v>
      </c>
      <c r="FC8" t="s">
        <v>59</v>
      </c>
      <c r="FD8" t="s">
        <v>59</v>
      </c>
      <c r="FE8" t="s">
        <v>59</v>
      </c>
      <c r="FF8" t="s">
        <v>59</v>
      </c>
      <c r="FG8" t="s">
        <v>59</v>
      </c>
      <c r="FH8" t="s">
        <v>59</v>
      </c>
      <c r="FI8" t="s">
        <v>59</v>
      </c>
      <c r="FJ8" t="s">
        <v>59</v>
      </c>
      <c r="FK8" t="s">
        <v>59</v>
      </c>
      <c r="FL8" t="s">
        <v>59</v>
      </c>
      <c r="FM8" t="s">
        <v>59</v>
      </c>
      <c r="FN8" t="s">
        <v>59</v>
      </c>
      <c r="FO8" t="s">
        <v>59</v>
      </c>
      <c r="FP8" t="s">
        <v>59</v>
      </c>
      <c r="FQ8" t="s">
        <v>59</v>
      </c>
      <c r="FR8" t="s">
        <v>59</v>
      </c>
      <c r="FS8" t="s">
        <v>59</v>
      </c>
      <c r="FT8" t="s">
        <v>59</v>
      </c>
      <c r="FU8" t="s">
        <v>59</v>
      </c>
      <c r="FV8" t="s">
        <v>59</v>
      </c>
      <c r="FW8" t="s">
        <v>59</v>
      </c>
      <c r="FX8" t="s">
        <v>59</v>
      </c>
      <c r="FY8" t="s">
        <v>59</v>
      </c>
      <c r="FZ8" t="s">
        <v>59</v>
      </c>
      <c r="GA8" t="s">
        <v>59</v>
      </c>
      <c r="GB8" t="s">
        <v>59</v>
      </c>
      <c r="GC8" t="s">
        <v>59</v>
      </c>
      <c r="GD8" t="s">
        <v>59</v>
      </c>
      <c r="GE8" t="s">
        <v>59</v>
      </c>
      <c r="GF8" t="s">
        <v>59</v>
      </c>
      <c r="GG8" t="s">
        <v>59</v>
      </c>
      <c r="GH8" t="s">
        <v>59</v>
      </c>
      <c r="GI8" t="s">
        <v>59</v>
      </c>
      <c r="GJ8" t="s">
        <v>59</v>
      </c>
      <c r="GK8" t="s">
        <v>191</v>
      </c>
      <c r="GL8" t="s">
        <v>59</v>
      </c>
      <c r="GM8" t="s">
        <v>59</v>
      </c>
      <c r="GN8" t="s">
        <v>59</v>
      </c>
      <c r="GO8" t="s">
        <v>59</v>
      </c>
      <c r="GP8" t="s">
        <v>59</v>
      </c>
      <c r="GQ8" t="s">
        <v>59</v>
      </c>
      <c r="GR8" t="s">
        <v>59</v>
      </c>
      <c r="GS8" t="s">
        <v>59</v>
      </c>
      <c r="GT8" t="s">
        <v>59</v>
      </c>
      <c r="GU8" t="s">
        <v>59</v>
      </c>
      <c r="GV8" t="s">
        <v>59</v>
      </c>
      <c r="GW8" t="s">
        <v>59</v>
      </c>
      <c r="GX8" t="s">
        <v>59</v>
      </c>
      <c r="GY8" t="s">
        <v>59</v>
      </c>
      <c r="GZ8" t="s">
        <v>59</v>
      </c>
      <c r="HA8" t="s">
        <v>59</v>
      </c>
      <c r="HB8" t="s">
        <v>59</v>
      </c>
      <c r="HC8" t="s">
        <v>59</v>
      </c>
      <c r="HD8" t="s">
        <v>59</v>
      </c>
      <c r="HE8" t="s">
        <v>59</v>
      </c>
      <c r="HF8" t="s">
        <v>59</v>
      </c>
      <c r="HG8" t="s">
        <v>59</v>
      </c>
      <c r="HH8" t="s">
        <v>59</v>
      </c>
      <c r="HI8" t="s">
        <v>59</v>
      </c>
      <c r="HJ8" t="s">
        <v>59</v>
      </c>
      <c r="HK8" t="s">
        <v>59</v>
      </c>
      <c r="HL8" t="s">
        <v>59</v>
      </c>
      <c r="HM8" t="s">
        <v>59</v>
      </c>
      <c r="HN8" t="s">
        <v>59</v>
      </c>
      <c r="HO8" t="s">
        <v>59</v>
      </c>
      <c r="HP8" t="s">
        <v>59</v>
      </c>
      <c r="HQ8" t="s">
        <v>59</v>
      </c>
      <c r="HR8" t="s">
        <v>59</v>
      </c>
      <c r="HS8" t="s">
        <v>59</v>
      </c>
      <c r="HT8" t="s">
        <v>59</v>
      </c>
      <c r="HU8" t="s">
        <v>59</v>
      </c>
      <c r="HV8" t="s">
        <v>59</v>
      </c>
      <c r="HW8" t="s">
        <v>59</v>
      </c>
      <c r="HX8" t="s">
        <v>59</v>
      </c>
      <c r="HY8" t="s">
        <v>59</v>
      </c>
      <c r="HZ8" t="s">
        <v>59</v>
      </c>
      <c r="IA8" t="s">
        <v>59</v>
      </c>
      <c r="IB8" t="s">
        <v>59</v>
      </c>
      <c r="IC8" t="s">
        <v>59</v>
      </c>
      <c r="ID8" t="s">
        <v>59</v>
      </c>
      <c r="IE8" t="s">
        <v>59</v>
      </c>
      <c r="IF8" t="s">
        <v>59</v>
      </c>
      <c r="IG8" t="s">
        <v>59</v>
      </c>
      <c r="IH8" t="s">
        <v>59</v>
      </c>
      <c r="II8" t="s">
        <v>59</v>
      </c>
      <c r="IJ8" t="s">
        <v>128</v>
      </c>
      <c r="IK8" t="s">
        <v>129</v>
      </c>
      <c r="IL8" t="s">
        <v>128</v>
      </c>
      <c r="IM8" t="s">
        <v>199</v>
      </c>
      <c r="IN8">
        <v>32</v>
      </c>
      <c r="IO8" t="s">
        <v>2730</v>
      </c>
      <c r="IP8" t="s">
        <v>2730</v>
      </c>
      <c r="IQ8" t="s">
        <v>2730</v>
      </c>
      <c r="IR8">
        <v>15</v>
      </c>
      <c r="IS8" t="s">
        <v>2730</v>
      </c>
      <c r="IT8" t="s">
        <v>2730</v>
      </c>
      <c r="IU8" t="s">
        <v>2730</v>
      </c>
      <c r="IV8">
        <v>16</v>
      </c>
      <c r="IW8" t="s">
        <v>2730</v>
      </c>
      <c r="IX8">
        <v>3</v>
      </c>
      <c r="IY8" t="s">
        <v>2730</v>
      </c>
      <c r="IZ8">
        <v>56</v>
      </c>
      <c r="JA8" t="s">
        <v>2730</v>
      </c>
      <c r="JB8">
        <v>3</v>
      </c>
      <c r="JC8" t="s">
        <v>2730</v>
      </c>
      <c r="JD8">
        <v>25</v>
      </c>
      <c r="JE8" t="s">
        <v>2730</v>
      </c>
      <c r="JF8">
        <v>1</v>
      </c>
      <c r="JG8" t="s">
        <v>2730</v>
      </c>
      <c r="JH8">
        <v>30</v>
      </c>
      <c r="JI8" t="s">
        <v>2730</v>
      </c>
      <c r="JJ8" t="s">
        <v>2730</v>
      </c>
      <c r="JK8" t="s">
        <v>2730</v>
      </c>
      <c r="JL8">
        <v>16</v>
      </c>
      <c r="JM8" t="s">
        <v>2730</v>
      </c>
      <c r="JN8" t="s">
        <v>2730</v>
      </c>
      <c r="JO8">
        <v>4</v>
      </c>
      <c r="JP8" t="s">
        <v>2730</v>
      </c>
      <c r="JQ8" t="s">
        <v>2730</v>
      </c>
    </row>
    <row r="9" spans="1:277">
      <c r="A9" s="149" t="str">
        <f>HYPERLINK("http://www.ofsted.gov.uk/inspection-reports/find-inspection-report/provider/ELS/133527 ","Ofsted School Webpage")</f>
        <v>Ofsted School Webpage</v>
      </c>
      <c r="B9">
        <v>1132498</v>
      </c>
      <c r="C9">
        <v>133527</v>
      </c>
      <c r="D9">
        <v>9336203</v>
      </c>
      <c r="E9" t="s">
        <v>399</v>
      </c>
      <c r="F9" t="s">
        <v>38</v>
      </c>
      <c r="G9" t="s">
        <v>180</v>
      </c>
      <c r="H9" t="s">
        <v>225</v>
      </c>
      <c r="I9" t="s">
        <v>225</v>
      </c>
      <c r="J9" t="s">
        <v>262</v>
      </c>
      <c r="K9" t="s">
        <v>400</v>
      </c>
      <c r="L9" t="s">
        <v>184</v>
      </c>
      <c r="M9" t="s">
        <v>185</v>
      </c>
      <c r="N9" t="s">
        <v>184</v>
      </c>
      <c r="O9" t="s">
        <v>2730</v>
      </c>
      <c r="P9" t="s">
        <v>186</v>
      </c>
      <c r="Q9">
        <v>10033891</v>
      </c>
      <c r="R9" s="120">
        <v>42990</v>
      </c>
      <c r="S9" s="120">
        <v>42992</v>
      </c>
      <c r="T9" s="120">
        <v>43019</v>
      </c>
      <c r="U9" t="s">
        <v>2730</v>
      </c>
      <c r="V9" t="s">
        <v>196</v>
      </c>
      <c r="W9" t="s">
        <v>2730</v>
      </c>
      <c r="X9" t="s">
        <v>197</v>
      </c>
      <c r="Y9">
        <v>2</v>
      </c>
      <c r="Z9">
        <v>2</v>
      </c>
      <c r="AA9">
        <v>2</v>
      </c>
      <c r="AB9">
        <v>2</v>
      </c>
      <c r="AC9">
        <v>2</v>
      </c>
      <c r="AD9" t="s">
        <v>2730</v>
      </c>
      <c r="AE9" t="s">
        <v>2730</v>
      </c>
      <c r="AF9" t="s">
        <v>128</v>
      </c>
      <c r="AG9" t="s">
        <v>2730</v>
      </c>
      <c r="AH9" t="s">
        <v>2732</v>
      </c>
      <c r="AI9" t="s">
        <v>59</v>
      </c>
      <c r="AJ9" t="s">
        <v>59</v>
      </c>
      <c r="AK9" t="s">
        <v>59</v>
      </c>
      <c r="AL9" t="s">
        <v>59</v>
      </c>
      <c r="AM9" t="s">
        <v>59</v>
      </c>
      <c r="AN9" t="s">
        <v>59</v>
      </c>
      <c r="AO9" t="s">
        <v>59</v>
      </c>
      <c r="AP9" t="s">
        <v>59</v>
      </c>
      <c r="AQ9" t="s">
        <v>59</v>
      </c>
      <c r="AR9" t="s">
        <v>59</v>
      </c>
      <c r="AS9" t="s">
        <v>59</v>
      </c>
      <c r="AT9" t="s">
        <v>59</v>
      </c>
      <c r="AU9" t="s">
        <v>59</v>
      </c>
      <c r="AV9" t="s">
        <v>59</v>
      </c>
      <c r="AW9" t="s">
        <v>59</v>
      </c>
      <c r="AX9" t="s">
        <v>59</v>
      </c>
      <c r="AY9" t="s">
        <v>191</v>
      </c>
      <c r="AZ9" t="s">
        <v>59</v>
      </c>
      <c r="BA9" t="s">
        <v>59</v>
      </c>
      <c r="BB9" t="s">
        <v>59</v>
      </c>
      <c r="BC9" t="s">
        <v>59</v>
      </c>
      <c r="BD9" t="s">
        <v>59</v>
      </c>
      <c r="BE9" t="s">
        <v>59</v>
      </c>
      <c r="BF9" t="s">
        <v>59</v>
      </c>
      <c r="BG9" t="s">
        <v>191</v>
      </c>
      <c r="BH9" t="s">
        <v>59</v>
      </c>
      <c r="BI9" t="s">
        <v>59</v>
      </c>
      <c r="BJ9" t="s">
        <v>59</v>
      </c>
      <c r="BK9" t="s">
        <v>59</v>
      </c>
      <c r="BL9" t="s">
        <v>59</v>
      </c>
      <c r="BM9" t="s">
        <v>59</v>
      </c>
      <c r="BN9" t="s">
        <v>59</v>
      </c>
      <c r="BO9" t="s">
        <v>59</v>
      </c>
      <c r="BP9" t="s">
        <v>59</v>
      </c>
      <c r="BQ9" t="s">
        <v>59</v>
      </c>
      <c r="BR9" t="s">
        <v>59</v>
      </c>
      <c r="BS9" t="s">
        <v>59</v>
      </c>
      <c r="BT9" t="s">
        <v>59</v>
      </c>
      <c r="BU9" t="s">
        <v>59</v>
      </c>
      <c r="BV9" t="s">
        <v>59</v>
      </c>
      <c r="BW9" t="s">
        <v>59</v>
      </c>
      <c r="BX9" t="s">
        <v>59</v>
      </c>
      <c r="BY9" t="s">
        <v>59</v>
      </c>
      <c r="BZ9" t="s">
        <v>59</v>
      </c>
      <c r="CA9" t="s">
        <v>59</v>
      </c>
      <c r="CB9" t="s">
        <v>59</v>
      </c>
      <c r="CC9" t="s">
        <v>59</v>
      </c>
      <c r="CD9" t="s">
        <v>59</v>
      </c>
      <c r="CE9" t="s">
        <v>59</v>
      </c>
      <c r="CF9" t="s">
        <v>59</v>
      </c>
      <c r="CG9" t="s">
        <v>59</v>
      </c>
      <c r="CH9" t="s">
        <v>59</v>
      </c>
      <c r="CI9" t="s">
        <v>59</v>
      </c>
      <c r="CJ9" t="s">
        <v>59</v>
      </c>
      <c r="CK9" t="s">
        <v>191</v>
      </c>
      <c r="CL9" t="s">
        <v>59</v>
      </c>
      <c r="CM9" t="s">
        <v>59</v>
      </c>
      <c r="CN9" t="s">
        <v>59</v>
      </c>
      <c r="CO9" t="s">
        <v>59</v>
      </c>
      <c r="CP9" t="s">
        <v>59</v>
      </c>
      <c r="CQ9" t="s">
        <v>59</v>
      </c>
      <c r="CR9" t="s">
        <v>59</v>
      </c>
      <c r="CS9" t="s">
        <v>59</v>
      </c>
      <c r="CT9" t="s">
        <v>59</v>
      </c>
      <c r="CU9" t="s">
        <v>59</v>
      </c>
      <c r="CV9" t="s">
        <v>59</v>
      </c>
      <c r="CW9" t="s">
        <v>59</v>
      </c>
      <c r="CX9" t="s">
        <v>59</v>
      </c>
      <c r="CY9" t="s">
        <v>59</v>
      </c>
      <c r="CZ9" t="s">
        <v>59</v>
      </c>
      <c r="DA9" t="s">
        <v>59</v>
      </c>
      <c r="DB9" t="s">
        <v>59</v>
      </c>
      <c r="DC9" t="s">
        <v>59</v>
      </c>
      <c r="DD9" t="s">
        <v>59</v>
      </c>
      <c r="DE9" t="s">
        <v>59</v>
      </c>
      <c r="DF9" t="s">
        <v>59</v>
      </c>
      <c r="DG9" t="s">
        <v>59</v>
      </c>
      <c r="DH9" t="s">
        <v>59</v>
      </c>
      <c r="DI9" t="s">
        <v>59</v>
      </c>
      <c r="DJ9" t="s">
        <v>59</v>
      </c>
      <c r="DK9" t="s">
        <v>59</v>
      </c>
      <c r="DL9" t="s">
        <v>59</v>
      </c>
      <c r="DM9" t="s">
        <v>59</v>
      </c>
      <c r="DN9" t="s">
        <v>59</v>
      </c>
      <c r="DO9" t="s">
        <v>59</v>
      </c>
      <c r="DP9" t="s">
        <v>59</v>
      </c>
      <c r="DQ9" t="s">
        <v>59</v>
      </c>
      <c r="DR9" t="s">
        <v>59</v>
      </c>
      <c r="DS9" t="s">
        <v>59</v>
      </c>
      <c r="DT9" t="s">
        <v>59</v>
      </c>
      <c r="DU9" t="s">
        <v>59</v>
      </c>
      <c r="DV9" t="s">
        <v>59</v>
      </c>
      <c r="DW9" t="s">
        <v>59</v>
      </c>
      <c r="DX9" t="s">
        <v>59</v>
      </c>
      <c r="DY9" t="s">
        <v>59</v>
      </c>
      <c r="DZ9" t="s">
        <v>59</v>
      </c>
      <c r="EA9" t="s">
        <v>59</v>
      </c>
      <c r="EB9" t="s">
        <v>59</v>
      </c>
      <c r="EC9" t="s">
        <v>59</v>
      </c>
      <c r="ED9" t="s">
        <v>59</v>
      </c>
      <c r="EE9" t="s">
        <v>59</v>
      </c>
      <c r="EF9" t="s">
        <v>59</v>
      </c>
      <c r="EG9" t="s">
        <v>59</v>
      </c>
      <c r="EH9" t="s">
        <v>59</v>
      </c>
      <c r="EI9" t="s">
        <v>59</v>
      </c>
      <c r="EJ9" t="s">
        <v>59</v>
      </c>
      <c r="EK9" t="s">
        <v>59</v>
      </c>
      <c r="EL9" t="s">
        <v>59</v>
      </c>
      <c r="EM9" t="s">
        <v>59</v>
      </c>
      <c r="EN9" t="s">
        <v>59</v>
      </c>
      <c r="EO9" t="s">
        <v>59</v>
      </c>
      <c r="EP9" t="s">
        <v>59</v>
      </c>
      <c r="EQ9" t="s">
        <v>59</v>
      </c>
      <c r="ER9" t="s">
        <v>59</v>
      </c>
      <c r="ES9" t="s">
        <v>59</v>
      </c>
      <c r="ET9" t="s">
        <v>59</v>
      </c>
      <c r="EU9" t="s">
        <v>59</v>
      </c>
      <c r="EV9" t="s">
        <v>59</v>
      </c>
      <c r="EW9" t="s">
        <v>59</v>
      </c>
      <c r="EX9" t="s">
        <v>59</v>
      </c>
      <c r="EY9" t="s">
        <v>59</v>
      </c>
      <c r="EZ9" t="s">
        <v>59</v>
      </c>
      <c r="FA9" t="s">
        <v>59</v>
      </c>
      <c r="FB9" t="s">
        <v>59</v>
      </c>
      <c r="FC9" t="s">
        <v>59</v>
      </c>
      <c r="FD9" t="s">
        <v>59</v>
      </c>
      <c r="FE9" t="s">
        <v>59</v>
      </c>
      <c r="FF9" t="s">
        <v>59</v>
      </c>
      <c r="FG9" t="s">
        <v>59</v>
      </c>
      <c r="FH9" t="s">
        <v>191</v>
      </c>
      <c r="FI9" t="s">
        <v>191</v>
      </c>
      <c r="FJ9" t="s">
        <v>59</v>
      </c>
      <c r="FK9" t="s">
        <v>59</v>
      </c>
      <c r="FL9" t="s">
        <v>59</v>
      </c>
      <c r="FM9" t="s">
        <v>59</v>
      </c>
      <c r="FN9" t="s">
        <v>59</v>
      </c>
      <c r="FO9" t="s">
        <v>59</v>
      </c>
      <c r="FP9" t="s">
        <v>59</v>
      </c>
      <c r="FQ9" t="s">
        <v>59</v>
      </c>
      <c r="FR9" t="s">
        <v>59</v>
      </c>
      <c r="FS9" t="s">
        <v>59</v>
      </c>
      <c r="FT9" t="s">
        <v>59</v>
      </c>
      <c r="FU9" t="s">
        <v>59</v>
      </c>
      <c r="FV9" t="s">
        <v>59</v>
      </c>
      <c r="FW9" t="s">
        <v>59</v>
      </c>
      <c r="FX9" t="s">
        <v>59</v>
      </c>
      <c r="FY9" t="s">
        <v>59</v>
      </c>
      <c r="FZ9" t="s">
        <v>59</v>
      </c>
      <c r="GA9" t="s">
        <v>59</v>
      </c>
      <c r="GB9" t="s">
        <v>59</v>
      </c>
      <c r="GC9" t="s">
        <v>59</v>
      </c>
      <c r="GD9" t="s">
        <v>59</v>
      </c>
      <c r="GE9" t="s">
        <v>59</v>
      </c>
      <c r="GF9" t="s">
        <v>59</v>
      </c>
      <c r="GG9" t="s">
        <v>59</v>
      </c>
      <c r="GH9" t="s">
        <v>59</v>
      </c>
      <c r="GI9" t="s">
        <v>59</v>
      </c>
      <c r="GJ9" t="s">
        <v>59</v>
      </c>
      <c r="GK9" t="s">
        <v>191</v>
      </c>
      <c r="GL9" t="s">
        <v>59</v>
      </c>
      <c r="GM9" t="s">
        <v>59</v>
      </c>
      <c r="GN9" t="s">
        <v>59</v>
      </c>
      <c r="GO9" t="s">
        <v>59</v>
      </c>
      <c r="GP9" t="s">
        <v>59</v>
      </c>
      <c r="GQ9" t="s">
        <v>59</v>
      </c>
      <c r="GR9" t="s">
        <v>59</v>
      </c>
      <c r="GS9" t="s">
        <v>59</v>
      </c>
      <c r="GT9" t="s">
        <v>59</v>
      </c>
      <c r="GU9" t="s">
        <v>59</v>
      </c>
      <c r="GV9" t="s">
        <v>59</v>
      </c>
      <c r="GW9" t="s">
        <v>59</v>
      </c>
      <c r="GX9" t="s">
        <v>59</v>
      </c>
      <c r="GY9" t="s">
        <v>59</v>
      </c>
      <c r="GZ9" t="s">
        <v>59</v>
      </c>
      <c r="HA9" t="s">
        <v>59</v>
      </c>
      <c r="HB9" t="s">
        <v>59</v>
      </c>
      <c r="HC9" t="s">
        <v>59</v>
      </c>
      <c r="HD9" t="s">
        <v>59</v>
      </c>
      <c r="HE9" t="s">
        <v>59</v>
      </c>
      <c r="HF9" t="s">
        <v>59</v>
      </c>
      <c r="HG9" t="s">
        <v>59</v>
      </c>
      <c r="HH9" t="s">
        <v>59</v>
      </c>
      <c r="HI9" t="s">
        <v>59</v>
      </c>
      <c r="HJ9" t="s">
        <v>191</v>
      </c>
      <c r="HK9" t="s">
        <v>191</v>
      </c>
      <c r="HL9" t="s">
        <v>59</v>
      </c>
      <c r="HM9" t="s">
        <v>191</v>
      </c>
      <c r="HN9" t="s">
        <v>191</v>
      </c>
      <c r="HO9" t="s">
        <v>191</v>
      </c>
      <c r="HP9" t="s">
        <v>59</v>
      </c>
      <c r="HQ9" t="s">
        <v>59</v>
      </c>
      <c r="HR9" t="s">
        <v>59</v>
      </c>
      <c r="HS9" t="s">
        <v>59</v>
      </c>
      <c r="HT9" t="s">
        <v>59</v>
      </c>
      <c r="HU9" t="s">
        <v>59</v>
      </c>
      <c r="HV9" t="s">
        <v>59</v>
      </c>
      <c r="HW9" t="s">
        <v>59</v>
      </c>
      <c r="HX9" t="s">
        <v>59</v>
      </c>
      <c r="HY9" t="s">
        <v>59</v>
      </c>
      <c r="HZ9" t="s">
        <v>59</v>
      </c>
      <c r="IA9" t="s">
        <v>59</v>
      </c>
      <c r="IB9" t="s">
        <v>59</v>
      </c>
      <c r="IC9" t="s">
        <v>59</v>
      </c>
      <c r="ID9" t="s">
        <v>59</v>
      </c>
      <c r="IE9" t="s">
        <v>59</v>
      </c>
      <c r="IF9" t="s">
        <v>59</v>
      </c>
      <c r="IG9" t="s">
        <v>59</v>
      </c>
      <c r="IH9" t="s">
        <v>59</v>
      </c>
      <c r="II9" t="s">
        <v>59</v>
      </c>
      <c r="IJ9" t="s">
        <v>129</v>
      </c>
      <c r="IK9" t="s">
        <v>198</v>
      </c>
      <c r="IL9" t="s">
        <v>128</v>
      </c>
      <c r="IM9" t="s">
        <v>199</v>
      </c>
      <c r="IN9">
        <v>30</v>
      </c>
      <c r="IO9" t="s">
        <v>2730</v>
      </c>
      <c r="IP9">
        <v>2</v>
      </c>
      <c r="IQ9" t="s">
        <v>2730</v>
      </c>
      <c r="IR9">
        <v>14</v>
      </c>
      <c r="IS9" t="s">
        <v>2730</v>
      </c>
      <c r="IT9">
        <v>1</v>
      </c>
      <c r="IU9" t="s">
        <v>2730</v>
      </c>
      <c r="IV9">
        <v>19</v>
      </c>
      <c r="IW9" t="s">
        <v>2730</v>
      </c>
      <c r="IX9" t="s">
        <v>2730</v>
      </c>
      <c r="IY9" t="s">
        <v>2730</v>
      </c>
      <c r="IZ9">
        <v>57</v>
      </c>
      <c r="JA9" t="s">
        <v>2730</v>
      </c>
      <c r="JB9">
        <v>2</v>
      </c>
      <c r="JC9" t="s">
        <v>2730</v>
      </c>
      <c r="JD9">
        <v>25</v>
      </c>
      <c r="JE9" t="s">
        <v>2730</v>
      </c>
      <c r="JF9">
        <v>1</v>
      </c>
      <c r="JG9" t="s">
        <v>2730</v>
      </c>
      <c r="JH9">
        <v>25</v>
      </c>
      <c r="JI9" t="s">
        <v>2730</v>
      </c>
      <c r="JJ9">
        <v>5</v>
      </c>
      <c r="JK9" t="s">
        <v>2730</v>
      </c>
      <c r="JL9">
        <v>16</v>
      </c>
      <c r="JM9" t="s">
        <v>2730</v>
      </c>
      <c r="JN9" t="s">
        <v>2730</v>
      </c>
      <c r="JO9">
        <v>4</v>
      </c>
      <c r="JP9" t="s">
        <v>2730</v>
      </c>
      <c r="JQ9" t="s">
        <v>2730</v>
      </c>
    </row>
    <row r="10" spans="1:277">
      <c r="A10" s="149" t="str">
        <f>HYPERLINK("http://www.ofsted.gov.uk/inspection-reports/find-inspection-report/provider/ELS/119845 ","Ofsted School Webpage")</f>
        <v>Ofsted School Webpage</v>
      </c>
      <c r="B10">
        <v>1132460</v>
      </c>
      <c r="C10">
        <v>119845</v>
      </c>
      <c r="D10">
        <v>8886020</v>
      </c>
      <c r="E10" t="s">
        <v>274</v>
      </c>
      <c r="F10" t="s">
        <v>38</v>
      </c>
      <c r="G10" t="s">
        <v>180</v>
      </c>
      <c r="H10" t="s">
        <v>205</v>
      </c>
      <c r="I10" t="s">
        <v>205</v>
      </c>
      <c r="J10" t="s">
        <v>206</v>
      </c>
      <c r="K10" t="s">
        <v>275</v>
      </c>
      <c r="L10" t="s">
        <v>184</v>
      </c>
      <c r="M10" t="s">
        <v>185</v>
      </c>
      <c r="N10" t="s">
        <v>184</v>
      </c>
      <c r="O10" t="s">
        <v>2730</v>
      </c>
      <c r="P10" t="s">
        <v>186</v>
      </c>
      <c r="Q10">
        <v>10038838</v>
      </c>
      <c r="R10" s="120">
        <v>43018</v>
      </c>
      <c r="S10" s="120">
        <v>43020</v>
      </c>
      <c r="T10" s="120">
        <v>43068</v>
      </c>
      <c r="U10" t="s">
        <v>2730</v>
      </c>
      <c r="V10" t="s">
        <v>267</v>
      </c>
      <c r="W10" t="s">
        <v>2730</v>
      </c>
      <c r="X10" t="s">
        <v>197</v>
      </c>
      <c r="Y10">
        <v>1</v>
      </c>
      <c r="Z10">
        <v>1</v>
      </c>
      <c r="AA10">
        <v>1</v>
      </c>
      <c r="AB10">
        <v>1</v>
      </c>
      <c r="AC10">
        <v>1</v>
      </c>
      <c r="AD10" t="s">
        <v>2730</v>
      </c>
      <c r="AE10">
        <v>1</v>
      </c>
      <c r="AF10" t="s">
        <v>128</v>
      </c>
      <c r="AG10" t="s">
        <v>2730</v>
      </c>
      <c r="AH10" t="s">
        <v>2732</v>
      </c>
      <c r="AI10" t="s">
        <v>59</v>
      </c>
      <c r="AJ10" t="s">
        <v>59</v>
      </c>
      <c r="AK10" t="s">
        <v>59</v>
      </c>
      <c r="AL10" t="s">
        <v>59</v>
      </c>
      <c r="AM10" t="s">
        <v>59</v>
      </c>
      <c r="AN10" t="s">
        <v>59</v>
      </c>
      <c r="AO10" t="s">
        <v>59</v>
      </c>
      <c r="AP10" t="s">
        <v>59</v>
      </c>
      <c r="AQ10" t="s">
        <v>59</v>
      </c>
      <c r="AR10" t="s">
        <v>59</v>
      </c>
      <c r="AS10" t="s">
        <v>59</v>
      </c>
      <c r="AT10" t="s">
        <v>59</v>
      </c>
      <c r="AU10" t="s">
        <v>59</v>
      </c>
      <c r="AV10" t="s">
        <v>59</v>
      </c>
      <c r="AW10" t="s">
        <v>59</v>
      </c>
      <c r="AX10" t="s">
        <v>59</v>
      </c>
      <c r="AY10" t="s">
        <v>59</v>
      </c>
      <c r="AZ10" t="s">
        <v>59</v>
      </c>
      <c r="BA10" t="s">
        <v>59</v>
      </c>
      <c r="BB10" t="s">
        <v>59</v>
      </c>
      <c r="BC10" t="s">
        <v>59</v>
      </c>
      <c r="BD10" t="s">
        <v>59</v>
      </c>
      <c r="BE10" t="s">
        <v>59</v>
      </c>
      <c r="BF10" t="s">
        <v>59</v>
      </c>
      <c r="BG10" t="s">
        <v>59</v>
      </c>
      <c r="BH10" t="s">
        <v>59</v>
      </c>
      <c r="BI10" t="s">
        <v>59</v>
      </c>
      <c r="BJ10" t="s">
        <v>59</v>
      </c>
      <c r="BK10" t="s">
        <v>59</v>
      </c>
      <c r="BL10" t="s">
        <v>59</v>
      </c>
      <c r="BM10" t="s">
        <v>59</v>
      </c>
      <c r="BN10" t="s">
        <v>59</v>
      </c>
      <c r="BO10" t="s">
        <v>59</v>
      </c>
      <c r="BP10" t="s">
        <v>59</v>
      </c>
      <c r="BQ10" t="s">
        <v>59</v>
      </c>
      <c r="BR10" t="s">
        <v>59</v>
      </c>
      <c r="BS10" t="s">
        <v>59</v>
      </c>
      <c r="BT10" t="s">
        <v>59</v>
      </c>
      <c r="BU10" t="s">
        <v>59</v>
      </c>
      <c r="BV10" t="s">
        <v>59</v>
      </c>
      <c r="BW10" t="s">
        <v>59</v>
      </c>
      <c r="BX10" t="s">
        <v>59</v>
      </c>
      <c r="BY10" t="s">
        <v>59</v>
      </c>
      <c r="BZ10" t="s">
        <v>59</v>
      </c>
      <c r="CA10" t="s">
        <v>59</v>
      </c>
      <c r="CB10" t="s">
        <v>59</v>
      </c>
      <c r="CC10" t="s">
        <v>59</v>
      </c>
      <c r="CD10" t="s">
        <v>59</v>
      </c>
      <c r="CE10" t="s">
        <v>59</v>
      </c>
      <c r="CF10" t="s">
        <v>59</v>
      </c>
      <c r="CG10" t="s">
        <v>59</v>
      </c>
      <c r="CH10" t="s">
        <v>59</v>
      </c>
      <c r="CI10" t="s">
        <v>59</v>
      </c>
      <c r="CJ10" t="s">
        <v>59</v>
      </c>
      <c r="CK10" t="s">
        <v>59</v>
      </c>
      <c r="CL10" t="s">
        <v>59</v>
      </c>
      <c r="CM10" t="s">
        <v>59</v>
      </c>
      <c r="CN10" t="s">
        <v>59</v>
      </c>
      <c r="CO10" t="s">
        <v>59</v>
      </c>
      <c r="CP10" t="s">
        <v>59</v>
      </c>
      <c r="CQ10" t="s">
        <v>59</v>
      </c>
      <c r="CR10" t="s">
        <v>59</v>
      </c>
      <c r="CS10" t="s">
        <v>59</v>
      </c>
      <c r="CT10" t="s">
        <v>59</v>
      </c>
      <c r="CU10" t="s">
        <v>59</v>
      </c>
      <c r="CV10" t="s">
        <v>59</v>
      </c>
      <c r="CW10" t="s">
        <v>59</v>
      </c>
      <c r="CX10" t="s">
        <v>59</v>
      </c>
      <c r="CY10" t="s">
        <v>59</v>
      </c>
      <c r="CZ10" t="s">
        <v>59</v>
      </c>
      <c r="DA10" t="s">
        <v>59</v>
      </c>
      <c r="DB10" t="s">
        <v>59</v>
      </c>
      <c r="DC10" t="s">
        <v>59</v>
      </c>
      <c r="DD10" t="s">
        <v>59</v>
      </c>
      <c r="DE10" t="s">
        <v>59</v>
      </c>
      <c r="DF10" t="s">
        <v>59</v>
      </c>
      <c r="DG10" t="s">
        <v>59</v>
      </c>
      <c r="DH10" t="s">
        <v>59</v>
      </c>
      <c r="DI10" t="s">
        <v>59</v>
      </c>
      <c r="DJ10" t="s">
        <v>59</v>
      </c>
      <c r="DK10" t="s">
        <v>59</v>
      </c>
      <c r="DL10" t="s">
        <v>59</v>
      </c>
      <c r="DM10" t="s">
        <v>59</v>
      </c>
      <c r="DN10" t="s">
        <v>59</v>
      </c>
      <c r="DO10" t="s">
        <v>59</v>
      </c>
      <c r="DP10" t="s">
        <v>59</v>
      </c>
      <c r="DQ10" t="s">
        <v>59</v>
      </c>
      <c r="DR10" t="s">
        <v>59</v>
      </c>
      <c r="DS10" t="s">
        <v>59</v>
      </c>
      <c r="DT10" t="s">
        <v>59</v>
      </c>
      <c r="DU10" t="s">
        <v>59</v>
      </c>
      <c r="DV10" t="s">
        <v>59</v>
      </c>
      <c r="DW10" t="s">
        <v>59</v>
      </c>
      <c r="DX10" t="s">
        <v>59</v>
      </c>
      <c r="DY10" t="s">
        <v>59</v>
      </c>
      <c r="DZ10" t="s">
        <v>59</v>
      </c>
      <c r="EA10" t="s">
        <v>59</v>
      </c>
      <c r="EB10" t="s">
        <v>59</v>
      </c>
      <c r="EC10" t="s">
        <v>59</v>
      </c>
      <c r="ED10" t="s">
        <v>59</v>
      </c>
      <c r="EE10" t="s">
        <v>59</v>
      </c>
      <c r="EF10" t="s">
        <v>59</v>
      </c>
      <c r="EG10" t="s">
        <v>59</v>
      </c>
      <c r="EH10" t="s">
        <v>59</v>
      </c>
      <c r="EI10" t="s">
        <v>59</v>
      </c>
      <c r="EJ10" t="s">
        <v>59</v>
      </c>
      <c r="EK10" t="s">
        <v>59</v>
      </c>
      <c r="EL10" t="s">
        <v>59</v>
      </c>
      <c r="EM10" t="s">
        <v>59</v>
      </c>
      <c r="EN10" t="s">
        <v>59</v>
      </c>
      <c r="EO10" t="s">
        <v>59</v>
      </c>
      <c r="EP10" t="s">
        <v>59</v>
      </c>
      <c r="EQ10" t="s">
        <v>59</v>
      </c>
      <c r="ER10" t="s">
        <v>59</v>
      </c>
      <c r="ES10" t="s">
        <v>59</v>
      </c>
      <c r="ET10" t="s">
        <v>59</v>
      </c>
      <c r="EU10" t="s">
        <v>59</v>
      </c>
      <c r="EV10" t="s">
        <v>59</v>
      </c>
      <c r="EW10" t="s">
        <v>59</v>
      </c>
      <c r="EX10" t="s">
        <v>59</v>
      </c>
      <c r="EY10" t="s">
        <v>59</v>
      </c>
      <c r="EZ10" t="s">
        <v>59</v>
      </c>
      <c r="FA10" t="s">
        <v>59</v>
      </c>
      <c r="FB10" t="s">
        <v>59</v>
      </c>
      <c r="FC10" t="s">
        <v>59</v>
      </c>
      <c r="FD10" t="s">
        <v>59</v>
      </c>
      <c r="FE10" t="s">
        <v>59</v>
      </c>
      <c r="FF10" t="s">
        <v>59</v>
      </c>
      <c r="FG10" t="s">
        <v>59</v>
      </c>
      <c r="FH10" t="s">
        <v>59</v>
      </c>
      <c r="FI10" t="s">
        <v>59</v>
      </c>
      <c r="FJ10" t="s">
        <v>59</v>
      </c>
      <c r="FK10" t="s">
        <v>59</v>
      </c>
      <c r="FL10" t="s">
        <v>59</v>
      </c>
      <c r="FM10" t="s">
        <v>59</v>
      </c>
      <c r="FN10" t="s">
        <v>59</v>
      </c>
      <c r="FO10" t="s">
        <v>59</v>
      </c>
      <c r="FP10" t="s">
        <v>59</v>
      </c>
      <c r="FQ10" t="s">
        <v>59</v>
      </c>
      <c r="FR10" t="s">
        <v>59</v>
      </c>
      <c r="FS10" t="s">
        <v>59</v>
      </c>
      <c r="FT10" t="s">
        <v>59</v>
      </c>
      <c r="FU10" t="s">
        <v>59</v>
      </c>
      <c r="FV10" t="s">
        <v>59</v>
      </c>
      <c r="FW10" t="s">
        <v>59</v>
      </c>
      <c r="FX10" t="s">
        <v>59</v>
      </c>
      <c r="FY10" t="s">
        <v>59</v>
      </c>
      <c r="FZ10" t="s">
        <v>59</v>
      </c>
      <c r="GA10" t="s">
        <v>59</v>
      </c>
      <c r="GB10" t="s">
        <v>59</v>
      </c>
      <c r="GC10" t="s">
        <v>59</v>
      </c>
      <c r="GD10" t="s">
        <v>59</v>
      </c>
      <c r="GE10" t="s">
        <v>59</v>
      </c>
      <c r="GF10" t="s">
        <v>59</v>
      </c>
      <c r="GG10" t="s">
        <v>59</v>
      </c>
      <c r="GH10" t="s">
        <v>59</v>
      </c>
      <c r="GI10" t="s">
        <v>59</v>
      </c>
      <c r="GJ10" t="s">
        <v>59</v>
      </c>
      <c r="GK10" t="s">
        <v>59</v>
      </c>
      <c r="GL10" t="s">
        <v>59</v>
      </c>
      <c r="GM10" t="s">
        <v>59</v>
      </c>
      <c r="GN10" t="s">
        <v>59</v>
      </c>
      <c r="GO10" t="s">
        <v>59</v>
      </c>
      <c r="GP10" t="s">
        <v>59</v>
      </c>
      <c r="GQ10" t="s">
        <v>59</v>
      </c>
      <c r="GR10" t="s">
        <v>59</v>
      </c>
      <c r="GS10" t="s">
        <v>59</v>
      </c>
      <c r="GT10" t="s">
        <v>59</v>
      </c>
      <c r="GU10" t="s">
        <v>59</v>
      </c>
      <c r="GV10" t="s">
        <v>59</v>
      </c>
      <c r="GW10" t="s">
        <v>59</v>
      </c>
      <c r="GX10" t="s">
        <v>59</v>
      </c>
      <c r="GY10" t="s">
        <v>59</v>
      </c>
      <c r="GZ10" t="s">
        <v>59</v>
      </c>
      <c r="HA10" t="s">
        <v>59</v>
      </c>
      <c r="HB10" t="s">
        <v>59</v>
      </c>
      <c r="HC10" t="s">
        <v>59</v>
      </c>
      <c r="HD10" t="s">
        <v>59</v>
      </c>
      <c r="HE10" t="s">
        <v>59</v>
      </c>
      <c r="HF10" t="s">
        <v>59</v>
      </c>
      <c r="HG10" t="s">
        <v>59</v>
      </c>
      <c r="HH10" t="s">
        <v>59</v>
      </c>
      <c r="HI10" t="s">
        <v>59</v>
      </c>
      <c r="HJ10" t="s">
        <v>59</v>
      </c>
      <c r="HK10" t="s">
        <v>59</v>
      </c>
      <c r="HL10" t="s">
        <v>59</v>
      </c>
      <c r="HM10" t="s">
        <v>59</v>
      </c>
      <c r="HN10" t="s">
        <v>59</v>
      </c>
      <c r="HO10" t="s">
        <v>59</v>
      </c>
      <c r="HP10" t="s">
        <v>59</v>
      </c>
      <c r="HQ10" t="s">
        <v>59</v>
      </c>
      <c r="HR10" t="s">
        <v>59</v>
      </c>
      <c r="HS10" t="s">
        <v>59</v>
      </c>
      <c r="HT10" t="s">
        <v>59</v>
      </c>
      <c r="HU10" t="s">
        <v>59</v>
      </c>
      <c r="HV10" t="s">
        <v>59</v>
      </c>
      <c r="HW10" t="s">
        <v>59</v>
      </c>
      <c r="HX10" t="s">
        <v>59</v>
      </c>
      <c r="HY10" t="s">
        <v>59</v>
      </c>
      <c r="HZ10" t="s">
        <v>59</v>
      </c>
      <c r="IA10" t="s">
        <v>59</v>
      </c>
      <c r="IB10" t="s">
        <v>59</v>
      </c>
      <c r="IC10" t="s">
        <v>59</v>
      </c>
      <c r="ID10" t="s">
        <v>59</v>
      </c>
      <c r="IE10" t="s">
        <v>59</v>
      </c>
      <c r="IF10" t="s">
        <v>59</v>
      </c>
      <c r="IG10" t="s">
        <v>59</v>
      </c>
      <c r="IH10" t="s">
        <v>59</v>
      </c>
      <c r="II10" t="s">
        <v>59</v>
      </c>
      <c r="IJ10" t="s">
        <v>129</v>
      </c>
      <c r="IK10" t="s">
        <v>2730</v>
      </c>
      <c r="IL10" t="s">
        <v>128</v>
      </c>
      <c r="IM10" t="s">
        <v>199</v>
      </c>
      <c r="IN10">
        <v>32</v>
      </c>
      <c r="IO10" t="s">
        <v>2730</v>
      </c>
      <c r="IP10" t="s">
        <v>2730</v>
      </c>
      <c r="IQ10" t="s">
        <v>2730</v>
      </c>
      <c r="IR10">
        <v>15</v>
      </c>
      <c r="IS10" t="s">
        <v>2730</v>
      </c>
      <c r="IT10" t="s">
        <v>2730</v>
      </c>
      <c r="IU10" t="s">
        <v>2730</v>
      </c>
      <c r="IV10">
        <v>19</v>
      </c>
      <c r="IW10" t="s">
        <v>2730</v>
      </c>
      <c r="IX10" t="s">
        <v>2730</v>
      </c>
      <c r="IY10" t="s">
        <v>2730</v>
      </c>
      <c r="IZ10">
        <v>59</v>
      </c>
      <c r="JA10" t="s">
        <v>2730</v>
      </c>
      <c r="JB10" t="s">
        <v>2730</v>
      </c>
      <c r="JC10" t="s">
        <v>2730</v>
      </c>
      <c r="JD10">
        <v>26</v>
      </c>
      <c r="JE10" t="s">
        <v>2730</v>
      </c>
      <c r="JF10" t="s">
        <v>2730</v>
      </c>
      <c r="JG10" t="s">
        <v>2730</v>
      </c>
      <c r="JH10">
        <v>30</v>
      </c>
      <c r="JI10" t="s">
        <v>2730</v>
      </c>
      <c r="JJ10" t="s">
        <v>2730</v>
      </c>
      <c r="JK10" t="s">
        <v>2730</v>
      </c>
      <c r="JL10">
        <v>16</v>
      </c>
      <c r="JM10" t="s">
        <v>2730</v>
      </c>
      <c r="JN10" t="s">
        <v>2730</v>
      </c>
      <c r="JO10">
        <v>4</v>
      </c>
      <c r="JP10" t="s">
        <v>2730</v>
      </c>
      <c r="JQ10" t="s">
        <v>2730</v>
      </c>
    </row>
    <row r="11" spans="1:277">
      <c r="A11" s="149" t="str">
        <f>HYPERLINK("http://www.ofsted.gov.uk/inspection-reports/find-inspection-report/provider/ELS/135608 ","Ofsted School Webpage")</f>
        <v>Ofsted School Webpage</v>
      </c>
      <c r="B11">
        <v>1132707</v>
      </c>
      <c r="C11">
        <v>135608</v>
      </c>
      <c r="D11">
        <v>3306129</v>
      </c>
      <c r="E11" t="s">
        <v>208</v>
      </c>
      <c r="F11" t="s">
        <v>37</v>
      </c>
      <c r="G11" t="s">
        <v>209</v>
      </c>
      <c r="H11" t="s">
        <v>193</v>
      </c>
      <c r="I11" t="s">
        <v>193</v>
      </c>
      <c r="J11" t="s">
        <v>210</v>
      </c>
      <c r="K11" t="s">
        <v>211</v>
      </c>
      <c r="L11" t="s">
        <v>184</v>
      </c>
      <c r="M11" t="s">
        <v>185</v>
      </c>
      <c r="N11" t="s">
        <v>212</v>
      </c>
      <c r="O11" t="s">
        <v>2730</v>
      </c>
      <c r="P11" t="s">
        <v>186</v>
      </c>
      <c r="Q11">
        <v>10006093</v>
      </c>
      <c r="R11" s="120">
        <v>43011</v>
      </c>
      <c r="S11" s="120">
        <v>43013</v>
      </c>
      <c r="T11" s="120">
        <v>43045</v>
      </c>
      <c r="U11" t="s">
        <v>2730</v>
      </c>
      <c r="V11" t="s">
        <v>196</v>
      </c>
      <c r="W11" t="s">
        <v>2730</v>
      </c>
      <c r="X11" t="s">
        <v>197</v>
      </c>
      <c r="Y11">
        <v>2</v>
      </c>
      <c r="Z11">
        <v>2</v>
      </c>
      <c r="AA11">
        <v>2</v>
      </c>
      <c r="AB11">
        <v>2</v>
      </c>
      <c r="AC11">
        <v>2</v>
      </c>
      <c r="AD11" t="s">
        <v>2730</v>
      </c>
      <c r="AE11" t="s">
        <v>2730</v>
      </c>
      <c r="AF11" t="s">
        <v>128</v>
      </c>
      <c r="AG11" t="s">
        <v>2730</v>
      </c>
      <c r="AH11" t="s">
        <v>2732</v>
      </c>
      <c r="AI11" t="s">
        <v>59</v>
      </c>
      <c r="AJ11" t="s">
        <v>59</v>
      </c>
      <c r="AK11" t="s">
        <v>59</v>
      </c>
      <c r="AL11" t="s">
        <v>59</v>
      </c>
      <c r="AM11" t="s">
        <v>59</v>
      </c>
      <c r="AN11" t="s">
        <v>59</v>
      </c>
      <c r="AO11" t="s">
        <v>59</v>
      </c>
      <c r="AP11" t="s">
        <v>59</v>
      </c>
      <c r="AQ11" t="s">
        <v>59</v>
      </c>
      <c r="AR11" t="s">
        <v>59</v>
      </c>
      <c r="AS11" t="s">
        <v>59</v>
      </c>
      <c r="AT11" t="s">
        <v>59</v>
      </c>
      <c r="AU11" t="s">
        <v>59</v>
      </c>
      <c r="AV11" t="s">
        <v>59</v>
      </c>
      <c r="AW11" t="s">
        <v>59</v>
      </c>
      <c r="AX11" t="s">
        <v>59</v>
      </c>
      <c r="AY11" t="s">
        <v>191</v>
      </c>
      <c r="AZ11" t="s">
        <v>59</v>
      </c>
      <c r="BA11" t="s">
        <v>59</v>
      </c>
      <c r="BB11" t="s">
        <v>59</v>
      </c>
      <c r="BC11" t="s">
        <v>59</v>
      </c>
      <c r="BD11" t="s">
        <v>59</v>
      </c>
      <c r="BE11" t="s">
        <v>59</v>
      </c>
      <c r="BF11" t="s">
        <v>59</v>
      </c>
      <c r="BG11" t="s">
        <v>191</v>
      </c>
      <c r="BH11" t="s">
        <v>191</v>
      </c>
      <c r="BI11" t="s">
        <v>59</v>
      </c>
      <c r="BJ11" t="s">
        <v>59</v>
      </c>
      <c r="BK11" t="s">
        <v>59</v>
      </c>
      <c r="BL11" t="s">
        <v>59</v>
      </c>
      <c r="BM11" t="s">
        <v>59</v>
      </c>
      <c r="BN11" t="s">
        <v>59</v>
      </c>
      <c r="BO11" t="s">
        <v>59</v>
      </c>
      <c r="BP11" t="s">
        <v>59</v>
      </c>
      <c r="BQ11" t="s">
        <v>59</v>
      </c>
      <c r="BR11" t="s">
        <v>59</v>
      </c>
      <c r="BS11" t="s">
        <v>59</v>
      </c>
      <c r="BT11" t="s">
        <v>59</v>
      </c>
      <c r="BU11" t="s">
        <v>59</v>
      </c>
      <c r="BV11" t="s">
        <v>59</v>
      </c>
      <c r="BW11" t="s">
        <v>59</v>
      </c>
      <c r="BX11" t="s">
        <v>59</v>
      </c>
      <c r="BY11" t="s">
        <v>59</v>
      </c>
      <c r="BZ11" t="s">
        <v>59</v>
      </c>
      <c r="CA11" t="s">
        <v>59</v>
      </c>
      <c r="CB11" t="s">
        <v>59</v>
      </c>
      <c r="CC11" t="s">
        <v>59</v>
      </c>
      <c r="CD11" t="s">
        <v>59</v>
      </c>
      <c r="CE11" t="s">
        <v>59</v>
      </c>
      <c r="CF11" t="s">
        <v>59</v>
      </c>
      <c r="CG11" t="s">
        <v>59</v>
      </c>
      <c r="CH11" t="s">
        <v>59</v>
      </c>
      <c r="CI11" t="s">
        <v>59</v>
      </c>
      <c r="CJ11" t="s">
        <v>59</v>
      </c>
      <c r="CK11" t="s">
        <v>59</v>
      </c>
      <c r="CL11" t="s">
        <v>59</v>
      </c>
      <c r="CM11" t="s">
        <v>59</v>
      </c>
      <c r="CN11" t="s">
        <v>59</v>
      </c>
      <c r="CO11" t="s">
        <v>191</v>
      </c>
      <c r="CP11" t="s">
        <v>191</v>
      </c>
      <c r="CQ11" t="s">
        <v>191</v>
      </c>
      <c r="CR11" t="s">
        <v>59</v>
      </c>
      <c r="CS11" t="s">
        <v>59</v>
      </c>
      <c r="CT11" t="s">
        <v>59</v>
      </c>
      <c r="CU11" t="s">
        <v>59</v>
      </c>
      <c r="CV11" t="s">
        <v>59</v>
      </c>
      <c r="CW11" t="s">
        <v>59</v>
      </c>
      <c r="CX11" t="s">
        <v>59</v>
      </c>
      <c r="CY11" t="s">
        <v>59</v>
      </c>
      <c r="CZ11" t="s">
        <v>59</v>
      </c>
      <c r="DA11" t="s">
        <v>59</v>
      </c>
      <c r="DB11" t="s">
        <v>59</v>
      </c>
      <c r="DC11" t="s">
        <v>59</v>
      </c>
      <c r="DD11" t="s">
        <v>59</v>
      </c>
      <c r="DE11" t="s">
        <v>59</v>
      </c>
      <c r="DF11" t="s">
        <v>59</v>
      </c>
      <c r="DG11" t="s">
        <v>59</v>
      </c>
      <c r="DH11" t="s">
        <v>59</v>
      </c>
      <c r="DI11" t="s">
        <v>59</v>
      </c>
      <c r="DJ11" t="s">
        <v>59</v>
      </c>
      <c r="DK11" t="s">
        <v>59</v>
      </c>
      <c r="DL11" t="s">
        <v>59</v>
      </c>
      <c r="DM11" t="s">
        <v>59</v>
      </c>
      <c r="DN11" t="s">
        <v>59</v>
      </c>
      <c r="DO11" t="s">
        <v>191</v>
      </c>
      <c r="DP11" t="s">
        <v>59</v>
      </c>
      <c r="DQ11" t="s">
        <v>191</v>
      </c>
      <c r="DR11" t="s">
        <v>191</v>
      </c>
      <c r="DS11" t="s">
        <v>191</v>
      </c>
      <c r="DT11" t="s">
        <v>191</v>
      </c>
      <c r="DU11" t="s">
        <v>191</v>
      </c>
      <c r="DV11" t="s">
        <v>191</v>
      </c>
      <c r="DW11" t="s">
        <v>191</v>
      </c>
      <c r="DX11" t="s">
        <v>191</v>
      </c>
      <c r="DY11" t="s">
        <v>191</v>
      </c>
      <c r="DZ11" t="s">
        <v>191</v>
      </c>
      <c r="EA11" t="s">
        <v>191</v>
      </c>
      <c r="EB11" t="s">
        <v>191</v>
      </c>
      <c r="EC11" t="s">
        <v>191</v>
      </c>
      <c r="ED11" t="s">
        <v>59</v>
      </c>
      <c r="EE11" t="s">
        <v>59</v>
      </c>
      <c r="EF11" t="s">
        <v>59</v>
      </c>
      <c r="EG11" t="s">
        <v>59</v>
      </c>
      <c r="EH11" t="s">
        <v>59</v>
      </c>
      <c r="EI11" t="s">
        <v>59</v>
      </c>
      <c r="EJ11" t="s">
        <v>59</v>
      </c>
      <c r="EK11" t="s">
        <v>59</v>
      </c>
      <c r="EL11" t="s">
        <v>59</v>
      </c>
      <c r="EM11" t="s">
        <v>59</v>
      </c>
      <c r="EN11" t="s">
        <v>59</v>
      </c>
      <c r="EO11" t="s">
        <v>59</v>
      </c>
      <c r="EP11" t="s">
        <v>59</v>
      </c>
      <c r="EQ11" t="s">
        <v>59</v>
      </c>
      <c r="ER11" t="s">
        <v>59</v>
      </c>
      <c r="ES11" t="s">
        <v>59</v>
      </c>
      <c r="ET11" t="s">
        <v>59</v>
      </c>
      <c r="EU11" t="s">
        <v>59</v>
      </c>
      <c r="EV11" t="s">
        <v>59</v>
      </c>
      <c r="EW11" t="s">
        <v>59</v>
      </c>
      <c r="EX11" t="s">
        <v>59</v>
      </c>
      <c r="EY11" t="s">
        <v>59</v>
      </c>
      <c r="EZ11" t="s">
        <v>59</v>
      </c>
      <c r="FA11" t="s">
        <v>191</v>
      </c>
      <c r="FB11" t="s">
        <v>191</v>
      </c>
      <c r="FC11" t="s">
        <v>191</v>
      </c>
      <c r="FD11" t="s">
        <v>191</v>
      </c>
      <c r="FE11" t="s">
        <v>191</v>
      </c>
      <c r="FF11" t="s">
        <v>191</v>
      </c>
      <c r="FG11" t="s">
        <v>191</v>
      </c>
      <c r="FH11" t="s">
        <v>191</v>
      </c>
      <c r="FI11" t="s">
        <v>191</v>
      </c>
      <c r="FJ11" t="s">
        <v>191</v>
      </c>
      <c r="FK11" t="s">
        <v>191</v>
      </c>
      <c r="FL11" t="s">
        <v>59</v>
      </c>
      <c r="FM11" t="s">
        <v>59</v>
      </c>
      <c r="FN11" t="s">
        <v>59</v>
      </c>
      <c r="FO11" t="s">
        <v>59</v>
      </c>
      <c r="FP11" t="s">
        <v>59</v>
      </c>
      <c r="FQ11" t="s">
        <v>59</v>
      </c>
      <c r="FR11" t="s">
        <v>59</v>
      </c>
      <c r="FS11" t="s">
        <v>191</v>
      </c>
      <c r="FT11" t="s">
        <v>59</v>
      </c>
      <c r="FU11" t="s">
        <v>59</v>
      </c>
      <c r="FV11" t="s">
        <v>59</v>
      </c>
      <c r="FW11" t="s">
        <v>59</v>
      </c>
      <c r="FX11" t="s">
        <v>59</v>
      </c>
      <c r="FY11" t="s">
        <v>59</v>
      </c>
      <c r="FZ11" t="s">
        <v>59</v>
      </c>
      <c r="GA11" t="s">
        <v>59</v>
      </c>
      <c r="GB11" t="s">
        <v>59</v>
      </c>
      <c r="GC11" t="s">
        <v>59</v>
      </c>
      <c r="GD11" t="s">
        <v>59</v>
      </c>
      <c r="GE11" t="s">
        <v>59</v>
      </c>
      <c r="GF11" t="s">
        <v>59</v>
      </c>
      <c r="GG11" t="s">
        <v>59</v>
      </c>
      <c r="GH11" t="s">
        <v>59</v>
      </c>
      <c r="GI11" t="s">
        <v>59</v>
      </c>
      <c r="GJ11" t="s">
        <v>59</v>
      </c>
      <c r="GK11" t="s">
        <v>191</v>
      </c>
      <c r="GL11" t="s">
        <v>59</v>
      </c>
      <c r="GM11" t="s">
        <v>59</v>
      </c>
      <c r="GN11" t="s">
        <v>59</v>
      </c>
      <c r="GO11" t="s">
        <v>59</v>
      </c>
      <c r="GP11" t="s">
        <v>59</v>
      </c>
      <c r="GQ11" t="s">
        <v>191</v>
      </c>
      <c r="GR11" t="s">
        <v>59</v>
      </c>
      <c r="GS11" t="s">
        <v>59</v>
      </c>
      <c r="GT11" t="s">
        <v>191</v>
      </c>
      <c r="GU11" t="s">
        <v>59</v>
      </c>
      <c r="GV11" t="s">
        <v>59</v>
      </c>
      <c r="GW11" t="s">
        <v>59</v>
      </c>
      <c r="GX11" t="s">
        <v>59</v>
      </c>
      <c r="GY11" t="s">
        <v>59</v>
      </c>
      <c r="GZ11" t="s">
        <v>191</v>
      </c>
      <c r="HA11" t="s">
        <v>59</v>
      </c>
      <c r="HB11" t="s">
        <v>59</v>
      </c>
      <c r="HC11" t="s">
        <v>59</v>
      </c>
      <c r="HD11" t="s">
        <v>59</v>
      </c>
      <c r="HE11" t="s">
        <v>59</v>
      </c>
      <c r="HF11" t="s">
        <v>59</v>
      </c>
      <c r="HG11" t="s">
        <v>59</v>
      </c>
      <c r="HH11" t="s">
        <v>59</v>
      </c>
      <c r="HI11" t="s">
        <v>59</v>
      </c>
      <c r="HJ11" t="s">
        <v>59</v>
      </c>
      <c r="HK11" t="s">
        <v>59</v>
      </c>
      <c r="HL11" t="s">
        <v>59</v>
      </c>
      <c r="HM11" t="s">
        <v>191</v>
      </c>
      <c r="HN11" t="s">
        <v>191</v>
      </c>
      <c r="HO11" t="s">
        <v>191</v>
      </c>
      <c r="HP11" t="s">
        <v>59</v>
      </c>
      <c r="HQ11" t="s">
        <v>59</v>
      </c>
      <c r="HR11" t="s">
        <v>59</v>
      </c>
      <c r="HS11" t="s">
        <v>59</v>
      </c>
      <c r="HT11" t="s">
        <v>59</v>
      </c>
      <c r="HU11" t="s">
        <v>59</v>
      </c>
      <c r="HV11" t="s">
        <v>59</v>
      </c>
      <c r="HW11" t="s">
        <v>59</v>
      </c>
      <c r="HX11" t="s">
        <v>59</v>
      </c>
      <c r="HY11" t="s">
        <v>59</v>
      </c>
      <c r="HZ11" t="s">
        <v>59</v>
      </c>
      <c r="IA11" t="s">
        <v>59</v>
      </c>
      <c r="IB11" t="s">
        <v>59</v>
      </c>
      <c r="IC11" t="s">
        <v>59</v>
      </c>
      <c r="ID11" t="s">
        <v>59</v>
      </c>
      <c r="IE11" t="s">
        <v>59</v>
      </c>
      <c r="IF11" t="s">
        <v>59</v>
      </c>
      <c r="IG11" t="s">
        <v>59</v>
      </c>
      <c r="IH11" t="s">
        <v>59</v>
      </c>
      <c r="II11" t="s">
        <v>59</v>
      </c>
      <c r="IJ11" t="s">
        <v>129</v>
      </c>
      <c r="IK11" t="s">
        <v>198</v>
      </c>
      <c r="IL11" t="s">
        <v>128</v>
      </c>
      <c r="IM11" t="s">
        <v>199</v>
      </c>
      <c r="IN11">
        <v>29</v>
      </c>
      <c r="IO11" t="s">
        <v>2730</v>
      </c>
      <c r="IP11">
        <v>3</v>
      </c>
      <c r="IQ11" t="s">
        <v>2730</v>
      </c>
      <c r="IR11">
        <v>15</v>
      </c>
      <c r="IS11" t="s">
        <v>2730</v>
      </c>
      <c r="IT11" t="s">
        <v>2730</v>
      </c>
      <c r="IU11" t="s">
        <v>2730</v>
      </c>
      <c r="IV11">
        <v>16</v>
      </c>
      <c r="IW11" t="s">
        <v>2730</v>
      </c>
      <c r="IX11">
        <v>3</v>
      </c>
      <c r="IY11" t="s">
        <v>2730</v>
      </c>
      <c r="IZ11">
        <v>34</v>
      </c>
      <c r="JA11" t="s">
        <v>2730</v>
      </c>
      <c r="JB11">
        <v>25</v>
      </c>
      <c r="JC11" t="s">
        <v>2730</v>
      </c>
      <c r="JD11">
        <v>24</v>
      </c>
      <c r="JE11" t="s">
        <v>2730</v>
      </c>
      <c r="JF11">
        <v>2</v>
      </c>
      <c r="JG11" t="s">
        <v>2730</v>
      </c>
      <c r="JH11">
        <v>24</v>
      </c>
      <c r="JI11" t="s">
        <v>2730</v>
      </c>
      <c r="JJ11">
        <v>6</v>
      </c>
      <c r="JK11" t="s">
        <v>2730</v>
      </c>
      <c r="JL11">
        <v>16</v>
      </c>
      <c r="JM11" t="s">
        <v>2730</v>
      </c>
      <c r="JN11" t="s">
        <v>2730</v>
      </c>
      <c r="JO11">
        <v>4</v>
      </c>
      <c r="JP11" t="s">
        <v>2730</v>
      </c>
      <c r="JQ11" t="s">
        <v>2730</v>
      </c>
    </row>
    <row r="12" spans="1:277">
      <c r="A12" s="149" t="str">
        <f>HYPERLINK("http://www.ofsted.gov.uk/inspection-reports/find-inspection-report/provider/ELS/135018 ","Ofsted School Webpage")</f>
        <v>Ofsted School Webpage</v>
      </c>
      <c r="B12">
        <v>1132495</v>
      </c>
      <c r="C12">
        <v>135018</v>
      </c>
      <c r="D12">
        <v>8866103</v>
      </c>
      <c r="E12" t="s">
        <v>1893</v>
      </c>
      <c r="F12" t="s">
        <v>38</v>
      </c>
      <c r="G12" t="s">
        <v>180</v>
      </c>
      <c r="H12" t="s">
        <v>181</v>
      </c>
      <c r="I12" t="s">
        <v>181</v>
      </c>
      <c r="J12" t="s">
        <v>182</v>
      </c>
      <c r="K12" t="s">
        <v>1894</v>
      </c>
      <c r="L12" t="s">
        <v>184</v>
      </c>
      <c r="M12" t="s">
        <v>185</v>
      </c>
      <c r="N12" t="s">
        <v>212</v>
      </c>
      <c r="O12" t="s">
        <v>2730</v>
      </c>
      <c r="P12" t="s">
        <v>186</v>
      </c>
      <c r="Q12">
        <v>10008607</v>
      </c>
      <c r="R12" s="120">
        <v>43046</v>
      </c>
      <c r="S12" s="120">
        <v>43048</v>
      </c>
      <c r="T12" s="120">
        <v>43073</v>
      </c>
      <c r="U12" t="s">
        <v>2730</v>
      </c>
      <c r="V12" t="s">
        <v>196</v>
      </c>
      <c r="W12" t="s">
        <v>2730</v>
      </c>
      <c r="X12" t="s">
        <v>197</v>
      </c>
      <c r="Y12">
        <v>2</v>
      </c>
      <c r="Z12">
        <v>2</v>
      </c>
      <c r="AA12">
        <v>2</v>
      </c>
      <c r="AB12">
        <v>2</v>
      </c>
      <c r="AC12">
        <v>2</v>
      </c>
      <c r="AD12" t="s">
        <v>2730</v>
      </c>
      <c r="AE12" t="s">
        <v>2730</v>
      </c>
      <c r="AF12" t="s">
        <v>128</v>
      </c>
      <c r="AG12" t="s">
        <v>2730</v>
      </c>
      <c r="AH12" t="s">
        <v>2732</v>
      </c>
      <c r="AI12" t="s">
        <v>59</v>
      </c>
      <c r="AJ12" t="s">
        <v>59</v>
      </c>
      <c r="AK12" t="s">
        <v>59</v>
      </c>
      <c r="AL12" t="s">
        <v>59</v>
      </c>
      <c r="AM12" t="s">
        <v>59</v>
      </c>
      <c r="AN12" t="s">
        <v>59</v>
      </c>
      <c r="AO12" t="s">
        <v>59</v>
      </c>
      <c r="AP12" t="s">
        <v>59</v>
      </c>
      <c r="AQ12" t="s">
        <v>59</v>
      </c>
      <c r="AR12" t="s">
        <v>59</v>
      </c>
      <c r="AS12" t="s">
        <v>59</v>
      </c>
      <c r="AT12" t="s">
        <v>59</v>
      </c>
      <c r="AU12" t="s">
        <v>59</v>
      </c>
      <c r="AV12" t="s">
        <v>59</v>
      </c>
      <c r="AW12" t="s">
        <v>59</v>
      </c>
      <c r="AX12" t="s">
        <v>59</v>
      </c>
      <c r="AY12" t="s">
        <v>191</v>
      </c>
      <c r="AZ12" t="s">
        <v>59</v>
      </c>
      <c r="BA12" t="s">
        <v>59</v>
      </c>
      <c r="BB12" t="s">
        <v>59</v>
      </c>
      <c r="BC12" t="s">
        <v>59</v>
      </c>
      <c r="BD12" t="s">
        <v>59</v>
      </c>
      <c r="BE12" t="s">
        <v>59</v>
      </c>
      <c r="BF12" t="s">
        <v>59</v>
      </c>
      <c r="BG12" t="s">
        <v>191</v>
      </c>
      <c r="BH12" t="s">
        <v>191</v>
      </c>
      <c r="BI12" t="s">
        <v>59</v>
      </c>
      <c r="BJ12" t="s">
        <v>59</v>
      </c>
      <c r="BK12" t="s">
        <v>59</v>
      </c>
      <c r="BL12" t="s">
        <v>59</v>
      </c>
      <c r="BM12" t="s">
        <v>59</v>
      </c>
      <c r="BN12" t="s">
        <v>59</v>
      </c>
      <c r="BO12" t="s">
        <v>59</v>
      </c>
      <c r="BP12" t="s">
        <v>59</v>
      </c>
      <c r="BQ12" t="s">
        <v>59</v>
      </c>
      <c r="BR12" t="s">
        <v>59</v>
      </c>
      <c r="BS12" t="s">
        <v>59</v>
      </c>
      <c r="BT12" t="s">
        <v>59</v>
      </c>
      <c r="BU12" t="s">
        <v>59</v>
      </c>
      <c r="BV12" t="s">
        <v>59</v>
      </c>
      <c r="BW12" t="s">
        <v>59</v>
      </c>
      <c r="BX12" t="s">
        <v>59</v>
      </c>
      <c r="BY12" t="s">
        <v>59</v>
      </c>
      <c r="BZ12" t="s">
        <v>59</v>
      </c>
      <c r="CA12" t="s">
        <v>59</v>
      </c>
      <c r="CB12" t="s">
        <v>59</v>
      </c>
      <c r="CC12" t="s">
        <v>59</v>
      </c>
      <c r="CD12" t="s">
        <v>59</v>
      </c>
      <c r="CE12" t="s">
        <v>59</v>
      </c>
      <c r="CF12" t="s">
        <v>59</v>
      </c>
      <c r="CG12" t="s">
        <v>59</v>
      </c>
      <c r="CH12" t="s">
        <v>59</v>
      </c>
      <c r="CI12" t="s">
        <v>59</v>
      </c>
      <c r="CJ12" t="s">
        <v>59</v>
      </c>
      <c r="CK12" t="s">
        <v>59</v>
      </c>
      <c r="CL12" t="s">
        <v>59</v>
      </c>
      <c r="CM12" t="s">
        <v>59</v>
      </c>
      <c r="CN12" t="s">
        <v>59</v>
      </c>
      <c r="CO12" t="s">
        <v>59</v>
      </c>
      <c r="CP12" t="s">
        <v>59</v>
      </c>
      <c r="CQ12" t="s">
        <v>191</v>
      </c>
      <c r="CR12" t="s">
        <v>59</v>
      </c>
      <c r="CS12" t="s">
        <v>59</v>
      </c>
      <c r="CT12" t="s">
        <v>59</v>
      </c>
      <c r="CU12" t="s">
        <v>59</v>
      </c>
      <c r="CV12" t="s">
        <v>59</v>
      </c>
      <c r="CW12" t="s">
        <v>59</v>
      </c>
      <c r="CX12" t="s">
        <v>59</v>
      </c>
      <c r="CY12" t="s">
        <v>59</v>
      </c>
      <c r="CZ12" t="s">
        <v>59</v>
      </c>
      <c r="DA12" t="s">
        <v>59</v>
      </c>
      <c r="DB12" t="s">
        <v>59</v>
      </c>
      <c r="DC12" t="s">
        <v>59</v>
      </c>
      <c r="DD12" t="s">
        <v>59</v>
      </c>
      <c r="DE12" t="s">
        <v>59</v>
      </c>
      <c r="DF12" t="s">
        <v>59</v>
      </c>
      <c r="DG12" t="s">
        <v>59</v>
      </c>
      <c r="DH12" t="s">
        <v>59</v>
      </c>
      <c r="DI12" t="s">
        <v>59</v>
      </c>
      <c r="DJ12" t="s">
        <v>59</v>
      </c>
      <c r="DK12" t="s">
        <v>59</v>
      </c>
      <c r="DL12" t="s">
        <v>59</v>
      </c>
      <c r="DM12" t="s">
        <v>59</v>
      </c>
      <c r="DN12" t="s">
        <v>59</v>
      </c>
      <c r="DO12" t="s">
        <v>191</v>
      </c>
      <c r="DP12" t="s">
        <v>59</v>
      </c>
      <c r="DQ12" t="s">
        <v>59</v>
      </c>
      <c r="DR12" t="s">
        <v>59</v>
      </c>
      <c r="DS12" t="s">
        <v>59</v>
      </c>
      <c r="DT12" t="s">
        <v>59</v>
      </c>
      <c r="DU12" t="s">
        <v>59</v>
      </c>
      <c r="DV12" t="s">
        <v>59</v>
      </c>
      <c r="DW12" t="s">
        <v>59</v>
      </c>
      <c r="DX12" t="s">
        <v>59</v>
      </c>
      <c r="DY12" t="s">
        <v>59</v>
      </c>
      <c r="DZ12" t="s">
        <v>59</v>
      </c>
      <c r="EA12" t="s">
        <v>59</v>
      </c>
      <c r="EB12" t="s">
        <v>59</v>
      </c>
      <c r="EC12" t="s">
        <v>191</v>
      </c>
      <c r="ED12" t="s">
        <v>59</v>
      </c>
      <c r="EE12" t="s">
        <v>59</v>
      </c>
      <c r="EF12" t="s">
        <v>59</v>
      </c>
      <c r="EG12" t="s">
        <v>59</v>
      </c>
      <c r="EH12" t="s">
        <v>59</v>
      </c>
      <c r="EI12" t="s">
        <v>59</v>
      </c>
      <c r="EJ12" t="s">
        <v>59</v>
      </c>
      <c r="EK12" t="s">
        <v>59</v>
      </c>
      <c r="EL12" t="s">
        <v>59</v>
      </c>
      <c r="EM12" t="s">
        <v>59</v>
      </c>
      <c r="EN12" t="s">
        <v>59</v>
      </c>
      <c r="EO12" t="s">
        <v>59</v>
      </c>
      <c r="EP12" t="s">
        <v>59</v>
      </c>
      <c r="EQ12" t="s">
        <v>59</v>
      </c>
      <c r="ER12" t="s">
        <v>59</v>
      </c>
      <c r="ES12" t="s">
        <v>59</v>
      </c>
      <c r="ET12" t="s">
        <v>59</v>
      </c>
      <c r="EU12" t="s">
        <v>59</v>
      </c>
      <c r="EV12" t="s">
        <v>59</v>
      </c>
      <c r="EW12" t="s">
        <v>59</v>
      </c>
      <c r="EX12" t="s">
        <v>59</v>
      </c>
      <c r="EY12" t="s">
        <v>59</v>
      </c>
      <c r="EZ12" t="s">
        <v>59</v>
      </c>
      <c r="FA12" t="s">
        <v>59</v>
      </c>
      <c r="FB12" t="s">
        <v>59</v>
      </c>
      <c r="FC12" t="s">
        <v>59</v>
      </c>
      <c r="FD12" t="s">
        <v>59</v>
      </c>
      <c r="FE12" t="s">
        <v>59</v>
      </c>
      <c r="FF12" t="s">
        <v>59</v>
      </c>
      <c r="FG12" t="s">
        <v>59</v>
      </c>
      <c r="FH12" t="s">
        <v>59</v>
      </c>
      <c r="FI12" t="s">
        <v>59</v>
      </c>
      <c r="FJ12" t="s">
        <v>59</v>
      </c>
      <c r="FK12" t="s">
        <v>59</v>
      </c>
      <c r="FL12" t="s">
        <v>59</v>
      </c>
      <c r="FM12" t="s">
        <v>59</v>
      </c>
      <c r="FN12" t="s">
        <v>59</v>
      </c>
      <c r="FO12" t="s">
        <v>59</v>
      </c>
      <c r="FP12" t="s">
        <v>59</v>
      </c>
      <c r="FQ12" t="s">
        <v>59</v>
      </c>
      <c r="FR12" t="s">
        <v>59</v>
      </c>
      <c r="FS12" t="s">
        <v>191</v>
      </c>
      <c r="FT12" t="s">
        <v>59</v>
      </c>
      <c r="FU12" t="s">
        <v>59</v>
      </c>
      <c r="FV12" t="s">
        <v>59</v>
      </c>
      <c r="FW12" t="s">
        <v>59</v>
      </c>
      <c r="FX12" t="s">
        <v>59</v>
      </c>
      <c r="FY12" t="s">
        <v>59</v>
      </c>
      <c r="FZ12" t="s">
        <v>59</v>
      </c>
      <c r="GA12" t="s">
        <v>59</v>
      </c>
      <c r="GB12" t="s">
        <v>59</v>
      </c>
      <c r="GC12" t="s">
        <v>59</v>
      </c>
      <c r="GD12" t="s">
        <v>59</v>
      </c>
      <c r="GE12" t="s">
        <v>59</v>
      </c>
      <c r="GF12" t="s">
        <v>59</v>
      </c>
      <c r="GG12" t="s">
        <v>59</v>
      </c>
      <c r="GH12" t="s">
        <v>59</v>
      </c>
      <c r="GI12" t="s">
        <v>59</v>
      </c>
      <c r="GJ12" t="s">
        <v>59</v>
      </c>
      <c r="GK12" t="s">
        <v>191</v>
      </c>
      <c r="GL12" t="s">
        <v>59</v>
      </c>
      <c r="GM12" t="s">
        <v>59</v>
      </c>
      <c r="GN12" t="s">
        <v>59</v>
      </c>
      <c r="GO12" t="s">
        <v>59</v>
      </c>
      <c r="GP12" t="s">
        <v>59</v>
      </c>
      <c r="GQ12" t="s">
        <v>59</v>
      </c>
      <c r="GR12" t="s">
        <v>59</v>
      </c>
      <c r="GS12" t="s">
        <v>59</v>
      </c>
      <c r="GT12" t="s">
        <v>59</v>
      </c>
      <c r="GU12" t="s">
        <v>59</v>
      </c>
      <c r="GV12" t="s">
        <v>59</v>
      </c>
      <c r="GW12" t="s">
        <v>59</v>
      </c>
      <c r="GX12" t="s">
        <v>59</v>
      </c>
      <c r="GY12" t="s">
        <v>59</v>
      </c>
      <c r="GZ12" t="s">
        <v>59</v>
      </c>
      <c r="HA12" t="s">
        <v>59</v>
      </c>
      <c r="HB12" t="s">
        <v>59</v>
      </c>
      <c r="HC12" t="s">
        <v>59</v>
      </c>
      <c r="HD12" t="s">
        <v>59</v>
      </c>
      <c r="HE12" t="s">
        <v>59</v>
      </c>
      <c r="HF12" t="s">
        <v>59</v>
      </c>
      <c r="HG12" t="s">
        <v>59</v>
      </c>
      <c r="HH12" t="s">
        <v>59</v>
      </c>
      <c r="HI12" t="s">
        <v>59</v>
      </c>
      <c r="HJ12" t="s">
        <v>59</v>
      </c>
      <c r="HK12" t="s">
        <v>59</v>
      </c>
      <c r="HL12" t="s">
        <v>59</v>
      </c>
      <c r="HM12" t="s">
        <v>59</v>
      </c>
      <c r="HN12" t="s">
        <v>59</v>
      </c>
      <c r="HO12" t="s">
        <v>59</v>
      </c>
      <c r="HP12" t="s">
        <v>59</v>
      </c>
      <c r="HQ12" t="s">
        <v>59</v>
      </c>
      <c r="HR12" t="s">
        <v>59</v>
      </c>
      <c r="HS12" t="s">
        <v>59</v>
      </c>
      <c r="HT12" t="s">
        <v>59</v>
      </c>
      <c r="HU12" t="s">
        <v>59</v>
      </c>
      <c r="HV12" t="s">
        <v>59</v>
      </c>
      <c r="HW12" t="s">
        <v>59</v>
      </c>
      <c r="HX12" t="s">
        <v>59</v>
      </c>
      <c r="HY12" t="s">
        <v>59</v>
      </c>
      <c r="HZ12" t="s">
        <v>59</v>
      </c>
      <c r="IA12" t="s">
        <v>59</v>
      </c>
      <c r="IB12" t="s">
        <v>59</v>
      </c>
      <c r="IC12" t="s">
        <v>59</v>
      </c>
      <c r="ID12" t="s">
        <v>59</v>
      </c>
      <c r="IE12" t="s">
        <v>59</v>
      </c>
      <c r="IF12" t="s">
        <v>59</v>
      </c>
      <c r="IG12" t="s">
        <v>59</v>
      </c>
      <c r="IH12" t="s">
        <v>59</v>
      </c>
      <c r="II12" t="s">
        <v>59</v>
      </c>
      <c r="IJ12" t="s">
        <v>129</v>
      </c>
      <c r="IK12" t="s">
        <v>198</v>
      </c>
      <c r="IL12" t="s">
        <v>128</v>
      </c>
      <c r="IM12" t="s">
        <v>199</v>
      </c>
      <c r="IN12">
        <v>29</v>
      </c>
      <c r="IO12" t="s">
        <v>2730</v>
      </c>
      <c r="IP12">
        <v>3</v>
      </c>
      <c r="IQ12" t="s">
        <v>2730</v>
      </c>
      <c r="IR12">
        <v>15</v>
      </c>
      <c r="IS12" t="s">
        <v>2730</v>
      </c>
      <c r="IT12" t="s">
        <v>2730</v>
      </c>
      <c r="IU12" t="s">
        <v>2730</v>
      </c>
      <c r="IV12">
        <v>18</v>
      </c>
      <c r="IW12" t="s">
        <v>2730</v>
      </c>
      <c r="IX12">
        <v>1</v>
      </c>
      <c r="IY12" t="s">
        <v>2730</v>
      </c>
      <c r="IZ12">
        <v>57</v>
      </c>
      <c r="JA12" t="s">
        <v>2730</v>
      </c>
      <c r="JB12">
        <v>2</v>
      </c>
      <c r="JC12" t="s">
        <v>2730</v>
      </c>
      <c r="JD12">
        <v>24</v>
      </c>
      <c r="JE12" t="s">
        <v>2730</v>
      </c>
      <c r="JF12">
        <v>2</v>
      </c>
      <c r="JG12" t="s">
        <v>2730</v>
      </c>
      <c r="JH12">
        <v>30</v>
      </c>
      <c r="JI12" t="s">
        <v>2730</v>
      </c>
      <c r="JJ12" t="s">
        <v>2730</v>
      </c>
      <c r="JK12" t="s">
        <v>2730</v>
      </c>
      <c r="JL12">
        <v>16</v>
      </c>
      <c r="JM12" t="s">
        <v>2730</v>
      </c>
      <c r="JN12" t="s">
        <v>2730</v>
      </c>
      <c r="JO12">
        <v>4</v>
      </c>
      <c r="JP12" t="s">
        <v>2730</v>
      </c>
      <c r="JQ12" t="s">
        <v>2730</v>
      </c>
    </row>
    <row r="13" spans="1:277">
      <c r="A13" s="149" t="str">
        <f>HYPERLINK("http://www.ofsted.gov.uk/inspection-reports/find-inspection-report/provider/ELS/137562 ","Ofsted School Webpage")</f>
        <v>Ofsted School Webpage</v>
      </c>
      <c r="B13">
        <v>1132379</v>
      </c>
      <c r="C13">
        <v>137562</v>
      </c>
      <c r="D13">
        <v>8826010</v>
      </c>
      <c r="E13" t="s">
        <v>1204</v>
      </c>
      <c r="F13" t="s">
        <v>38</v>
      </c>
      <c r="G13" t="s">
        <v>180</v>
      </c>
      <c r="H13" t="s">
        <v>220</v>
      </c>
      <c r="I13" t="s">
        <v>220</v>
      </c>
      <c r="J13" t="s">
        <v>746</v>
      </c>
      <c r="K13" t="s">
        <v>1205</v>
      </c>
      <c r="L13" t="s">
        <v>184</v>
      </c>
      <c r="M13" t="s">
        <v>185</v>
      </c>
      <c r="N13" t="s">
        <v>184</v>
      </c>
      <c r="O13" t="s">
        <v>2730</v>
      </c>
      <c r="P13" t="s">
        <v>186</v>
      </c>
      <c r="Q13">
        <v>10043122</v>
      </c>
      <c r="R13" s="120">
        <v>43053</v>
      </c>
      <c r="S13" s="120">
        <v>43055</v>
      </c>
      <c r="T13" s="120">
        <v>43081</v>
      </c>
      <c r="U13" t="s">
        <v>2730</v>
      </c>
      <c r="V13" t="s">
        <v>196</v>
      </c>
      <c r="W13" t="s">
        <v>2730</v>
      </c>
      <c r="X13" t="s">
        <v>197</v>
      </c>
      <c r="Y13">
        <v>3</v>
      </c>
      <c r="Z13">
        <v>3</v>
      </c>
      <c r="AA13">
        <v>3</v>
      </c>
      <c r="AB13">
        <v>3</v>
      </c>
      <c r="AC13">
        <v>3</v>
      </c>
      <c r="AD13" t="s">
        <v>2730</v>
      </c>
      <c r="AE13" t="s">
        <v>2730</v>
      </c>
      <c r="AF13" t="s">
        <v>128</v>
      </c>
      <c r="AG13" t="s">
        <v>2730</v>
      </c>
      <c r="AH13" t="s">
        <v>2733</v>
      </c>
      <c r="AI13" t="s">
        <v>59</v>
      </c>
      <c r="AJ13" t="s">
        <v>59</v>
      </c>
      <c r="AK13" t="s">
        <v>59</v>
      </c>
      <c r="AL13" t="s">
        <v>59</v>
      </c>
      <c r="AM13" t="s">
        <v>59</v>
      </c>
      <c r="AN13" t="s">
        <v>59</v>
      </c>
      <c r="AO13" t="s">
        <v>59</v>
      </c>
      <c r="AP13" t="s">
        <v>60</v>
      </c>
      <c r="AQ13" t="s">
        <v>59</v>
      </c>
      <c r="AR13" t="s">
        <v>59</v>
      </c>
      <c r="AS13" t="s">
        <v>59</v>
      </c>
      <c r="AT13" t="s">
        <v>59</v>
      </c>
      <c r="AU13" t="s">
        <v>59</v>
      </c>
      <c r="AV13" t="s">
        <v>59</v>
      </c>
      <c r="AW13" t="s">
        <v>59</v>
      </c>
      <c r="AX13" t="s">
        <v>59</v>
      </c>
      <c r="AY13" t="s">
        <v>59</v>
      </c>
      <c r="AZ13" t="s">
        <v>59</v>
      </c>
      <c r="BA13" t="s">
        <v>59</v>
      </c>
      <c r="BB13" t="s">
        <v>59</v>
      </c>
      <c r="BC13" t="s">
        <v>59</v>
      </c>
      <c r="BD13" t="s">
        <v>59</v>
      </c>
      <c r="BE13" t="s">
        <v>59</v>
      </c>
      <c r="BF13" t="s">
        <v>59</v>
      </c>
      <c r="BG13" t="s">
        <v>218</v>
      </c>
      <c r="BH13" t="s">
        <v>218</v>
      </c>
      <c r="BI13" t="s">
        <v>59</v>
      </c>
      <c r="BJ13" t="s">
        <v>59</v>
      </c>
      <c r="BK13" t="s">
        <v>60</v>
      </c>
      <c r="BL13" t="s">
        <v>60</v>
      </c>
      <c r="BM13" t="s">
        <v>60</v>
      </c>
      <c r="BN13" t="s">
        <v>60</v>
      </c>
      <c r="BO13" t="s">
        <v>60</v>
      </c>
      <c r="BP13" t="s">
        <v>59</v>
      </c>
      <c r="BQ13" t="s">
        <v>60</v>
      </c>
      <c r="BR13" t="s">
        <v>60</v>
      </c>
      <c r="BS13" t="s">
        <v>59</v>
      </c>
      <c r="BT13" t="s">
        <v>59</v>
      </c>
      <c r="BU13" t="s">
        <v>59</v>
      </c>
      <c r="BV13" t="s">
        <v>59</v>
      </c>
      <c r="BW13" t="s">
        <v>59</v>
      </c>
      <c r="BX13" t="s">
        <v>59</v>
      </c>
      <c r="BY13" t="s">
        <v>59</v>
      </c>
      <c r="BZ13" t="s">
        <v>59</v>
      </c>
      <c r="CA13" t="s">
        <v>59</v>
      </c>
      <c r="CB13" t="s">
        <v>59</v>
      </c>
      <c r="CC13" t="s">
        <v>59</v>
      </c>
      <c r="CD13" t="s">
        <v>59</v>
      </c>
      <c r="CE13" t="s">
        <v>59</v>
      </c>
      <c r="CF13" t="s">
        <v>59</v>
      </c>
      <c r="CG13" t="s">
        <v>59</v>
      </c>
      <c r="CH13" t="s">
        <v>59</v>
      </c>
      <c r="CI13" t="s">
        <v>59</v>
      </c>
      <c r="CJ13" t="s">
        <v>59</v>
      </c>
      <c r="CK13" t="s">
        <v>59</v>
      </c>
      <c r="CL13" t="s">
        <v>59</v>
      </c>
      <c r="CM13" t="s">
        <v>59</v>
      </c>
      <c r="CN13" t="s">
        <v>59</v>
      </c>
      <c r="CO13" t="s">
        <v>218</v>
      </c>
      <c r="CP13" t="s">
        <v>218</v>
      </c>
      <c r="CQ13" t="s">
        <v>218</v>
      </c>
      <c r="CR13" t="s">
        <v>218</v>
      </c>
      <c r="CS13" t="s">
        <v>59</v>
      </c>
      <c r="CT13" t="s">
        <v>59</v>
      </c>
      <c r="CU13" t="s">
        <v>59</v>
      </c>
      <c r="CV13" t="s">
        <v>59</v>
      </c>
      <c r="CW13" t="s">
        <v>59</v>
      </c>
      <c r="CX13" t="s">
        <v>59</v>
      </c>
      <c r="CY13" t="s">
        <v>59</v>
      </c>
      <c r="CZ13" t="s">
        <v>59</v>
      </c>
      <c r="DA13" t="s">
        <v>59</v>
      </c>
      <c r="DB13" t="s">
        <v>59</v>
      </c>
      <c r="DC13" t="s">
        <v>59</v>
      </c>
      <c r="DD13" t="s">
        <v>59</v>
      </c>
      <c r="DE13" t="s">
        <v>59</v>
      </c>
      <c r="DF13" t="s">
        <v>59</v>
      </c>
      <c r="DG13" t="s">
        <v>59</v>
      </c>
      <c r="DH13" t="s">
        <v>59</v>
      </c>
      <c r="DI13" t="s">
        <v>59</v>
      </c>
      <c r="DJ13" t="s">
        <v>59</v>
      </c>
      <c r="DK13" t="s">
        <v>218</v>
      </c>
      <c r="DL13" t="s">
        <v>59</v>
      </c>
      <c r="DM13" t="s">
        <v>59</v>
      </c>
      <c r="DN13" t="s">
        <v>218</v>
      </c>
      <c r="DO13" t="s">
        <v>218</v>
      </c>
      <c r="DP13" t="s">
        <v>59</v>
      </c>
      <c r="DQ13" t="s">
        <v>59</v>
      </c>
      <c r="DR13" t="s">
        <v>59</v>
      </c>
      <c r="DS13" t="s">
        <v>59</v>
      </c>
      <c r="DT13" t="s">
        <v>59</v>
      </c>
      <c r="DU13" t="s">
        <v>59</v>
      </c>
      <c r="DV13" t="s">
        <v>59</v>
      </c>
      <c r="DW13" t="s">
        <v>59</v>
      </c>
      <c r="DX13" t="s">
        <v>59</v>
      </c>
      <c r="DY13" t="s">
        <v>59</v>
      </c>
      <c r="DZ13" t="s">
        <v>59</v>
      </c>
      <c r="EA13" t="s">
        <v>59</v>
      </c>
      <c r="EB13" t="s">
        <v>59</v>
      </c>
      <c r="EC13" t="s">
        <v>218</v>
      </c>
      <c r="ED13" t="s">
        <v>59</v>
      </c>
      <c r="EE13" t="s">
        <v>218</v>
      </c>
      <c r="EF13" t="s">
        <v>218</v>
      </c>
      <c r="EG13" t="s">
        <v>218</v>
      </c>
      <c r="EH13" t="s">
        <v>218</v>
      </c>
      <c r="EI13" t="s">
        <v>218</v>
      </c>
      <c r="EJ13" t="s">
        <v>218</v>
      </c>
      <c r="EK13" t="s">
        <v>218</v>
      </c>
      <c r="EL13" t="s">
        <v>218</v>
      </c>
      <c r="EM13" t="s">
        <v>218</v>
      </c>
      <c r="EN13" t="s">
        <v>59</v>
      </c>
      <c r="EO13" t="s">
        <v>59</v>
      </c>
      <c r="EP13" t="s">
        <v>59</v>
      </c>
      <c r="EQ13" t="s">
        <v>59</v>
      </c>
      <c r="ER13" t="s">
        <v>59</v>
      </c>
      <c r="ES13" t="s">
        <v>59</v>
      </c>
      <c r="ET13" t="s">
        <v>59</v>
      </c>
      <c r="EU13" t="s">
        <v>59</v>
      </c>
      <c r="EV13" t="s">
        <v>59</v>
      </c>
      <c r="EW13" t="s">
        <v>59</v>
      </c>
      <c r="EX13" t="s">
        <v>218</v>
      </c>
      <c r="EY13" t="s">
        <v>59</v>
      </c>
      <c r="EZ13" t="s">
        <v>59</v>
      </c>
      <c r="FA13" t="s">
        <v>218</v>
      </c>
      <c r="FB13" t="s">
        <v>218</v>
      </c>
      <c r="FC13" t="s">
        <v>218</v>
      </c>
      <c r="FD13" t="s">
        <v>218</v>
      </c>
      <c r="FE13" t="s">
        <v>218</v>
      </c>
      <c r="FF13" t="s">
        <v>218</v>
      </c>
      <c r="FG13" t="s">
        <v>218</v>
      </c>
      <c r="FH13" t="s">
        <v>218</v>
      </c>
      <c r="FI13" t="s">
        <v>218</v>
      </c>
      <c r="FJ13" t="s">
        <v>191</v>
      </c>
      <c r="FK13" t="s">
        <v>218</v>
      </c>
      <c r="FL13" t="s">
        <v>59</v>
      </c>
      <c r="FM13" t="s">
        <v>59</v>
      </c>
      <c r="FN13" t="s">
        <v>59</v>
      </c>
      <c r="FO13" t="s">
        <v>218</v>
      </c>
      <c r="FP13" t="s">
        <v>59</v>
      </c>
      <c r="FQ13" t="s">
        <v>59</v>
      </c>
      <c r="FR13" t="s">
        <v>59</v>
      </c>
      <c r="FS13" t="s">
        <v>218</v>
      </c>
      <c r="FT13" t="s">
        <v>59</v>
      </c>
      <c r="FU13" t="s">
        <v>59</v>
      </c>
      <c r="FV13" t="s">
        <v>59</v>
      </c>
      <c r="FW13" t="s">
        <v>59</v>
      </c>
      <c r="FX13" t="s">
        <v>59</v>
      </c>
      <c r="FY13" t="s">
        <v>59</v>
      </c>
      <c r="FZ13" t="s">
        <v>59</v>
      </c>
      <c r="GA13" t="s">
        <v>59</v>
      </c>
      <c r="GB13" t="s">
        <v>59</v>
      </c>
      <c r="GC13" t="s">
        <v>59</v>
      </c>
      <c r="GD13" t="s">
        <v>59</v>
      </c>
      <c r="GE13" t="s">
        <v>59</v>
      </c>
      <c r="GF13" t="s">
        <v>59</v>
      </c>
      <c r="GG13" t="s">
        <v>59</v>
      </c>
      <c r="GH13" t="s">
        <v>59</v>
      </c>
      <c r="GI13" t="s">
        <v>59</v>
      </c>
      <c r="GJ13" t="s">
        <v>59</v>
      </c>
      <c r="GK13" t="s">
        <v>218</v>
      </c>
      <c r="GL13" t="s">
        <v>59</v>
      </c>
      <c r="GM13" t="s">
        <v>59</v>
      </c>
      <c r="GN13" t="s">
        <v>59</v>
      </c>
      <c r="GO13" t="s">
        <v>59</v>
      </c>
      <c r="GP13" t="s">
        <v>218</v>
      </c>
      <c r="GQ13" t="s">
        <v>218</v>
      </c>
      <c r="GR13" t="s">
        <v>59</v>
      </c>
      <c r="GS13" t="s">
        <v>59</v>
      </c>
      <c r="GT13" t="s">
        <v>59</v>
      </c>
      <c r="GU13" t="s">
        <v>59</v>
      </c>
      <c r="GV13" t="s">
        <v>59</v>
      </c>
      <c r="GW13" t="s">
        <v>59</v>
      </c>
      <c r="GX13" t="s">
        <v>59</v>
      </c>
      <c r="GY13" t="s">
        <v>59</v>
      </c>
      <c r="GZ13" t="s">
        <v>59</v>
      </c>
      <c r="HA13" t="s">
        <v>218</v>
      </c>
      <c r="HB13" t="s">
        <v>218</v>
      </c>
      <c r="HC13" t="s">
        <v>59</v>
      </c>
      <c r="HD13" t="s">
        <v>59</v>
      </c>
      <c r="HE13" t="s">
        <v>59</v>
      </c>
      <c r="HF13" t="s">
        <v>59</v>
      </c>
      <c r="HG13" t="s">
        <v>59</v>
      </c>
      <c r="HH13" t="s">
        <v>59</v>
      </c>
      <c r="HI13" t="s">
        <v>59</v>
      </c>
      <c r="HJ13" t="s">
        <v>59</v>
      </c>
      <c r="HK13" t="s">
        <v>218</v>
      </c>
      <c r="HL13" t="s">
        <v>218</v>
      </c>
      <c r="HM13" t="s">
        <v>218</v>
      </c>
      <c r="HN13" t="s">
        <v>218</v>
      </c>
      <c r="HO13" t="s">
        <v>218</v>
      </c>
      <c r="HP13" t="s">
        <v>59</v>
      </c>
      <c r="HQ13" t="s">
        <v>59</v>
      </c>
      <c r="HR13" t="s">
        <v>59</v>
      </c>
      <c r="HS13" t="s">
        <v>59</v>
      </c>
      <c r="HT13" t="s">
        <v>59</v>
      </c>
      <c r="HU13" t="s">
        <v>59</v>
      </c>
      <c r="HV13" t="s">
        <v>59</v>
      </c>
      <c r="HW13" t="s">
        <v>59</v>
      </c>
      <c r="HX13" t="s">
        <v>59</v>
      </c>
      <c r="HY13" t="s">
        <v>59</v>
      </c>
      <c r="HZ13" t="s">
        <v>59</v>
      </c>
      <c r="IA13" t="s">
        <v>59</v>
      </c>
      <c r="IB13" t="s">
        <v>59</v>
      </c>
      <c r="IC13" t="s">
        <v>59</v>
      </c>
      <c r="ID13" t="s">
        <v>59</v>
      </c>
      <c r="IE13" t="s">
        <v>59</v>
      </c>
      <c r="IF13" t="s">
        <v>60</v>
      </c>
      <c r="IG13" t="s">
        <v>59</v>
      </c>
      <c r="IH13" t="s">
        <v>60</v>
      </c>
      <c r="II13" t="s">
        <v>59</v>
      </c>
      <c r="IJ13" t="s">
        <v>129</v>
      </c>
      <c r="IK13" t="s">
        <v>191</v>
      </c>
      <c r="IL13" t="s">
        <v>128</v>
      </c>
      <c r="IM13" t="s">
        <v>199</v>
      </c>
      <c r="IN13">
        <v>23</v>
      </c>
      <c r="IO13" t="s">
        <v>2730</v>
      </c>
      <c r="IP13" t="s">
        <v>2730</v>
      </c>
      <c r="IQ13">
        <v>7</v>
      </c>
      <c r="IR13">
        <v>15</v>
      </c>
      <c r="IS13" t="s">
        <v>2730</v>
      </c>
      <c r="IT13" t="s">
        <v>2730</v>
      </c>
      <c r="IU13" t="s">
        <v>2730</v>
      </c>
      <c r="IV13">
        <v>15</v>
      </c>
      <c r="IW13" t="s">
        <v>2730</v>
      </c>
      <c r="IX13" t="s">
        <v>2730</v>
      </c>
      <c r="IY13" t="s">
        <v>2730</v>
      </c>
      <c r="IZ13">
        <v>34</v>
      </c>
      <c r="JA13" t="s">
        <v>2730</v>
      </c>
      <c r="JB13">
        <v>1</v>
      </c>
      <c r="JC13" t="s">
        <v>2730</v>
      </c>
      <c r="JD13">
        <v>23</v>
      </c>
      <c r="JE13" t="s">
        <v>2730</v>
      </c>
      <c r="JF13" t="s">
        <v>2730</v>
      </c>
      <c r="JG13" t="s">
        <v>2730</v>
      </c>
      <c r="JH13">
        <v>21</v>
      </c>
      <c r="JI13" t="s">
        <v>2730</v>
      </c>
      <c r="JJ13" t="s">
        <v>2730</v>
      </c>
      <c r="JK13" t="s">
        <v>2730</v>
      </c>
      <c r="JL13">
        <v>16</v>
      </c>
      <c r="JM13" t="s">
        <v>2730</v>
      </c>
      <c r="JN13" t="s">
        <v>2730</v>
      </c>
      <c r="JO13">
        <v>2</v>
      </c>
      <c r="JP13" t="s">
        <v>2730</v>
      </c>
      <c r="JQ13">
        <v>2</v>
      </c>
    </row>
    <row r="14" spans="1:277">
      <c r="A14" s="149" t="str">
        <f>HYPERLINK("http://www.ofsted.gov.uk/inspection-reports/find-inspection-report/provider/ELS/100375 ","Ofsted School Webpage")</f>
        <v>Ofsted School Webpage</v>
      </c>
      <c r="B14">
        <v>1134345</v>
      </c>
      <c r="C14">
        <v>100375</v>
      </c>
      <c r="D14">
        <v>2056386</v>
      </c>
      <c r="E14" t="s">
        <v>1748</v>
      </c>
      <c r="F14" t="s">
        <v>37</v>
      </c>
      <c r="G14" t="s">
        <v>209</v>
      </c>
      <c r="H14" t="s">
        <v>232</v>
      </c>
      <c r="I14" t="s">
        <v>232</v>
      </c>
      <c r="J14" t="s">
        <v>300</v>
      </c>
      <c r="K14" t="s">
        <v>1749</v>
      </c>
      <c r="L14" t="s">
        <v>184</v>
      </c>
      <c r="M14" t="s">
        <v>185</v>
      </c>
      <c r="N14" t="s">
        <v>184</v>
      </c>
      <c r="O14" t="s">
        <v>2730</v>
      </c>
      <c r="P14" t="s">
        <v>186</v>
      </c>
      <c r="Q14">
        <v>10008534</v>
      </c>
      <c r="R14" s="120">
        <v>43060</v>
      </c>
      <c r="S14" s="120">
        <v>43062</v>
      </c>
      <c r="T14" s="120">
        <v>43096</v>
      </c>
      <c r="U14" t="s">
        <v>2730</v>
      </c>
      <c r="V14" t="s">
        <v>196</v>
      </c>
      <c r="W14" t="s">
        <v>2730</v>
      </c>
      <c r="X14" t="s">
        <v>197</v>
      </c>
      <c r="Y14">
        <v>1</v>
      </c>
      <c r="Z14">
        <v>1</v>
      </c>
      <c r="AA14">
        <v>1</v>
      </c>
      <c r="AB14">
        <v>1</v>
      </c>
      <c r="AC14">
        <v>1</v>
      </c>
      <c r="AD14">
        <v>1</v>
      </c>
      <c r="AE14" t="s">
        <v>2730</v>
      </c>
      <c r="AF14" t="s">
        <v>128</v>
      </c>
      <c r="AG14" t="s">
        <v>2730</v>
      </c>
      <c r="AH14" t="s">
        <v>2732</v>
      </c>
      <c r="AI14" t="s">
        <v>59</v>
      </c>
      <c r="AJ14" t="s">
        <v>59</v>
      </c>
      <c r="AK14" t="s">
        <v>59</v>
      </c>
      <c r="AL14" t="s">
        <v>59</v>
      </c>
      <c r="AM14" t="s">
        <v>59</v>
      </c>
      <c r="AN14" t="s">
        <v>59</v>
      </c>
      <c r="AO14" t="s">
        <v>59</v>
      </c>
      <c r="AP14" t="s">
        <v>59</v>
      </c>
      <c r="AQ14" t="s">
        <v>59</v>
      </c>
      <c r="AR14" t="s">
        <v>59</v>
      </c>
      <c r="AS14" t="s">
        <v>59</v>
      </c>
      <c r="AT14" t="s">
        <v>59</v>
      </c>
      <c r="AU14" t="s">
        <v>59</v>
      </c>
      <c r="AV14" t="s">
        <v>59</v>
      </c>
      <c r="AW14" t="s">
        <v>59</v>
      </c>
      <c r="AX14" t="s">
        <v>59</v>
      </c>
      <c r="AY14" t="s">
        <v>59</v>
      </c>
      <c r="AZ14" t="s">
        <v>59</v>
      </c>
      <c r="BA14" t="s">
        <v>59</v>
      </c>
      <c r="BB14" t="s">
        <v>59</v>
      </c>
      <c r="BC14" t="s">
        <v>191</v>
      </c>
      <c r="BD14" t="s">
        <v>191</v>
      </c>
      <c r="BE14" t="s">
        <v>191</v>
      </c>
      <c r="BF14" t="s">
        <v>191</v>
      </c>
      <c r="BG14" t="s">
        <v>59</v>
      </c>
      <c r="BH14" t="s">
        <v>59</v>
      </c>
      <c r="BI14" t="s">
        <v>59</v>
      </c>
      <c r="BJ14" t="s">
        <v>59</v>
      </c>
      <c r="BK14" t="s">
        <v>59</v>
      </c>
      <c r="BL14" t="s">
        <v>59</v>
      </c>
      <c r="BM14" t="s">
        <v>59</v>
      </c>
      <c r="BN14" t="s">
        <v>59</v>
      </c>
      <c r="BO14" t="s">
        <v>59</v>
      </c>
      <c r="BP14" t="s">
        <v>59</v>
      </c>
      <c r="BQ14" t="s">
        <v>59</v>
      </c>
      <c r="BR14" t="s">
        <v>59</v>
      </c>
      <c r="BS14" t="s">
        <v>59</v>
      </c>
      <c r="BT14" t="s">
        <v>59</v>
      </c>
      <c r="BU14" t="s">
        <v>59</v>
      </c>
      <c r="BV14" t="s">
        <v>59</v>
      </c>
      <c r="BW14" t="s">
        <v>59</v>
      </c>
      <c r="BX14" t="s">
        <v>59</v>
      </c>
      <c r="BY14" t="s">
        <v>59</v>
      </c>
      <c r="BZ14" t="s">
        <v>59</v>
      </c>
      <c r="CA14" t="s">
        <v>59</v>
      </c>
      <c r="CB14" t="s">
        <v>59</v>
      </c>
      <c r="CC14" t="s">
        <v>59</v>
      </c>
      <c r="CD14" t="s">
        <v>59</v>
      </c>
      <c r="CE14" t="s">
        <v>59</v>
      </c>
      <c r="CF14" t="s">
        <v>59</v>
      </c>
      <c r="CG14" t="s">
        <v>59</v>
      </c>
      <c r="CH14" t="s">
        <v>59</v>
      </c>
      <c r="CI14" t="s">
        <v>59</v>
      </c>
      <c r="CJ14" t="s">
        <v>59</v>
      </c>
      <c r="CK14" t="s">
        <v>59</v>
      </c>
      <c r="CL14" t="s">
        <v>59</v>
      </c>
      <c r="CM14" t="s">
        <v>59</v>
      </c>
      <c r="CN14" t="s">
        <v>59</v>
      </c>
      <c r="CO14" t="s">
        <v>59</v>
      </c>
      <c r="CP14" t="s">
        <v>59</v>
      </c>
      <c r="CQ14" t="s">
        <v>59</v>
      </c>
      <c r="CR14" t="s">
        <v>59</v>
      </c>
      <c r="CS14" t="s">
        <v>59</v>
      </c>
      <c r="CT14" t="s">
        <v>59</v>
      </c>
      <c r="CU14" t="s">
        <v>59</v>
      </c>
      <c r="CV14" t="s">
        <v>59</v>
      </c>
      <c r="CW14" t="s">
        <v>59</v>
      </c>
      <c r="CX14" t="s">
        <v>59</v>
      </c>
      <c r="CY14" t="s">
        <v>59</v>
      </c>
      <c r="CZ14" t="s">
        <v>59</v>
      </c>
      <c r="DA14" t="s">
        <v>59</v>
      </c>
      <c r="DB14" t="s">
        <v>59</v>
      </c>
      <c r="DC14" t="s">
        <v>59</v>
      </c>
      <c r="DD14" t="s">
        <v>59</v>
      </c>
      <c r="DE14" t="s">
        <v>59</v>
      </c>
      <c r="DF14" t="s">
        <v>59</v>
      </c>
      <c r="DG14" t="s">
        <v>59</v>
      </c>
      <c r="DH14" t="s">
        <v>59</v>
      </c>
      <c r="DI14" t="s">
        <v>59</v>
      </c>
      <c r="DJ14" t="s">
        <v>59</v>
      </c>
      <c r="DK14" t="s">
        <v>59</v>
      </c>
      <c r="DL14" t="s">
        <v>59</v>
      </c>
      <c r="DM14" t="s">
        <v>59</v>
      </c>
      <c r="DN14" t="s">
        <v>59</v>
      </c>
      <c r="DO14" t="s">
        <v>59</v>
      </c>
      <c r="DP14" t="s">
        <v>59</v>
      </c>
      <c r="DQ14" t="s">
        <v>59</v>
      </c>
      <c r="DR14" t="s">
        <v>59</v>
      </c>
      <c r="DS14" t="s">
        <v>59</v>
      </c>
      <c r="DT14" t="s">
        <v>59</v>
      </c>
      <c r="DU14" t="s">
        <v>59</v>
      </c>
      <c r="DV14" t="s">
        <v>59</v>
      </c>
      <c r="DW14" t="s">
        <v>59</v>
      </c>
      <c r="DX14" t="s">
        <v>59</v>
      </c>
      <c r="DY14" t="s">
        <v>59</v>
      </c>
      <c r="DZ14" t="s">
        <v>59</v>
      </c>
      <c r="EA14" t="s">
        <v>59</v>
      </c>
      <c r="EB14" t="s">
        <v>59</v>
      </c>
      <c r="EC14" t="s">
        <v>59</v>
      </c>
      <c r="ED14" t="s">
        <v>59</v>
      </c>
      <c r="EE14" t="s">
        <v>59</v>
      </c>
      <c r="EF14" t="s">
        <v>59</v>
      </c>
      <c r="EG14" t="s">
        <v>59</v>
      </c>
      <c r="EH14" t="s">
        <v>59</v>
      </c>
      <c r="EI14" t="s">
        <v>59</v>
      </c>
      <c r="EJ14" t="s">
        <v>59</v>
      </c>
      <c r="EK14" t="s">
        <v>59</v>
      </c>
      <c r="EL14" t="s">
        <v>59</v>
      </c>
      <c r="EM14" t="s">
        <v>59</v>
      </c>
      <c r="EN14" t="s">
        <v>59</v>
      </c>
      <c r="EO14" t="s">
        <v>59</v>
      </c>
      <c r="EP14" t="s">
        <v>59</v>
      </c>
      <c r="EQ14" t="s">
        <v>59</v>
      </c>
      <c r="ER14" t="s">
        <v>59</v>
      </c>
      <c r="ES14" t="s">
        <v>59</v>
      </c>
      <c r="ET14" t="s">
        <v>59</v>
      </c>
      <c r="EU14" t="s">
        <v>59</v>
      </c>
      <c r="EV14" t="s">
        <v>59</v>
      </c>
      <c r="EW14" t="s">
        <v>59</v>
      </c>
      <c r="EX14" t="s">
        <v>59</v>
      </c>
      <c r="EY14" t="s">
        <v>59</v>
      </c>
      <c r="EZ14" t="s">
        <v>59</v>
      </c>
      <c r="FA14" t="s">
        <v>59</v>
      </c>
      <c r="FB14" t="s">
        <v>59</v>
      </c>
      <c r="FC14" t="s">
        <v>59</v>
      </c>
      <c r="FD14" t="s">
        <v>59</v>
      </c>
      <c r="FE14" t="s">
        <v>59</v>
      </c>
      <c r="FF14" t="s">
        <v>59</v>
      </c>
      <c r="FG14" t="s">
        <v>59</v>
      </c>
      <c r="FH14" t="s">
        <v>59</v>
      </c>
      <c r="FI14" t="s">
        <v>59</v>
      </c>
      <c r="FJ14" t="s">
        <v>59</v>
      </c>
      <c r="FK14" t="s">
        <v>59</v>
      </c>
      <c r="FL14" t="s">
        <v>59</v>
      </c>
      <c r="FM14" t="s">
        <v>59</v>
      </c>
      <c r="FN14" t="s">
        <v>59</v>
      </c>
      <c r="FO14" t="s">
        <v>59</v>
      </c>
      <c r="FP14" t="s">
        <v>59</v>
      </c>
      <c r="FQ14" t="s">
        <v>59</v>
      </c>
      <c r="FR14" t="s">
        <v>59</v>
      </c>
      <c r="FS14" t="s">
        <v>59</v>
      </c>
      <c r="FT14" t="s">
        <v>59</v>
      </c>
      <c r="FU14" t="s">
        <v>59</v>
      </c>
      <c r="FV14" t="s">
        <v>59</v>
      </c>
      <c r="FW14" t="s">
        <v>59</v>
      </c>
      <c r="FX14" t="s">
        <v>59</v>
      </c>
      <c r="FY14" t="s">
        <v>59</v>
      </c>
      <c r="FZ14" t="s">
        <v>59</v>
      </c>
      <c r="GA14" t="s">
        <v>59</v>
      </c>
      <c r="GB14" t="s">
        <v>59</v>
      </c>
      <c r="GC14" t="s">
        <v>59</v>
      </c>
      <c r="GD14" t="s">
        <v>59</v>
      </c>
      <c r="GE14" t="s">
        <v>59</v>
      </c>
      <c r="GF14" t="s">
        <v>59</v>
      </c>
      <c r="GG14" t="s">
        <v>59</v>
      </c>
      <c r="GH14" t="s">
        <v>59</v>
      </c>
      <c r="GI14" t="s">
        <v>59</v>
      </c>
      <c r="GJ14" t="s">
        <v>59</v>
      </c>
      <c r="GK14" t="s">
        <v>59</v>
      </c>
      <c r="GL14" t="s">
        <v>59</v>
      </c>
      <c r="GM14" t="s">
        <v>59</v>
      </c>
      <c r="GN14" t="s">
        <v>59</v>
      </c>
      <c r="GO14" t="s">
        <v>59</v>
      </c>
      <c r="GP14" t="s">
        <v>59</v>
      </c>
      <c r="GQ14" t="s">
        <v>59</v>
      </c>
      <c r="GR14" t="s">
        <v>59</v>
      </c>
      <c r="GS14" t="s">
        <v>59</v>
      </c>
      <c r="GT14" t="s">
        <v>59</v>
      </c>
      <c r="GU14" t="s">
        <v>59</v>
      </c>
      <c r="GV14" t="s">
        <v>59</v>
      </c>
      <c r="GW14" t="s">
        <v>59</v>
      </c>
      <c r="GX14" t="s">
        <v>59</v>
      </c>
      <c r="GY14" t="s">
        <v>59</v>
      </c>
      <c r="GZ14" t="s">
        <v>59</v>
      </c>
      <c r="HA14" t="s">
        <v>59</v>
      </c>
      <c r="HB14" t="s">
        <v>59</v>
      </c>
      <c r="HC14" t="s">
        <v>59</v>
      </c>
      <c r="HD14" t="s">
        <v>59</v>
      </c>
      <c r="HE14" t="s">
        <v>59</v>
      </c>
      <c r="HF14" t="s">
        <v>59</v>
      </c>
      <c r="HG14" t="s">
        <v>59</v>
      </c>
      <c r="HH14" t="s">
        <v>59</v>
      </c>
      <c r="HI14" t="s">
        <v>59</v>
      </c>
      <c r="HJ14" t="s">
        <v>59</v>
      </c>
      <c r="HK14" t="s">
        <v>59</v>
      </c>
      <c r="HL14" t="s">
        <v>59</v>
      </c>
      <c r="HM14" t="s">
        <v>59</v>
      </c>
      <c r="HN14" t="s">
        <v>59</v>
      </c>
      <c r="HO14" t="s">
        <v>59</v>
      </c>
      <c r="HP14" t="s">
        <v>59</v>
      </c>
      <c r="HQ14" t="s">
        <v>59</v>
      </c>
      <c r="HR14" t="s">
        <v>59</v>
      </c>
      <c r="HS14" t="s">
        <v>59</v>
      </c>
      <c r="HT14" t="s">
        <v>59</v>
      </c>
      <c r="HU14" t="s">
        <v>59</v>
      </c>
      <c r="HV14" t="s">
        <v>59</v>
      </c>
      <c r="HW14" t="s">
        <v>59</v>
      </c>
      <c r="HX14" t="s">
        <v>59</v>
      </c>
      <c r="HY14" t="s">
        <v>59</v>
      </c>
      <c r="HZ14" t="s">
        <v>59</v>
      </c>
      <c r="IA14" t="s">
        <v>59</v>
      </c>
      <c r="IB14" t="s">
        <v>59</v>
      </c>
      <c r="IC14" t="s">
        <v>59</v>
      </c>
      <c r="ID14" t="s">
        <v>59</v>
      </c>
      <c r="IE14" t="s">
        <v>59</v>
      </c>
      <c r="IF14" t="s">
        <v>59</v>
      </c>
      <c r="IG14" t="s">
        <v>59</v>
      </c>
      <c r="IH14" t="s">
        <v>59</v>
      </c>
      <c r="II14" t="s">
        <v>59</v>
      </c>
      <c r="IJ14" t="s">
        <v>129</v>
      </c>
      <c r="IK14" t="s">
        <v>198</v>
      </c>
      <c r="IL14" t="s">
        <v>128</v>
      </c>
      <c r="IM14" t="s">
        <v>199</v>
      </c>
      <c r="IN14">
        <v>28</v>
      </c>
      <c r="IO14" t="s">
        <v>2730</v>
      </c>
      <c r="IP14">
        <v>4</v>
      </c>
      <c r="IQ14" t="s">
        <v>2730</v>
      </c>
      <c r="IR14">
        <v>15</v>
      </c>
      <c r="IS14" t="s">
        <v>2730</v>
      </c>
      <c r="IT14" t="s">
        <v>2730</v>
      </c>
      <c r="IU14" t="s">
        <v>2730</v>
      </c>
      <c r="IV14">
        <v>19</v>
      </c>
      <c r="IW14" t="s">
        <v>2730</v>
      </c>
      <c r="IX14" t="s">
        <v>2730</v>
      </c>
      <c r="IY14" t="s">
        <v>2730</v>
      </c>
      <c r="IZ14">
        <v>59</v>
      </c>
      <c r="JA14" t="s">
        <v>2730</v>
      </c>
      <c r="JB14" t="s">
        <v>2730</v>
      </c>
      <c r="JC14" t="s">
        <v>2730</v>
      </c>
      <c r="JD14">
        <v>26</v>
      </c>
      <c r="JE14" t="s">
        <v>2730</v>
      </c>
      <c r="JF14" t="s">
        <v>2730</v>
      </c>
      <c r="JG14" t="s">
        <v>2730</v>
      </c>
      <c r="JH14">
        <v>30</v>
      </c>
      <c r="JI14" t="s">
        <v>2730</v>
      </c>
      <c r="JJ14" t="s">
        <v>2730</v>
      </c>
      <c r="JK14" t="s">
        <v>2730</v>
      </c>
      <c r="JL14">
        <v>16</v>
      </c>
      <c r="JM14" t="s">
        <v>2730</v>
      </c>
      <c r="JN14" t="s">
        <v>2730</v>
      </c>
      <c r="JO14">
        <v>4</v>
      </c>
      <c r="JP14" t="s">
        <v>2730</v>
      </c>
      <c r="JQ14" t="s">
        <v>2730</v>
      </c>
    </row>
    <row r="15" spans="1:277">
      <c r="A15" s="149" t="str">
        <f>HYPERLINK("http://www.ofsted.gov.uk/inspection-reports/find-inspection-report/provider/ELS/135792 ","Ofsted School Webpage")</f>
        <v>Ofsted School Webpage</v>
      </c>
      <c r="B15">
        <v>1134218</v>
      </c>
      <c r="C15">
        <v>135792</v>
      </c>
      <c r="D15">
        <v>3336005</v>
      </c>
      <c r="E15" t="s">
        <v>432</v>
      </c>
      <c r="F15" t="s">
        <v>37</v>
      </c>
      <c r="G15" t="s">
        <v>209</v>
      </c>
      <c r="H15" t="s">
        <v>193</v>
      </c>
      <c r="I15" t="s">
        <v>193</v>
      </c>
      <c r="J15" t="s">
        <v>354</v>
      </c>
      <c r="K15" t="s">
        <v>433</v>
      </c>
      <c r="L15" t="s">
        <v>184</v>
      </c>
      <c r="M15" t="s">
        <v>185</v>
      </c>
      <c r="N15" t="s">
        <v>223</v>
      </c>
      <c r="O15" t="s">
        <v>2730</v>
      </c>
      <c r="P15" t="s">
        <v>186</v>
      </c>
      <c r="Q15">
        <v>10026107</v>
      </c>
      <c r="R15" s="120">
        <v>43018</v>
      </c>
      <c r="S15" s="120">
        <v>43020</v>
      </c>
      <c r="T15" s="120">
        <v>43056</v>
      </c>
      <c r="U15" t="s">
        <v>2730</v>
      </c>
      <c r="V15" t="s">
        <v>196</v>
      </c>
      <c r="W15" t="s">
        <v>2730</v>
      </c>
      <c r="X15" t="s">
        <v>197</v>
      </c>
      <c r="Y15">
        <v>2</v>
      </c>
      <c r="Z15">
        <v>2</v>
      </c>
      <c r="AA15">
        <v>2</v>
      </c>
      <c r="AB15">
        <v>2</v>
      </c>
      <c r="AC15">
        <v>2</v>
      </c>
      <c r="AD15" t="s">
        <v>2730</v>
      </c>
      <c r="AE15" t="s">
        <v>2730</v>
      </c>
      <c r="AF15" t="s">
        <v>128</v>
      </c>
      <c r="AG15" t="s">
        <v>2730</v>
      </c>
      <c r="AH15" t="s">
        <v>2732</v>
      </c>
      <c r="AI15" t="s">
        <v>59</v>
      </c>
      <c r="AJ15" t="s">
        <v>59</v>
      </c>
      <c r="AK15" t="s">
        <v>59</v>
      </c>
      <c r="AL15" t="s">
        <v>59</v>
      </c>
      <c r="AM15" t="s">
        <v>59</v>
      </c>
      <c r="AN15" t="s">
        <v>59</v>
      </c>
      <c r="AO15" t="s">
        <v>59</v>
      </c>
      <c r="AP15" t="s">
        <v>59</v>
      </c>
      <c r="AQ15" t="s">
        <v>59</v>
      </c>
      <c r="AR15" t="s">
        <v>59</v>
      </c>
      <c r="AS15" t="s">
        <v>59</v>
      </c>
      <c r="AT15" t="s">
        <v>59</v>
      </c>
      <c r="AU15" t="s">
        <v>59</v>
      </c>
      <c r="AV15" t="s">
        <v>59</v>
      </c>
      <c r="AW15" t="s">
        <v>59</v>
      </c>
      <c r="AX15" t="s">
        <v>59</v>
      </c>
      <c r="AY15" t="s">
        <v>59</v>
      </c>
      <c r="AZ15" t="s">
        <v>59</v>
      </c>
      <c r="BA15" t="s">
        <v>59</v>
      </c>
      <c r="BB15" t="s">
        <v>59</v>
      </c>
      <c r="BC15" t="s">
        <v>59</v>
      </c>
      <c r="BD15" t="s">
        <v>59</v>
      </c>
      <c r="BE15" t="s">
        <v>59</v>
      </c>
      <c r="BF15" t="s">
        <v>59</v>
      </c>
      <c r="BG15" t="s">
        <v>218</v>
      </c>
      <c r="BH15" t="s">
        <v>218</v>
      </c>
      <c r="BI15" t="s">
        <v>59</v>
      </c>
      <c r="BJ15" t="s">
        <v>59</v>
      </c>
      <c r="BK15" t="s">
        <v>59</v>
      </c>
      <c r="BL15" t="s">
        <v>59</v>
      </c>
      <c r="BM15" t="s">
        <v>59</v>
      </c>
      <c r="BN15" t="s">
        <v>59</v>
      </c>
      <c r="BO15" t="s">
        <v>59</v>
      </c>
      <c r="BP15" t="s">
        <v>59</v>
      </c>
      <c r="BQ15" t="s">
        <v>59</v>
      </c>
      <c r="BR15" t="s">
        <v>59</v>
      </c>
      <c r="BS15" t="s">
        <v>59</v>
      </c>
      <c r="BT15" t="s">
        <v>59</v>
      </c>
      <c r="BU15" t="s">
        <v>59</v>
      </c>
      <c r="BV15" t="s">
        <v>59</v>
      </c>
      <c r="BW15" t="s">
        <v>59</v>
      </c>
      <c r="BX15" t="s">
        <v>59</v>
      </c>
      <c r="BY15" t="s">
        <v>59</v>
      </c>
      <c r="BZ15" t="s">
        <v>59</v>
      </c>
      <c r="CA15" t="s">
        <v>59</v>
      </c>
      <c r="CB15" t="s">
        <v>59</v>
      </c>
      <c r="CC15" t="s">
        <v>59</v>
      </c>
      <c r="CD15" t="s">
        <v>59</v>
      </c>
      <c r="CE15" t="s">
        <v>59</v>
      </c>
      <c r="CF15" t="s">
        <v>59</v>
      </c>
      <c r="CG15" t="s">
        <v>59</v>
      </c>
      <c r="CH15" t="s">
        <v>59</v>
      </c>
      <c r="CI15" t="s">
        <v>59</v>
      </c>
      <c r="CJ15" t="s">
        <v>59</v>
      </c>
      <c r="CK15" t="s">
        <v>59</v>
      </c>
      <c r="CL15" t="s">
        <v>59</v>
      </c>
      <c r="CM15" t="s">
        <v>59</v>
      </c>
      <c r="CN15" t="s">
        <v>59</v>
      </c>
      <c r="CO15" t="s">
        <v>218</v>
      </c>
      <c r="CP15" t="s">
        <v>218</v>
      </c>
      <c r="CQ15" t="s">
        <v>218</v>
      </c>
      <c r="CR15" t="s">
        <v>59</v>
      </c>
      <c r="CS15" t="s">
        <v>59</v>
      </c>
      <c r="CT15" t="s">
        <v>59</v>
      </c>
      <c r="CU15" t="s">
        <v>59</v>
      </c>
      <c r="CV15" t="s">
        <v>59</v>
      </c>
      <c r="CW15" t="s">
        <v>59</v>
      </c>
      <c r="CX15" t="s">
        <v>59</v>
      </c>
      <c r="CY15" t="s">
        <v>59</v>
      </c>
      <c r="CZ15" t="s">
        <v>59</v>
      </c>
      <c r="DA15" t="s">
        <v>59</v>
      </c>
      <c r="DB15" t="s">
        <v>59</v>
      </c>
      <c r="DC15" t="s">
        <v>59</v>
      </c>
      <c r="DD15" t="s">
        <v>59</v>
      </c>
      <c r="DE15" t="s">
        <v>59</v>
      </c>
      <c r="DF15" t="s">
        <v>59</v>
      </c>
      <c r="DG15" t="s">
        <v>59</v>
      </c>
      <c r="DH15" t="s">
        <v>59</v>
      </c>
      <c r="DI15" t="s">
        <v>59</v>
      </c>
      <c r="DJ15" t="s">
        <v>59</v>
      </c>
      <c r="DK15" t="s">
        <v>59</v>
      </c>
      <c r="DL15" t="s">
        <v>59</v>
      </c>
      <c r="DM15" t="s">
        <v>59</v>
      </c>
      <c r="DN15" t="s">
        <v>59</v>
      </c>
      <c r="DO15" t="s">
        <v>218</v>
      </c>
      <c r="DP15" t="s">
        <v>59</v>
      </c>
      <c r="DQ15" t="s">
        <v>59</v>
      </c>
      <c r="DR15" t="s">
        <v>59</v>
      </c>
      <c r="DS15" t="s">
        <v>59</v>
      </c>
      <c r="DT15" t="s">
        <v>59</v>
      </c>
      <c r="DU15" t="s">
        <v>59</v>
      </c>
      <c r="DV15" t="s">
        <v>59</v>
      </c>
      <c r="DW15" t="s">
        <v>59</v>
      </c>
      <c r="DX15" t="s">
        <v>59</v>
      </c>
      <c r="DY15" t="s">
        <v>59</v>
      </c>
      <c r="DZ15" t="s">
        <v>59</v>
      </c>
      <c r="EA15" t="s">
        <v>59</v>
      </c>
      <c r="EB15" t="s">
        <v>59</v>
      </c>
      <c r="EC15" t="s">
        <v>218</v>
      </c>
      <c r="ED15" t="s">
        <v>59</v>
      </c>
      <c r="EE15" t="s">
        <v>59</v>
      </c>
      <c r="EF15" t="s">
        <v>59</v>
      </c>
      <c r="EG15" t="s">
        <v>59</v>
      </c>
      <c r="EH15" t="s">
        <v>59</v>
      </c>
      <c r="EI15" t="s">
        <v>59</v>
      </c>
      <c r="EJ15" t="s">
        <v>59</v>
      </c>
      <c r="EK15" t="s">
        <v>59</v>
      </c>
      <c r="EL15" t="s">
        <v>59</v>
      </c>
      <c r="EM15" t="s">
        <v>59</v>
      </c>
      <c r="EN15" t="s">
        <v>59</v>
      </c>
      <c r="EO15" t="s">
        <v>59</v>
      </c>
      <c r="EP15" t="s">
        <v>59</v>
      </c>
      <c r="EQ15" t="s">
        <v>59</v>
      </c>
      <c r="ER15" t="s">
        <v>59</v>
      </c>
      <c r="ES15" t="s">
        <v>59</v>
      </c>
      <c r="ET15" t="s">
        <v>59</v>
      </c>
      <c r="EU15" t="s">
        <v>59</v>
      </c>
      <c r="EV15" t="s">
        <v>59</v>
      </c>
      <c r="EW15" t="s">
        <v>59</v>
      </c>
      <c r="EX15" t="s">
        <v>59</v>
      </c>
      <c r="EY15" t="s">
        <v>59</v>
      </c>
      <c r="EZ15" t="s">
        <v>59</v>
      </c>
      <c r="FA15" t="s">
        <v>59</v>
      </c>
      <c r="FB15" t="s">
        <v>59</v>
      </c>
      <c r="FC15" t="s">
        <v>59</v>
      </c>
      <c r="FD15" t="s">
        <v>59</v>
      </c>
      <c r="FE15" t="s">
        <v>59</v>
      </c>
      <c r="FF15" t="s">
        <v>59</v>
      </c>
      <c r="FG15" t="s">
        <v>59</v>
      </c>
      <c r="FH15" t="s">
        <v>59</v>
      </c>
      <c r="FI15" t="s">
        <v>59</v>
      </c>
      <c r="FJ15" t="s">
        <v>59</v>
      </c>
      <c r="FK15" t="s">
        <v>59</v>
      </c>
      <c r="FL15" t="s">
        <v>59</v>
      </c>
      <c r="FM15" t="s">
        <v>59</v>
      </c>
      <c r="FN15" t="s">
        <v>59</v>
      </c>
      <c r="FO15" t="s">
        <v>59</v>
      </c>
      <c r="FP15" t="s">
        <v>59</v>
      </c>
      <c r="FQ15" t="s">
        <v>59</v>
      </c>
      <c r="FR15" t="s">
        <v>59</v>
      </c>
      <c r="FS15" t="s">
        <v>218</v>
      </c>
      <c r="FT15" t="s">
        <v>59</v>
      </c>
      <c r="FU15" t="s">
        <v>59</v>
      </c>
      <c r="FV15" t="s">
        <v>59</v>
      </c>
      <c r="FW15" t="s">
        <v>59</v>
      </c>
      <c r="FX15" t="s">
        <v>59</v>
      </c>
      <c r="FY15" t="s">
        <v>59</v>
      </c>
      <c r="FZ15" t="s">
        <v>59</v>
      </c>
      <c r="GA15" t="s">
        <v>59</v>
      </c>
      <c r="GB15" t="s">
        <v>59</v>
      </c>
      <c r="GC15" t="s">
        <v>59</v>
      </c>
      <c r="GD15" t="s">
        <v>59</v>
      </c>
      <c r="GE15" t="s">
        <v>59</v>
      </c>
      <c r="GF15" t="s">
        <v>59</v>
      </c>
      <c r="GG15" t="s">
        <v>59</v>
      </c>
      <c r="GH15" t="s">
        <v>59</v>
      </c>
      <c r="GI15" t="s">
        <v>59</v>
      </c>
      <c r="GJ15" t="s">
        <v>59</v>
      </c>
      <c r="GK15" t="s">
        <v>218</v>
      </c>
      <c r="GL15" t="s">
        <v>59</v>
      </c>
      <c r="GM15" t="s">
        <v>59</v>
      </c>
      <c r="GN15" t="s">
        <v>59</v>
      </c>
      <c r="GO15" t="s">
        <v>59</v>
      </c>
      <c r="GP15" t="s">
        <v>59</v>
      </c>
      <c r="GQ15" t="s">
        <v>59</v>
      </c>
      <c r="GR15" t="s">
        <v>59</v>
      </c>
      <c r="GS15" t="s">
        <v>59</v>
      </c>
      <c r="GT15" t="s">
        <v>218</v>
      </c>
      <c r="GU15" t="s">
        <v>218</v>
      </c>
      <c r="GV15" t="s">
        <v>59</v>
      </c>
      <c r="GW15" t="s">
        <v>59</v>
      </c>
      <c r="GX15" t="s">
        <v>59</v>
      </c>
      <c r="GY15" t="s">
        <v>59</v>
      </c>
      <c r="GZ15" t="s">
        <v>59</v>
      </c>
      <c r="HA15" t="s">
        <v>59</v>
      </c>
      <c r="HB15" t="s">
        <v>59</v>
      </c>
      <c r="HC15" t="s">
        <v>59</v>
      </c>
      <c r="HD15" t="s">
        <v>59</v>
      </c>
      <c r="HE15" t="s">
        <v>59</v>
      </c>
      <c r="HF15" t="s">
        <v>218</v>
      </c>
      <c r="HG15" t="s">
        <v>59</v>
      </c>
      <c r="HH15" t="s">
        <v>59</v>
      </c>
      <c r="HI15" t="s">
        <v>59</v>
      </c>
      <c r="HJ15" t="s">
        <v>59</v>
      </c>
      <c r="HK15" t="s">
        <v>59</v>
      </c>
      <c r="HL15" t="s">
        <v>59</v>
      </c>
      <c r="HM15" t="s">
        <v>59</v>
      </c>
      <c r="HN15" t="s">
        <v>59</v>
      </c>
      <c r="HO15" t="s">
        <v>59</v>
      </c>
      <c r="HP15" t="s">
        <v>59</v>
      </c>
      <c r="HQ15" t="s">
        <v>59</v>
      </c>
      <c r="HR15" t="s">
        <v>59</v>
      </c>
      <c r="HS15" t="s">
        <v>59</v>
      </c>
      <c r="HT15" t="s">
        <v>59</v>
      </c>
      <c r="HU15" t="s">
        <v>59</v>
      </c>
      <c r="HV15" t="s">
        <v>59</v>
      </c>
      <c r="HW15" t="s">
        <v>59</v>
      </c>
      <c r="HX15" t="s">
        <v>59</v>
      </c>
      <c r="HY15" t="s">
        <v>59</v>
      </c>
      <c r="HZ15" t="s">
        <v>59</v>
      </c>
      <c r="IA15" t="s">
        <v>59</v>
      </c>
      <c r="IB15" t="s">
        <v>59</v>
      </c>
      <c r="IC15" t="s">
        <v>59</v>
      </c>
      <c r="ID15" t="s">
        <v>59</v>
      </c>
      <c r="IE15" t="s">
        <v>59</v>
      </c>
      <c r="IF15" t="s">
        <v>59</v>
      </c>
      <c r="IG15" t="s">
        <v>59</v>
      </c>
      <c r="IH15" t="s">
        <v>59</v>
      </c>
      <c r="II15" t="s">
        <v>59</v>
      </c>
      <c r="IJ15" t="s">
        <v>129</v>
      </c>
      <c r="IK15" t="s">
        <v>191</v>
      </c>
      <c r="IL15" t="s">
        <v>128</v>
      </c>
      <c r="IM15" t="s">
        <v>199</v>
      </c>
      <c r="IN15">
        <v>30</v>
      </c>
      <c r="IO15" t="s">
        <v>2730</v>
      </c>
      <c r="IP15" t="s">
        <v>2730</v>
      </c>
      <c r="IQ15" t="s">
        <v>2730</v>
      </c>
      <c r="IR15">
        <v>15</v>
      </c>
      <c r="IS15" t="s">
        <v>2730</v>
      </c>
      <c r="IT15" t="s">
        <v>2730</v>
      </c>
      <c r="IU15" t="s">
        <v>2730</v>
      </c>
      <c r="IV15">
        <v>16</v>
      </c>
      <c r="IW15" t="s">
        <v>2730</v>
      </c>
      <c r="IX15" t="s">
        <v>2730</v>
      </c>
      <c r="IY15" t="s">
        <v>2730</v>
      </c>
      <c r="IZ15">
        <v>57</v>
      </c>
      <c r="JA15" t="s">
        <v>2730</v>
      </c>
      <c r="JB15" t="s">
        <v>2730</v>
      </c>
      <c r="JC15" t="s">
        <v>2730</v>
      </c>
      <c r="JD15">
        <v>24</v>
      </c>
      <c r="JE15" t="s">
        <v>2730</v>
      </c>
      <c r="JF15" t="s">
        <v>2730</v>
      </c>
      <c r="JG15" t="s">
        <v>2730</v>
      </c>
      <c r="JH15">
        <v>27</v>
      </c>
      <c r="JI15" t="s">
        <v>2730</v>
      </c>
      <c r="JJ15" t="s">
        <v>2730</v>
      </c>
      <c r="JK15" t="s">
        <v>2730</v>
      </c>
      <c r="JL15">
        <v>16</v>
      </c>
      <c r="JM15" t="s">
        <v>2730</v>
      </c>
      <c r="JN15" t="s">
        <v>2730</v>
      </c>
      <c r="JO15">
        <v>4</v>
      </c>
      <c r="JP15" t="s">
        <v>2730</v>
      </c>
      <c r="JQ15" t="s">
        <v>2730</v>
      </c>
    </row>
    <row r="16" spans="1:277">
      <c r="A16" s="149" t="str">
        <f>HYPERLINK("http://www.ofsted.gov.uk/inspection-reports/find-inspection-report/provider/ELS/103753 ","Ofsted School Webpage")</f>
        <v>Ofsted School Webpage</v>
      </c>
      <c r="B16">
        <v>1133405</v>
      </c>
      <c r="C16">
        <v>103753</v>
      </c>
      <c r="D16">
        <v>3316022</v>
      </c>
      <c r="E16" t="s">
        <v>458</v>
      </c>
      <c r="F16" t="s">
        <v>37</v>
      </c>
      <c r="G16" t="s">
        <v>209</v>
      </c>
      <c r="H16" t="s">
        <v>193</v>
      </c>
      <c r="I16" t="s">
        <v>193</v>
      </c>
      <c r="J16" t="s">
        <v>459</v>
      </c>
      <c r="K16" t="s">
        <v>460</v>
      </c>
      <c r="L16" t="s">
        <v>304</v>
      </c>
      <c r="M16" t="s">
        <v>2730</v>
      </c>
      <c r="N16" t="s">
        <v>223</v>
      </c>
      <c r="O16" t="s">
        <v>2730</v>
      </c>
      <c r="P16" t="s">
        <v>186</v>
      </c>
      <c r="Q16">
        <v>10038826</v>
      </c>
      <c r="R16" s="120">
        <v>43018</v>
      </c>
      <c r="S16" s="120">
        <v>43020</v>
      </c>
      <c r="T16" s="120">
        <v>43059</v>
      </c>
      <c r="U16" t="s">
        <v>2730</v>
      </c>
      <c r="V16" t="s">
        <v>196</v>
      </c>
      <c r="W16" t="s">
        <v>2730</v>
      </c>
      <c r="X16" t="s">
        <v>197</v>
      </c>
      <c r="Y16">
        <v>3</v>
      </c>
      <c r="Z16">
        <v>2</v>
      </c>
      <c r="AA16">
        <v>2</v>
      </c>
      <c r="AB16">
        <v>3</v>
      </c>
      <c r="AC16">
        <v>3</v>
      </c>
      <c r="AD16">
        <v>2</v>
      </c>
      <c r="AE16" t="s">
        <v>2730</v>
      </c>
      <c r="AF16" t="s">
        <v>128</v>
      </c>
      <c r="AG16" t="s">
        <v>2730</v>
      </c>
      <c r="AH16" t="s">
        <v>2732</v>
      </c>
      <c r="AI16" t="s">
        <v>59</v>
      </c>
      <c r="AJ16" t="s">
        <v>59</v>
      </c>
      <c r="AK16" t="s">
        <v>59</v>
      </c>
      <c r="AL16" t="s">
        <v>59</v>
      </c>
      <c r="AM16" t="s">
        <v>59</v>
      </c>
      <c r="AN16" t="s">
        <v>59</v>
      </c>
      <c r="AO16" t="s">
        <v>59</v>
      </c>
      <c r="AP16" t="s">
        <v>59</v>
      </c>
      <c r="AQ16" t="s">
        <v>59</v>
      </c>
      <c r="AR16" t="s">
        <v>59</v>
      </c>
      <c r="AS16" t="s">
        <v>59</v>
      </c>
      <c r="AT16" t="s">
        <v>59</v>
      </c>
      <c r="AU16" t="s">
        <v>59</v>
      </c>
      <c r="AV16" t="s">
        <v>59</v>
      </c>
      <c r="AW16" t="s">
        <v>59</v>
      </c>
      <c r="AX16" t="s">
        <v>59</v>
      </c>
      <c r="AY16" t="s">
        <v>218</v>
      </c>
      <c r="AZ16" t="s">
        <v>59</v>
      </c>
      <c r="BA16" t="s">
        <v>59</v>
      </c>
      <c r="BB16" t="s">
        <v>59</v>
      </c>
      <c r="BC16" t="s">
        <v>218</v>
      </c>
      <c r="BD16" t="s">
        <v>218</v>
      </c>
      <c r="BE16" t="s">
        <v>218</v>
      </c>
      <c r="BF16" t="s">
        <v>218</v>
      </c>
      <c r="BG16" t="s">
        <v>59</v>
      </c>
      <c r="BH16" t="s">
        <v>218</v>
      </c>
      <c r="BI16" t="s">
        <v>59</v>
      </c>
      <c r="BJ16" t="s">
        <v>59</v>
      </c>
      <c r="BK16" t="s">
        <v>59</v>
      </c>
      <c r="BL16" t="s">
        <v>59</v>
      </c>
      <c r="BM16" t="s">
        <v>59</v>
      </c>
      <c r="BN16" t="s">
        <v>59</v>
      </c>
      <c r="BO16" t="s">
        <v>59</v>
      </c>
      <c r="BP16" t="s">
        <v>59</v>
      </c>
      <c r="BQ16" t="s">
        <v>59</v>
      </c>
      <c r="BR16" t="s">
        <v>59</v>
      </c>
      <c r="BS16" t="s">
        <v>59</v>
      </c>
      <c r="BT16" t="s">
        <v>59</v>
      </c>
      <c r="BU16" t="s">
        <v>59</v>
      </c>
      <c r="BV16" t="s">
        <v>59</v>
      </c>
      <c r="BW16" t="s">
        <v>59</v>
      </c>
      <c r="BX16" t="s">
        <v>59</v>
      </c>
      <c r="BY16" t="s">
        <v>59</v>
      </c>
      <c r="BZ16" t="s">
        <v>59</v>
      </c>
      <c r="CA16" t="s">
        <v>59</v>
      </c>
      <c r="CB16" t="s">
        <v>59</v>
      </c>
      <c r="CC16" t="s">
        <v>59</v>
      </c>
      <c r="CD16" t="s">
        <v>59</v>
      </c>
      <c r="CE16" t="s">
        <v>59</v>
      </c>
      <c r="CF16" t="s">
        <v>59</v>
      </c>
      <c r="CG16" t="s">
        <v>59</v>
      </c>
      <c r="CH16" t="s">
        <v>59</v>
      </c>
      <c r="CI16" t="s">
        <v>59</v>
      </c>
      <c r="CJ16" t="s">
        <v>59</v>
      </c>
      <c r="CK16" t="s">
        <v>59</v>
      </c>
      <c r="CL16" t="s">
        <v>59</v>
      </c>
      <c r="CM16" t="s">
        <v>59</v>
      </c>
      <c r="CN16" t="s">
        <v>59</v>
      </c>
      <c r="CO16" t="s">
        <v>59</v>
      </c>
      <c r="CP16" t="s">
        <v>59</v>
      </c>
      <c r="CQ16" t="s">
        <v>59</v>
      </c>
      <c r="CR16" t="s">
        <v>59</v>
      </c>
      <c r="CS16" t="s">
        <v>59</v>
      </c>
      <c r="CT16" t="s">
        <v>59</v>
      </c>
      <c r="CU16" t="s">
        <v>59</v>
      </c>
      <c r="CV16" t="s">
        <v>59</v>
      </c>
      <c r="CW16" t="s">
        <v>59</v>
      </c>
      <c r="CX16" t="s">
        <v>59</v>
      </c>
      <c r="CY16" t="s">
        <v>59</v>
      </c>
      <c r="CZ16" t="s">
        <v>59</v>
      </c>
      <c r="DA16" t="s">
        <v>59</v>
      </c>
      <c r="DB16" t="s">
        <v>59</v>
      </c>
      <c r="DC16" t="s">
        <v>59</v>
      </c>
      <c r="DD16" t="s">
        <v>59</v>
      </c>
      <c r="DE16" t="s">
        <v>59</v>
      </c>
      <c r="DF16" t="s">
        <v>59</v>
      </c>
      <c r="DG16" t="s">
        <v>59</v>
      </c>
      <c r="DH16" t="s">
        <v>59</v>
      </c>
      <c r="DI16" t="s">
        <v>59</v>
      </c>
      <c r="DJ16" t="s">
        <v>59</v>
      </c>
      <c r="DK16" t="s">
        <v>59</v>
      </c>
      <c r="DL16" t="s">
        <v>59</v>
      </c>
      <c r="DM16" t="s">
        <v>59</v>
      </c>
      <c r="DN16" t="s">
        <v>59</v>
      </c>
      <c r="DO16" t="s">
        <v>59</v>
      </c>
      <c r="DP16" t="s">
        <v>59</v>
      </c>
      <c r="DQ16" t="s">
        <v>59</v>
      </c>
      <c r="DR16" t="s">
        <v>59</v>
      </c>
      <c r="DS16" t="s">
        <v>59</v>
      </c>
      <c r="DT16" t="s">
        <v>59</v>
      </c>
      <c r="DU16" t="s">
        <v>59</v>
      </c>
      <c r="DV16" t="s">
        <v>59</v>
      </c>
      <c r="DW16" t="s">
        <v>59</v>
      </c>
      <c r="DX16" t="s">
        <v>59</v>
      </c>
      <c r="DY16" t="s">
        <v>59</v>
      </c>
      <c r="DZ16" t="s">
        <v>59</v>
      </c>
      <c r="EA16" t="s">
        <v>59</v>
      </c>
      <c r="EB16" t="s">
        <v>59</v>
      </c>
      <c r="EC16" t="s">
        <v>218</v>
      </c>
      <c r="ED16" t="s">
        <v>59</v>
      </c>
      <c r="EE16" t="s">
        <v>59</v>
      </c>
      <c r="EF16" t="s">
        <v>59</v>
      </c>
      <c r="EG16" t="s">
        <v>59</v>
      </c>
      <c r="EH16" t="s">
        <v>59</v>
      </c>
      <c r="EI16" t="s">
        <v>59</v>
      </c>
      <c r="EJ16" t="s">
        <v>59</v>
      </c>
      <c r="EK16" t="s">
        <v>59</v>
      </c>
      <c r="EL16" t="s">
        <v>59</v>
      </c>
      <c r="EM16" t="s">
        <v>59</v>
      </c>
      <c r="EN16" t="s">
        <v>59</v>
      </c>
      <c r="EO16" t="s">
        <v>59</v>
      </c>
      <c r="EP16" t="s">
        <v>59</v>
      </c>
      <c r="EQ16" t="s">
        <v>59</v>
      </c>
      <c r="ER16" t="s">
        <v>59</v>
      </c>
      <c r="ES16" t="s">
        <v>59</v>
      </c>
      <c r="ET16" t="s">
        <v>59</v>
      </c>
      <c r="EU16" t="s">
        <v>59</v>
      </c>
      <c r="EV16" t="s">
        <v>59</v>
      </c>
      <c r="EW16" t="s">
        <v>59</v>
      </c>
      <c r="EX16" t="s">
        <v>59</v>
      </c>
      <c r="EY16" t="s">
        <v>59</v>
      </c>
      <c r="EZ16" t="s">
        <v>59</v>
      </c>
      <c r="FA16" t="s">
        <v>59</v>
      </c>
      <c r="FB16" t="s">
        <v>59</v>
      </c>
      <c r="FC16" t="s">
        <v>59</v>
      </c>
      <c r="FD16" t="s">
        <v>59</v>
      </c>
      <c r="FE16" t="s">
        <v>59</v>
      </c>
      <c r="FF16" t="s">
        <v>59</v>
      </c>
      <c r="FG16" t="s">
        <v>59</v>
      </c>
      <c r="FH16" t="s">
        <v>59</v>
      </c>
      <c r="FI16" t="s">
        <v>59</v>
      </c>
      <c r="FJ16" t="s">
        <v>59</v>
      </c>
      <c r="FK16" t="s">
        <v>59</v>
      </c>
      <c r="FL16" t="s">
        <v>59</v>
      </c>
      <c r="FM16" t="s">
        <v>59</v>
      </c>
      <c r="FN16" t="s">
        <v>59</v>
      </c>
      <c r="FO16" t="s">
        <v>59</v>
      </c>
      <c r="FP16" t="s">
        <v>59</v>
      </c>
      <c r="FQ16" t="s">
        <v>59</v>
      </c>
      <c r="FR16" t="s">
        <v>59</v>
      </c>
      <c r="FS16" t="s">
        <v>59</v>
      </c>
      <c r="FT16" t="s">
        <v>59</v>
      </c>
      <c r="FU16" t="s">
        <v>59</v>
      </c>
      <c r="FV16" t="s">
        <v>59</v>
      </c>
      <c r="FW16" t="s">
        <v>59</v>
      </c>
      <c r="FX16" t="s">
        <v>59</v>
      </c>
      <c r="FY16" t="s">
        <v>59</v>
      </c>
      <c r="FZ16" t="s">
        <v>59</v>
      </c>
      <c r="GA16" t="s">
        <v>59</v>
      </c>
      <c r="GB16" t="s">
        <v>59</v>
      </c>
      <c r="GC16" t="s">
        <v>59</v>
      </c>
      <c r="GD16" t="s">
        <v>59</v>
      </c>
      <c r="GE16" t="s">
        <v>59</v>
      </c>
      <c r="GF16" t="s">
        <v>59</v>
      </c>
      <c r="GG16" t="s">
        <v>59</v>
      </c>
      <c r="GH16" t="s">
        <v>59</v>
      </c>
      <c r="GI16" t="s">
        <v>59</v>
      </c>
      <c r="GJ16" t="s">
        <v>59</v>
      </c>
      <c r="GK16" t="s">
        <v>59</v>
      </c>
      <c r="GL16" t="s">
        <v>59</v>
      </c>
      <c r="GM16" t="s">
        <v>59</v>
      </c>
      <c r="GN16" t="s">
        <v>59</v>
      </c>
      <c r="GO16" t="s">
        <v>59</v>
      </c>
      <c r="GP16" t="s">
        <v>59</v>
      </c>
      <c r="GQ16" t="s">
        <v>59</v>
      </c>
      <c r="GR16" t="s">
        <v>59</v>
      </c>
      <c r="GS16" t="s">
        <v>59</v>
      </c>
      <c r="GT16" t="s">
        <v>59</v>
      </c>
      <c r="GU16" t="s">
        <v>59</v>
      </c>
      <c r="GV16" t="s">
        <v>59</v>
      </c>
      <c r="GW16" t="s">
        <v>59</v>
      </c>
      <c r="GX16" t="s">
        <v>59</v>
      </c>
      <c r="GY16" t="s">
        <v>59</v>
      </c>
      <c r="GZ16" t="s">
        <v>59</v>
      </c>
      <c r="HA16" t="s">
        <v>59</v>
      </c>
      <c r="HB16" t="s">
        <v>59</v>
      </c>
      <c r="HC16" t="s">
        <v>59</v>
      </c>
      <c r="HD16" t="s">
        <v>59</v>
      </c>
      <c r="HE16" t="s">
        <v>59</v>
      </c>
      <c r="HF16" t="s">
        <v>59</v>
      </c>
      <c r="HG16" t="s">
        <v>59</v>
      </c>
      <c r="HH16" t="s">
        <v>59</v>
      </c>
      <c r="HI16" t="s">
        <v>59</v>
      </c>
      <c r="HJ16" t="s">
        <v>59</v>
      </c>
      <c r="HK16" t="s">
        <v>59</v>
      </c>
      <c r="HL16" t="s">
        <v>59</v>
      </c>
      <c r="HM16" t="s">
        <v>59</v>
      </c>
      <c r="HN16" t="s">
        <v>59</v>
      </c>
      <c r="HO16" t="s">
        <v>59</v>
      </c>
      <c r="HP16" t="s">
        <v>59</v>
      </c>
      <c r="HQ16" t="s">
        <v>59</v>
      </c>
      <c r="HR16" t="s">
        <v>59</v>
      </c>
      <c r="HS16" t="s">
        <v>59</v>
      </c>
      <c r="HT16" t="s">
        <v>59</v>
      </c>
      <c r="HU16" t="s">
        <v>59</v>
      </c>
      <c r="HV16" t="s">
        <v>59</v>
      </c>
      <c r="HW16" t="s">
        <v>59</v>
      </c>
      <c r="HX16" t="s">
        <v>59</v>
      </c>
      <c r="HY16" t="s">
        <v>59</v>
      </c>
      <c r="HZ16" t="s">
        <v>59</v>
      </c>
      <c r="IA16" t="s">
        <v>59</v>
      </c>
      <c r="IB16" t="s">
        <v>59</v>
      </c>
      <c r="IC16" t="s">
        <v>59</v>
      </c>
      <c r="ID16" t="s">
        <v>59</v>
      </c>
      <c r="IE16" t="s">
        <v>59</v>
      </c>
      <c r="IF16" t="s">
        <v>59</v>
      </c>
      <c r="IG16" t="s">
        <v>59</v>
      </c>
      <c r="IH16" t="s">
        <v>59</v>
      </c>
      <c r="II16" t="s">
        <v>59</v>
      </c>
      <c r="IJ16" t="s">
        <v>129</v>
      </c>
      <c r="IK16" t="s">
        <v>191</v>
      </c>
      <c r="IL16" t="s">
        <v>128</v>
      </c>
      <c r="IM16" t="s">
        <v>199</v>
      </c>
      <c r="IN16">
        <v>26</v>
      </c>
      <c r="IO16" t="s">
        <v>2730</v>
      </c>
      <c r="IP16" t="s">
        <v>2730</v>
      </c>
      <c r="IQ16" t="s">
        <v>2730</v>
      </c>
      <c r="IR16">
        <v>15</v>
      </c>
      <c r="IS16" t="s">
        <v>2730</v>
      </c>
      <c r="IT16" t="s">
        <v>2730</v>
      </c>
      <c r="IU16" t="s">
        <v>2730</v>
      </c>
      <c r="IV16">
        <v>19</v>
      </c>
      <c r="IW16" t="s">
        <v>2730</v>
      </c>
      <c r="IX16" t="s">
        <v>2730</v>
      </c>
      <c r="IY16" t="s">
        <v>2730</v>
      </c>
      <c r="IZ16">
        <v>58</v>
      </c>
      <c r="JA16" t="s">
        <v>2730</v>
      </c>
      <c r="JB16" t="s">
        <v>2730</v>
      </c>
      <c r="JC16" t="s">
        <v>2730</v>
      </c>
      <c r="JD16">
        <v>26</v>
      </c>
      <c r="JE16" t="s">
        <v>2730</v>
      </c>
      <c r="JF16" t="s">
        <v>2730</v>
      </c>
      <c r="JG16" t="s">
        <v>2730</v>
      </c>
      <c r="JH16">
        <v>30</v>
      </c>
      <c r="JI16" t="s">
        <v>2730</v>
      </c>
      <c r="JJ16" t="s">
        <v>2730</v>
      </c>
      <c r="JK16" t="s">
        <v>2730</v>
      </c>
      <c r="JL16">
        <v>16</v>
      </c>
      <c r="JM16" t="s">
        <v>2730</v>
      </c>
      <c r="JN16" t="s">
        <v>2730</v>
      </c>
      <c r="JO16">
        <v>4</v>
      </c>
      <c r="JP16" t="s">
        <v>2730</v>
      </c>
      <c r="JQ16" t="s">
        <v>2730</v>
      </c>
    </row>
    <row r="17" spans="1:277">
      <c r="A17" s="149" t="str">
        <f>HYPERLINK("http://www.ofsted.gov.uk/inspection-reports/find-inspection-report/provider/ELS/136823 ","Ofsted School Webpage")</f>
        <v>Ofsted School Webpage</v>
      </c>
      <c r="B17">
        <v>1132789</v>
      </c>
      <c r="C17">
        <v>136823</v>
      </c>
      <c r="D17">
        <v>8566006</v>
      </c>
      <c r="E17" t="s">
        <v>329</v>
      </c>
      <c r="F17" t="s">
        <v>37</v>
      </c>
      <c r="G17" t="s">
        <v>209</v>
      </c>
      <c r="H17" t="s">
        <v>214</v>
      </c>
      <c r="I17" t="s">
        <v>214</v>
      </c>
      <c r="J17" t="s">
        <v>330</v>
      </c>
      <c r="K17" t="s">
        <v>331</v>
      </c>
      <c r="L17" t="s">
        <v>184</v>
      </c>
      <c r="M17" t="s">
        <v>185</v>
      </c>
      <c r="N17" t="s">
        <v>223</v>
      </c>
      <c r="O17" t="s">
        <v>2730</v>
      </c>
      <c r="P17" t="s">
        <v>186</v>
      </c>
      <c r="Q17">
        <v>10012981</v>
      </c>
      <c r="R17" s="120">
        <v>43011</v>
      </c>
      <c r="S17" s="120">
        <v>43013</v>
      </c>
      <c r="T17" s="120">
        <v>43042</v>
      </c>
      <c r="U17" t="s">
        <v>2730</v>
      </c>
      <c r="V17" t="s">
        <v>196</v>
      </c>
      <c r="W17" t="s">
        <v>2730</v>
      </c>
      <c r="X17" t="s">
        <v>197</v>
      </c>
      <c r="Y17">
        <v>3</v>
      </c>
      <c r="Z17">
        <v>3</v>
      </c>
      <c r="AA17">
        <v>3</v>
      </c>
      <c r="AB17">
        <v>3</v>
      </c>
      <c r="AC17">
        <v>3</v>
      </c>
      <c r="AD17" t="s">
        <v>2730</v>
      </c>
      <c r="AE17" t="s">
        <v>2730</v>
      </c>
      <c r="AF17" t="s">
        <v>128</v>
      </c>
      <c r="AG17" t="s">
        <v>2730</v>
      </c>
      <c r="AH17" t="s">
        <v>2733</v>
      </c>
      <c r="AI17" t="s">
        <v>60</v>
      </c>
      <c r="AJ17" t="s">
        <v>59</v>
      </c>
      <c r="AK17" t="s">
        <v>59</v>
      </c>
      <c r="AL17" t="s">
        <v>59</v>
      </c>
      <c r="AM17" t="s">
        <v>59</v>
      </c>
      <c r="AN17" t="s">
        <v>59</v>
      </c>
      <c r="AO17" t="s">
        <v>59</v>
      </c>
      <c r="AP17" t="s">
        <v>60</v>
      </c>
      <c r="AQ17" t="s">
        <v>60</v>
      </c>
      <c r="AR17" t="s">
        <v>59</v>
      </c>
      <c r="AS17" t="s">
        <v>59</v>
      </c>
      <c r="AT17" t="s">
        <v>59</v>
      </c>
      <c r="AU17" t="s">
        <v>59</v>
      </c>
      <c r="AV17" t="s">
        <v>60</v>
      </c>
      <c r="AW17" t="s">
        <v>59</v>
      </c>
      <c r="AX17" t="s">
        <v>59</v>
      </c>
      <c r="AY17" t="s">
        <v>191</v>
      </c>
      <c r="AZ17" t="s">
        <v>59</v>
      </c>
      <c r="BA17" t="s">
        <v>59</v>
      </c>
      <c r="BB17" t="s">
        <v>59</v>
      </c>
      <c r="BC17" t="s">
        <v>60</v>
      </c>
      <c r="BD17" t="s">
        <v>60</v>
      </c>
      <c r="BE17" t="s">
        <v>59</v>
      </c>
      <c r="BF17" t="s">
        <v>59</v>
      </c>
      <c r="BG17" t="s">
        <v>191</v>
      </c>
      <c r="BH17" t="s">
        <v>191</v>
      </c>
      <c r="BI17" t="s">
        <v>59</v>
      </c>
      <c r="BJ17" t="s">
        <v>59</v>
      </c>
      <c r="BK17" t="s">
        <v>60</v>
      </c>
      <c r="BL17" t="s">
        <v>60</v>
      </c>
      <c r="BM17" t="s">
        <v>59</v>
      </c>
      <c r="BN17" t="s">
        <v>60</v>
      </c>
      <c r="BO17" t="s">
        <v>60</v>
      </c>
      <c r="BP17" t="s">
        <v>59</v>
      </c>
      <c r="BQ17" t="s">
        <v>59</v>
      </c>
      <c r="BR17" t="s">
        <v>60</v>
      </c>
      <c r="BS17" t="s">
        <v>59</v>
      </c>
      <c r="BT17" t="s">
        <v>59</v>
      </c>
      <c r="BU17" t="s">
        <v>59</v>
      </c>
      <c r="BV17" t="s">
        <v>59</v>
      </c>
      <c r="BW17" t="s">
        <v>59</v>
      </c>
      <c r="BX17" t="s">
        <v>59</v>
      </c>
      <c r="BY17" t="s">
        <v>59</v>
      </c>
      <c r="BZ17" t="s">
        <v>59</v>
      </c>
      <c r="CA17" t="s">
        <v>59</v>
      </c>
      <c r="CB17" t="s">
        <v>59</v>
      </c>
      <c r="CC17" t="s">
        <v>59</v>
      </c>
      <c r="CD17" t="s">
        <v>59</v>
      </c>
      <c r="CE17" t="s">
        <v>59</v>
      </c>
      <c r="CF17" t="s">
        <v>59</v>
      </c>
      <c r="CG17" t="s">
        <v>59</v>
      </c>
      <c r="CH17" t="s">
        <v>59</v>
      </c>
      <c r="CI17" t="s">
        <v>59</v>
      </c>
      <c r="CJ17" t="s">
        <v>59</v>
      </c>
      <c r="CK17" t="s">
        <v>59</v>
      </c>
      <c r="CL17" t="s">
        <v>59</v>
      </c>
      <c r="CM17" t="s">
        <v>59</v>
      </c>
      <c r="CN17" t="s">
        <v>59</v>
      </c>
      <c r="CO17" t="s">
        <v>191</v>
      </c>
      <c r="CP17" t="s">
        <v>191</v>
      </c>
      <c r="CQ17" t="s">
        <v>191</v>
      </c>
      <c r="CR17" t="s">
        <v>59</v>
      </c>
      <c r="CS17" t="s">
        <v>59</v>
      </c>
      <c r="CT17" t="s">
        <v>59</v>
      </c>
      <c r="CU17" t="s">
        <v>59</v>
      </c>
      <c r="CV17" t="s">
        <v>59</v>
      </c>
      <c r="CW17" t="s">
        <v>59</v>
      </c>
      <c r="CX17" t="s">
        <v>59</v>
      </c>
      <c r="CY17" t="s">
        <v>59</v>
      </c>
      <c r="CZ17" t="s">
        <v>59</v>
      </c>
      <c r="DA17" t="s">
        <v>59</v>
      </c>
      <c r="DB17" t="s">
        <v>59</v>
      </c>
      <c r="DC17" t="s">
        <v>59</v>
      </c>
      <c r="DD17" t="s">
        <v>59</v>
      </c>
      <c r="DE17" t="s">
        <v>59</v>
      </c>
      <c r="DF17" t="s">
        <v>59</v>
      </c>
      <c r="DG17" t="s">
        <v>59</v>
      </c>
      <c r="DH17" t="s">
        <v>59</v>
      </c>
      <c r="DI17" t="s">
        <v>59</v>
      </c>
      <c r="DJ17" t="s">
        <v>59</v>
      </c>
      <c r="DK17" t="s">
        <v>59</v>
      </c>
      <c r="DL17" t="s">
        <v>59</v>
      </c>
      <c r="DM17" t="s">
        <v>59</v>
      </c>
      <c r="DN17" t="s">
        <v>59</v>
      </c>
      <c r="DO17" t="s">
        <v>191</v>
      </c>
      <c r="DP17" t="s">
        <v>59</v>
      </c>
      <c r="DQ17" t="s">
        <v>191</v>
      </c>
      <c r="DR17" t="s">
        <v>191</v>
      </c>
      <c r="DS17" t="s">
        <v>191</v>
      </c>
      <c r="DT17" t="s">
        <v>191</v>
      </c>
      <c r="DU17" t="s">
        <v>191</v>
      </c>
      <c r="DV17" t="s">
        <v>191</v>
      </c>
      <c r="DW17" t="s">
        <v>191</v>
      </c>
      <c r="DX17" t="s">
        <v>191</v>
      </c>
      <c r="DY17" t="s">
        <v>191</v>
      </c>
      <c r="DZ17" t="s">
        <v>191</v>
      </c>
      <c r="EA17" t="s">
        <v>191</v>
      </c>
      <c r="EB17" t="s">
        <v>191</v>
      </c>
      <c r="EC17" t="s">
        <v>191</v>
      </c>
      <c r="ED17" t="s">
        <v>191</v>
      </c>
      <c r="EE17" t="s">
        <v>191</v>
      </c>
      <c r="EF17" t="s">
        <v>191</v>
      </c>
      <c r="EG17" t="s">
        <v>191</v>
      </c>
      <c r="EH17" t="s">
        <v>191</v>
      </c>
      <c r="EI17" t="s">
        <v>191</v>
      </c>
      <c r="EJ17" t="s">
        <v>191</v>
      </c>
      <c r="EK17" t="s">
        <v>191</v>
      </c>
      <c r="EL17" t="s">
        <v>191</v>
      </c>
      <c r="EM17" t="s">
        <v>191</v>
      </c>
      <c r="EN17" t="s">
        <v>59</v>
      </c>
      <c r="EO17" t="s">
        <v>59</v>
      </c>
      <c r="EP17" t="s">
        <v>59</v>
      </c>
      <c r="EQ17" t="s">
        <v>59</v>
      </c>
      <c r="ER17" t="s">
        <v>59</v>
      </c>
      <c r="ES17" t="s">
        <v>59</v>
      </c>
      <c r="ET17" t="s">
        <v>59</v>
      </c>
      <c r="EU17" t="s">
        <v>59</v>
      </c>
      <c r="EV17" t="s">
        <v>59</v>
      </c>
      <c r="EW17" t="s">
        <v>59</v>
      </c>
      <c r="EX17" t="s">
        <v>59</v>
      </c>
      <c r="EY17" t="s">
        <v>59</v>
      </c>
      <c r="EZ17" t="s">
        <v>59</v>
      </c>
      <c r="FA17" t="s">
        <v>191</v>
      </c>
      <c r="FB17" t="s">
        <v>191</v>
      </c>
      <c r="FC17" t="s">
        <v>191</v>
      </c>
      <c r="FD17" t="s">
        <v>191</v>
      </c>
      <c r="FE17" t="s">
        <v>191</v>
      </c>
      <c r="FF17" t="s">
        <v>191</v>
      </c>
      <c r="FG17" t="s">
        <v>191</v>
      </c>
      <c r="FH17" t="s">
        <v>191</v>
      </c>
      <c r="FI17" t="s">
        <v>191</v>
      </c>
      <c r="FJ17" t="s">
        <v>191</v>
      </c>
      <c r="FK17" t="s">
        <v>191</v>
      </c>
      <c r="FL17" t="s">
        <v>59</v>
      </c>
      <c r="FM17" t="s">
        <v>59</v>
      </c>
      <c r="FN17" t="s">
        <v>59</v>
      </c>
      <c r="FO17" t="s">
        <v>59</v>
      </c>
      <c r="FP17" t="s">
        <v>59</v>
      </c>
      <c r="FQ17" t="s">
        <v>59</v>
      </c>
      <c r="FR17" t="s">
        <v>59</v>
      </c>
      <c r="FS17" t="s">
        <v>191</v>
      </c>
      <c r="FT17" t="s">
        <v>59</v>
      </c>
      <c r="FU17" t="s">
        <v>59</v>
      </c>
      <c r="FV17" t="s">
        <v>59</v>
      </c>
      <c r="FW17" t="s">
        <v>59</v>
      </c>
      <c r="FX17" t="s">
        <v>59</v>
      </c>
      <c r="FY17" t="s">
        <v>59</v>
      </c>
      <c r="FZ17" t="s">
        <v>59</v>
      </c>
      <c r="GA17" t="s">
        <v>59</v>
      </c>
      <c r="GB17" t="s">
        <v>59</v>
      </c>
      <c r="GC17" t="s">
        <v>59</v>
      </c>
      <c r="GD17" t="s">
        <v>59</v>
      </c>
      <c r="GE17" t="s">
        <v>59</v>
      </c>
      <c r="GF17" t="s">
        <v>59</v>
      </c>
      <c r="GG17" t="s">
        <v>59</v>
      </c>
      <c r="GH17" t="s">
        <v>59</v>
      </c>
      <c r="GI17" t="s">
        <v>59</v>
      </c>
      <c r="GJ17" t="s">
        <v>59</v>
      </c>
      <c r="GK17" t="s">
        <v>191</v>
      </c>
      <c r="GL17" t="s">
        <v>59</v>
      </c>
      <c r="GM17" t="s">
        <v>59</v>
      </c>
      <c r="GN17" t="s">
        <v>59</v>
      </c>
      <c r="GO17" t="s">
        <v>59</v>
      </c>
      <c r="GP17" t="s">
        <v>59</v>
      </c>
      <c r="GQ17" t="s">
        <v>191</v>
      </c>
      <c r="GR17" t="s">
        <v>59</v>
      </c>
      <c r="GS17" t="s">
        <v>59</v>
      </c>
      <c r="GT17" t="s">
        <v>191</v>
      </c>
      <c r="GU17" t="s">
        <v>191</v>
      </c>
      <c r="GV17" t="s">
        <v>191</v>
      </c>
      <c r="GW17" t="s">
        <v>59</v>
      </c>
      <c r="GX17" t="s">
        <v>59</v>
      </c>
      <c r="GY17" t="s">
        <v>59</v>
      </c>
      <c r="GZ17" t="s">
        <v>59</v>
      </c>
      <c r="HA17" t="s">
        <v>191</v>
      </c>
      <c r="HB17" t="s">
        <v>59</v>
      </c>
      <c r="HC17" t="s">
        <v>59</v>
      </c>
      <c r="HD17" t="s">
        <v>59</v>
      </c>
      <c r="HE17" t="s">
        <v>59</v>
      </c>
      <c r="HF17" t="s">
        <v>59</v>
      </c>
      <c r="HG17" t="s">
        <v>59</v>
      </c>
      <c r="HH17" t="s">
        <v>59</v>
      </c>
      <c r="HI17" t="s">
        <v>59</v>
      </c>
      <c r="HJ17" t="s">
        <v>59</v>
      </c>
      <c r="HK17" t="s">
        <v>59</v>
      </c>
      <c r="HL17" t="s">
        <v>191</v>
      </c>
      <c r="HM17" t="s">
        <v>191</v>
      </c>
      <c r="HN17" t="s">
        <v>191</v>
      </c>
      <c r="HO17" t="s">
        <v>191</v>
      </c>
      <c r="HP17" t="s">
        <v>59</v>
      </c>
      <c r="HQ17" t="s">
        <v>59</v>
      </c>
      <c r="HR17" t="s">
        <v>59</v>
      </c>
      <c r="HS17" t="s">
        <v>59</v>
      </c>
      <c r="HT17" t="s">
        <v>59</v>
      </c>
      <c r="HU17" t="s">
        <v>59</v>
      </c>
      <c r="HV17" t="s">
        <v>59</v>
      </c>
      <c r="HW17" t="s">
        <v>59</v>
      </c>
      <c r="HX17" t="s">
        <v>59</v>
      </c>
      <c r="HY17" t="s">
        <v>59</v>
      </c>
      <c r="HZ17" t="s">
        <v>59</v>
      </c>
      <c r="IA17" t="s">
        <v>59</v>
      </c>
      <c r="IB17" t="s">
        <v>59</v>
      </c>
      <c r="IC17" t="s">
        <v>59</v>
      </c>
      <c r="ID17" t="s">
        <v>59</v>
      </c>
      <c r="IE17" t="s">
        <v>59</v>
      </c>
      <c r="IF17" t="s">
        <v>60</v>
      </c>
      <c r="IG17" t="s">
        <v>60</v>
      </c>
      <c r="IH17" t="s">
        <v>60</v>
      </c>
      <c r="II17" t="s">
        <v>59</v>
      </c>
      <c r="IJ17" t="s">
        <v>129</v>
      </c>
      <c r="IK17" t="s">
        <v>198</v>
      </c>
      <c r="IL17" t="s">
        <v>128</v>
      </c>
      <c r="IM17" t="s">
        <v>199</v>
      </c>
      <c r="IN17">
        <v>20</v>
      </c>
      <c r="IO17" t="s">
        <v>2730</v>
      </c>
      <c r="IP17">
        <v>3</v>
      </c>
      <c r="IQ17">
        <v>9</v>
      </c>
      <c r="IR17">
        <v>15</v>
      </c>
      <c r="IS17" t="s">
        <v>2730</v>
      </c>
      <c r="IT17" t="s">
        <v>2730</v>
      </c>
      <c r="IU17" t="s">
        <v>2730</v>
      </c>
      <c r="IV17">
        <v>16</v>
      </c>
      <c r="IW17" t="s">
        <v>2730</v>
      </c>
      <c r="IX17">
        <v>3</v>
      </c>
      <c r="IY17" t="s">
        <v>2730</v>
      </c>
      <c r="IZ17">
        <v>24</v>
      </c>
      <c r="JA17" t="s">
        <v>2730</v>
      </c>
      <c r="JB17">
        <v>35</v>
      </c>
      <c r="JC17" t="s">
        <v>2730</v>
      </c>
      <c r="JD17">
        <v>24</v>
      </c>
      <c r="JE17" t="s">
        <v>2730</v>
      </c>
      <c r="JF17">
        <v>2</v>
      </c>
      <c r="JG17" t="s">
        <v>2730</v>
      </c>
      <c r="JH17">
        <v>21</v>
      </c>
      <c r="JI17" t="s">
        <v>2730</v>
      </c>
      <c r="JJ17">
        <v>9</v>
      </c>
      <c r="JK17" t="s">
        <v>2730</v>
      </c>
      <c r="JL17">
        <v>16</v>
      </c>
      <c r="JM17" t="s">
        <v>2730</v>
      </c>
      <c r="JN17" t="s">
        <v>2730</v>
      </c>
      <c r="JO17">
        <v>1</v>
      </c>
      <c r="JP17" t="s">
        <v>2730</v>
      </c>
      <c r="JQ17">
        <v>3</v>
      </c>
    </row>
    <row r="18" spans="1:277">
      <c r="A18" s="149" t="str">
        <f>HYPERLINK("http://www.ofsted.gov.uk/inspection-reports/find-inspection-report/provider/ELS/138119 ","Ofsted School Webpage")</f>
        <v>Ofsted School Webpage</v>
      </c>
      <c r="B18">
        <v>1134163</v>
      </c>
      <c r="C18">
        <v>138119</v>
      </c>
      <c r="D18">
        <v>9316006</v>
      </c>
      <c r="E18" t="s">
        <v>241</v>
      </c>
      <c r="F18" t="s">
        <v>37</v>
      </c>
      <c r="G18" t="s">
        <v>209</v>
      </c>
      <c r="H18" t="s">
        <v>181</v>
      </c>
      <c r="I18" t="s">
        <v>181</v>
      </c>
      <c r="J18" t="s">
        <v>242</v>
      </c>
      <c r="K18" t="s">
        <v>243</v>
      </c>
      <c r="L18" t="s">
        <v>184</v>
      </c>
      <c r="M18" t="s">
        <v>185</v>
      </c>
      <c r="N18" t="s">
        <v>184</v>
      </c>
      <c r="O18" t="s">
        <v>2730</v>
      </c>
      <c r="P18" t="s">
        <v>186</v>
      </c>
      <c r="Q18">
        <v>10033956</v>
      </c>
      <c r="R18" s="120">
        <v>42997</v>
      </c>
      <c r="S18" s="120">
        <v>42999</v>
      </c>
      <c r="T18" s="120">
        <v>43026</v>
      </c>
      <c r="U18" t="s">
        <v>2730</v>
      </c>
      <c r="V18" t="s">
        <v>196</v>
      </c>
      <c r="W18" t="s">
        <v>2730</v>
      </c>
      <c r="X18" t="s">
        <v>197</v>
      </c>
      <c r="Y18">
        <v>3</v>
      </c>
      <c r="Z18">
        <v>2</v>
      </c>
      <c r="AA18">
        <v>2</v>
      </c>
      <c r="AB18">
        <v>3</v>
      </c>
      <c r="AC18">
        <v>3</v>
      </c>
      <c r="AD18" t="s">
        <v>2730</v>
      </c>
      <c r="AE18" t="s">
        <v>2730</v>
      </c>
      <c r="AF18" t="s">
        <v>128</v>
      </c>
      <c r="AG18" t="s">
        <v>2730</v>
      </c>
      <c r="AH18" t="s">
        <v>2732</v>
      </c>
      <c r="AI18" t="s">
        <v>59</v>
      </c>
      <c r="AJ18" t="s">
        <v>59</v>
      </c>
      <c r="AK18" t="s">
        <v>59</v>
      </c>
      <c r="AL18" t="s">
        <v>59</v>
      </c>
      <c r="AM18" t="s">
        <v>59</v>
      </c>
      <c r="AN18" t="s">
        <v>59</v>
      </c>
      <c r="AO18" t="s">
        <v>59</v>
      </c>
      <c r="AP18" t="s">
        <v>59</v>
      </c>
      <c r="AQ18" t="s">
        <v>59</v>
      </c>
      <c r="AR18" t="s">
        <v>59</v>
      </c>
      <c r="AS18" t="s">
        <v>59</v>
      </c>
      <c r="AT18" t="s">
        <v>59</v>
      </c>
      <c r="AU18" t="s">
        <v>59</v>
      </c>
      <c r="AV18" t="s">
        <v>59</v>
      </c>
      <c r="AW18" t="s">
        <v>59</v>
      </c>
      <c r="AX18" t="s">
        <v>59</v>
      </c>
      <c r="AY18" t="s">
        <v>59</v>
      </c>
      <c r="AZ18" t="s">
        <v>59</v>
      </c>
      <c r="BA18" t="s">
        <v>59</v>
      </c>
      <c r="BB18" t="s">
        <v>59</v>
      </c>
      <c r="BC18" t="s">
        <v>59</v>
      </c>
      <c r="BD18" t="s">
        <v>59</v>
      </c>
      <c r="BE18" t="s">
        <v>59</v>
      </c>
      <c r="BF18" t="s">
        <v>59</v>
      </c>
      <c r="BG18" t="s">
        <v>59</v>
      </c>
      <c r="BH18" t="s">
        <v>59</v>
      </c>
      <c r="BI18" t="s">
        <v>59</v>
      </c>
      <c r="BJ18" t="s">
        <v>59</v>
      </c>
      <c r="BK18" t="s">
        <v>59</v>
      </c>
      <c r="BL18" t="s">
        <v>59</v>
      </c>
      <c r="BM18" t="s">
        <v>59</v>
      </c>
      <c r="BN18" t="s">
        <v>59</v>
      </c>
      <c r="BO18" t="s">
        <v>59</v>
      </c>
      <c r="BP18" t="s">
        <v>59</v>
      </c>
      <c r="BQ18" t="s">
        <v>59</v>
      </c>
      <c r="BR18" t="s">
        <v>59</v>
      </c>
      <c r="BS18" t="s">
        <v>59</v>
      </c>
      <c r="BT18" t="s">
        <v>59</v>
      </c>
      <c r="BU18" t="s">
        <v>59</v>
      </c>
      <c r="BV18" t="s">
        <v>59</v>
      </c>
      <c r="BW18" t="s">
        <v>59</v>
      </c>
      <c r="BX18" t="s">
        <v>59</v>
      </c>
      <c r="BY18" t="s">
        <v>59</v>
      </c>
      <c r="BZ18" t="s">
        <v>59</v>
      </c>
      <c r="CA18" t="s">
        <v>59</v>
      </c>
      <c r="CB18" t="s">
        <v>59</v>
      </c>
      <c r="CC18" t="s">
        <v>59</v>
      </c>
      <c r="CD18" t="s">
        <v>59</v>
      </c>
      <c r="CE18" t="s">
        <v>59</v>
      </c>
      <c r="CF18" t="s">
        <v>59</v>
      </c>
      <c r="CG18" t="s">
        <v>59</v>
      </c>
      <c r="CH18" t="s">
        <v>59</v>
      </c>
      <c r="CI18" t="s">
        <v>59</v>
      </c>
      <c r="CJ18" t="s">
        <v>59</v>
      </c>
      <c r="CK18" t="s">
        <v>59</v>
      </c>
      <c r="CL18" t="s">
        <v>59</v>
      </c>
      <c r="CM18" t="s">
        <v>59</v>
      </c>
      <c r="CN18" t="s">
        <v>59</v>
      </c>
      <c r="CO18" t="s">
        <v>191</v>
      </c>
      <c r="CP18" t="s">
        <v>191</v>
      </c>
      <c r="CQ18" t="s">
        <v>191</v>
      </c>
      <c r="CR18" t="s">
        <v>59</v>
      </c>
      <c r="CS18" t="s">
        <v>59</v>
      </c>
      <c r="CT18" t="s">
        <v>59</v>
      </c>
      <c r="CU18" t="s">
        <v>59</v>
      </c>
      <c r="CV18" t="s">
        <v>59</v>
      </c>
      <c r="CW18" t="s">
        <v>59</v>
      </c>
      <c r="CX18" t="s">
        <v>59</v>
      </c>
      <c r="CY18" t="s">
        <v>59</v>
      </c>
      <c r="CZ18" t="s">
        <v>59</v>
      </c>
      <c r="DA18" t="s">
        <v>59</v>
      </c>
      <c r="DB18" t="s">
        <v>59</v>
      </c>
      <c r="DC18" t="s">
        <v>59</v>
      </c>
      <c r="DD18" t="s">
        <v>59</v>
      </c>
      <c r="DE18" t="s">
        <v>59</v>
      </c>
      <c r="DF18" t="s">
        <v>59</v>
      </c>
      <c r="DG18" t="s">
        <v>59</v>
      </c>
      <c r="DH18" t="s">
        <v>59</v>
      </c>
      <c r="DI18" t="s">
        <v>59</v>
      </c>
      <c r="DJ18" t="s">
        <v>59</v>
      </c>
      <c r="DK18" t="s">
        <v>59</v>
      </c>
      <c r="DL18" t="s">
        <v>59</v>
      </c>
      <c r="DM18" t="s">
        <v>59</v>
      </c>
      <c r="DN18" t="s">
        <v>59</v>
      </c>
      <c r="DO18" t="s">
        <v>191</v>
      </c>
      <c r="DP18" t="s">
        <v>59</v>
      </c>
      <c r="DQ18" t="s">
        <v>59</v>
      </c>
      <c r="DR18" t="s">
        <v>59</v>
      </c>
      <c r="DS18" t="s">
        <v>59</v>
      </c>
      <c r="DT18" t="s">
        <v>59</v>
      </c>
      <c r="DU18" t="s">
        <v>59</v>
      </c>
      <c r="DV18" t="s">
        <v>59</v>
      </c>
      <c r="DW18" t="s">
        <v>59</v>
      </c>
      <c r="DX18" t="s">
        <v>59</v>
      </c>
      <c r="DY18" t="s">
        <v>59</v>
      </c>
      <c r="DZ18" t="s">
        <v>59</v>
      </c>
      <c r="EA18" t="s">
        <v>59</v>
      </c>
      <c r="EB18" t="s">
        <v>59</v>
      </c>
      <c r="EC18" t="s">
        <v>191</v>
      </c>
      <c r="ED18" t="s">
        <v>59</v>
      </c>
      <c r="EE18" t="s">
        <v>59</v>
      </c>
      <c r="EF18" t="s">
        <v>59</v>
      </c>
      <c r="EG18" t="s">
        <v>59</v>
      </c>
      <c r="EH18" t="s">
        <v>59</v>
      </c>
      <c r="EI18" t="s">
        <v>59</v>
      </c>
      <c r="EJ18" t="s">
        <v>59</v>
      </c>
      <c r="EK18" t="s">
        <v>59</v>
      </c>
      <c r="EL18" t="s">
        <v>59</v>
      </c>
      <c r="EM18" t="s">
        <v>59</v>
      </c>
      <c r="EN18" t="s">
        <v>59</v>
      </c>
      <c r="EO18" t="s">
        <v>59</v>
      </c>
      <c r="EP18" t="s">
        <v>59</v>
      </c>
      <c r="EQ18" t="s">
        <v>59</v>
      </c>
      <c r="ER18" t="s">
        <v>59</v>
      </c>
      <c r="ES18" t="s">
        <v>59</v>
      </c>
      <c r="ET18" t="s">
        <v>59</v>
      </c>
      <c r="EU18" t="s">
        <v>59</v>
      </c>
      <c r="EV18" t="s">
        <v>59</v>
      </c>
      <c r="EW18" t="s">
        <v>59</v>
      </c>
      <c r="EX18" t="s">
        <v>59</v>
      </c>
      <c r="EY18" t="s">
        <v>59</v>
      </c>
      <c r="EZ18" t="s">
        <v>59</v>
      </c>
      <c r="FA18" t="s">
        <v>59</v>
      </c>
      <c r="FB18" t="s">
        <v>59</v>
      </c>
      <c r="FC18" t="s">
        <v>59</v>
      </c>
      <c r="FD18" t="s">
        <v>59</v>
      </c>
      <c r="FE18" t="s">
        <v>59</v>
      </c>
      <c r="FF18" t="s">
        <v>59</v>
      </c>
      <c r="FG18" t="s">
        <v>59</v>
      </c>
      <c r="FH18" t="s">
        <v>59</v>
      </c>
      <c r="FI18" t="s">
        <v>59</v>
      </c>
      <c r="FJ18" t="s">
        <v>59</v>
      </c>
      <c r="FK18" t="s">
        <v>59</v>
      </c>
      <c r="FL18" t="s">
        <v>59</v>
      </c>
      <c r="FM18" t="s">
        <v>59</v>
      </c>
      <c r="FN18" t="s">
        <v>59</v>
      </c>
      <c r="FO18" t="s">
        <v>59</v>
      </c>
      <c r="FP18" t="s">
        <v>59</v>
      </c>
      <c r="FQ18" t="s">
        <v>59</v>
      </c>
      <c r="FR18" t="s">
        <v>59</v>
      </c>
      <c r="FS18" t="s">
        <v>59</v>
      </c>
      <c r="FT18" t="s">
        <v>59</v>
      </c>
      <c r="FU18" t="s">
        <v>59</v>
      </c>
      <c r="FV18" t="s">
        <v>59</v>
      </c>
      <c r="FW18" t="s">
        <v>59</v>
      </c>
      <c r="FX18" t="s">
        <v>59</v>
      </c>
      <c r="FY18" t="s">
        <v>59</v>
      </c>
      <c r="FZ18" t="s">
        <v>60</v>
      </c>
      <c r="GA18" t="s">
        <v>59</v>
      </c>
      <c r="GB18" t="s">
        <v>60</v>
      </c>
      <c r="GC18" t="s">
        <v>59</v>
      </c>
      <c r="GD18" t="s">
        <v>191</v>
      </c>
      <c r="GE18" t="s">
        <v>59</v>
      </c>
      <c r="GF18" t="s">
        <v>59</v>
      </c>
      <c r="GG18" t="s">
        <v>59</v>
      </c>
      <c r="GH18" t="s">
        <v>59</v>
      </c>
      <c r="GI18" t="s">
        <v>59</v>
      </c>
      <c r="GJ18" t="s">
        <v>59</v>
      </c>
      <c r="GK18" t="s">
        <v>191</v>
      </c>
      <c r="GL18" t="s">
        <v>59</v>
      </c>
      <c r="GM18" t="s">
        <v>59</v>
      </c>
      <c r="GN18" t="s">
        <v>59</v>
      </c>
      <c r="GO18" t="s">
        <v>59</v>
      </c>
      <c r="GP18" t="s">
        <v>59</v>
      </c>
      <c r="GQ18" t="s">
        <v>59</v>
      </c>
      <c r="GR18" t="s">
        <v>59</v>
      </c>
      <c r="GS18" t="s">
        <v>59</v>
      </c>
      <c r="GT18" t="s">
        <v>59</v>
      </c>
      <c r="GU18" t="s">
        <v>59</v>
      </c>
      <c r="GV18" t="s">
        <v>59</v>
      </c>
      <c r="GW18" t="s">
        <v>59</v>
      </c>
      <c r="GX18" t="s">
        <v>59</v>
      </c>
      <c r="GY18" t="s">
        <v>59</v>
      </c>
      <c r="GZ18" t="s">
        <v>59</v>
      </c>
      <c r="HA18" t="s">
        <v>59</v>
      </c>
      <c r="HB18" t="s">
        <v>59</v>
      </c>
      <c r="HC18" t="s">
        <v>59</v>
      </c>
      <c r="HD18" t="s">
        <v>59</v>
      </c>
      <c r="HE18" t="s">
        <v>59</v>
      </c>
      <c r="HF18" t="s">
        <v>59</v>
      </c>
      <c r="HG18" t="s">
        <v>59</v>
      </c>
      <c r="HH18" t="s">
        <v>59</v>
      </c>
      <c r="HI18" t="s">
        <v>59</v>
      </c>
      <c r="HJ18" t="s">
        <v>59</v>
      </c>
      <c r="HK18" t="s">
        <v>59</v>
      </c>
      <c r="HL18" t="s">
        <v>59</v>
      </c>
      <c r="HM18" t="s">
        <v>59</v>
      </c>
      <c r="HN18" t="s">
        <v>59</v>
      </c>
      <c r="HO18" t="s">
        <v>59</v>
      </c>
      <c r="HP18" t="s">
        <v>59</v>
      </c>
      <c r="HQ18" t="s">
        <v>59</v>
      </c>
      <c r="HR18" t="s">
        <v>59</v>
      </c>
      <c r="HS18" t="s">
        <v>59</v>
      </c>
      <c r="HT18" t="s">
        <v>59</v>
      </c>
      <c r="HU18" t="s">
        <v>59</v>
      </c>
      <c r="HV18" t="s">
        <v>59</v>
      </c>
      <c r="HW18" t="s">
        <v>59</v>
      </c>
      <c r="HX18" t="s">
        <v>59</v>
      </c>
      <c r="HY18" t="s">
        <v>59</v>
      </c>
      <c r="HZ18" t="s">
        <v>59</v>
      </c>
      <c r="IA18" t="s">
        <v>59</v>
      </c>
      <c r="IB18" t="s">
        <v>59</v>
      </c>
      <c r="IC18" t="s">
        <v>59</v>
      </c>
      <c r="ID18" t="s">
        <v>59</v>
      </c>
      <c r="IE18" t="s">
        <v>59</v>
      </c>
      <c r="IF18" t="s">
        <v>59</v>
      </c>
      <c r="IG18" t="s">
        <v>59</v>
      </c>
      <c r="IH18" t="s">
        <v>59</v>
      </c>
      <c r="II18" t="s">
        <v>59</v>
      </c>
      <c r="IJ18" t="s">
        <v>129</v>
      </c>
      <c r="IK18" t="s">
        <v>198</v>
      </c>
      <c r="IL18" t="s">
        <v>128</v>
      </c>
      <c r="IM18" t="s">
        <v>199</v>
      </c>
      <c r="IN18">
        <v>32</v>
      </c>
      <c r="IO18" t="s">
        <v>2730</v>
      </c>
      <c r="IP18" t="s">
        <v>2730</v>
      </c>
      <c r="IQ18" t="s">
        <v>2730</v>
      </c>
      <c r="IR18">
        <v>15</v>
      </c>
      <c r="IS18" t="s">
        <v>2730</v>
      </c>
      <c r="IT18" t="s">
        <v>2730</v>
      </c>
      <c r="IU18" t="s">
        <v>2730</v>
      </c>
      <c r="IV18">
        <v>16</v>
      </c>
      <c r="IW18" t="s">
        <v>2730</v>
      </c>
      <c r="IX18">
        <v>3</v>
      </c>
      <c r="IY18" t="s">
        <v>2730</v>
      </c>
      <c r="IZ18">
        <v>57</v>
      </c>
      <c r="JA18" t="s">
        <v>2730</v>
      </c>
      <c r="JB18">
        <v>2</v>
      </c>
      <c r="JC18" t="s">
        <v>2730</v>
      </c>
      <c r="JD18">
        <v>22</v>
      </c>
      <c r="JE18" t="s">
        <v>2730</v>
      </c>
      <c r="JF18">
        <v>2</v>
      </c>
      <c r="JG18">
        <v>2</v>
      </c>
      <c r="JH18">
        <v>30</v>
      </c>
      <c r="JI18" t="s">
        <v>2730</v>
      </c>
      <c r="JJ18" t="s">
        <v>2730</v>
      </c>
      <c r="JK18" t="s">
        <v>2730</v>
      </c>
      <c r="JL18">
        <v>16</v>
      </c>
      <c r="JM18" t="s">
        <v>2730</v>
      </c>
      <c r="JN18" t="s">
        <v>2730</v>
      </c>
      <c r="JO18">
        <v>4</v>
      </c>
      <c r="JP18" t="s">
        <v>2730</v>
      </c>
      <c r="JQ18" t="s">
        <v>2730</v>
      </c>
    </row>
    <row r="19" spans="1:277">
      <c r="A19" s="149" t="str">
        <f>HYPERLINK("http://www.ofsted.gov.uk/inspection-reports/find-inspection-report/provider/ELS/139331 ","Ofsted School Webpage")</f>
        <v>Ofsted School Webpage</v>
      </c>
      <c r="B19">
        <v>1135116</v>
      </c>
      <c r="C19">
        <v>139331</v>
      </c>
      <c r="D19">
        <v>2096000</v>
      </c>
      <c r="E19" t="s">
        <v>2418</v>
      </c>
      <c r="F19" t="s">
        <v>37</v>
      </c>
      <c r="G19" t="s">
        <v>209</v>
      </c>
      <c r="H19" t="s">
        <v>232</v>
      </c>
      <c r="I19" t="s">
        <v>232</v>
      </c>
      <c r="J19" t="s">
        <v>529</v>
      </c>
      <c r="K19" t="s">
        <v>2419</v>
      </c>
      <c r="L19" t="s">
        <v>184</v>
      </c>
      <c r="M19" t="s">
        <v>185</v>
      </c>
      <c r="N19" t="s">
        <v>184</v>
      </c>
      <c r="O19" t="s">
        <v>2730</v>
      </c>
      <c r="P19" t="s">
        <v>186</v>
      </c>
      <c r="Q19">
        <v>10026297</v>
      </c>
      <c r="R19" s="120">
        <v>43046</v>
      </c>
      <c r="S19" s="120">
        <v>43048</v>
      </c>
      <c r="T19" s="120">
        <v>43080</v>
      </c>
      <c r="U19" t="s">
        <v>2730</v>
      </c>
      <c r="V19" t="s">
        <v>196</v>
      </c>
      <c r="W19" t="s">
        <v>2730</v>
      </c>
      <c r="X19" t="s">
        <v>197</v>
      </c>
      <c r="Y19">
        <v>2</v>
      </c>
      <c r="Z19">
        <v>2</v>
      </c>
      <c r="AA19">
        <v>2</v>
      </c>
      <c r="AB19">
        <v>2</v>
      </c>
      <c r="AC19">
        <v>2</v>
      </c>
      <c r="AD19">
        <v>2</v>
      </c>
      <c r="AE19" t="s">
        <v>2730</v>
      </c>
      <c r="AF19" t="s">
        <v>128</v>
      </c>
      <c r="AG19" t="s">
        <v>2730</v>
      </c>
      <c r="AH19" t="s">
        <v>2732</v>
      </c>
      <c r="AI19" t="s">
        <v>59</v>
      </c>
      <c r="AJ19" t="s">
        <v>59</v>
      </c>
      <c r="AK19" t="s">
        <v>59</v>
      </c>
      <c r="AL19" t="s">
        <v>59</v>
      </c>
      <c r="AM19" t="s">
        <v>59</v>
      </c>
      <c r="AN19" t="s">
        <v>59</v>
      </c>
      <c r="AO19" t="s">
        <v>59</v>
      </c>
      <c r="AP19" t="s">
        <v>59</v>
      </c>
      <c r="AQ19" t="s">
        <v>59</v>
      </c>
      <c r="AR19" t="s">
        <v>59</v>
      </c>
      <c r="AS19" t="s">
        <v>59</v>
      </c>
      <c r="AT19" t="s">
        <v>59</v>
      </c>
      <c r="AU19" t="s">
        <v>59</v>
      </c>
      <c r="AV19" t="s">
        <v>59</v>
      </c>
      <c r="AW19" t="s">
        <v>59</v>
      </c>
      <c r="AX19" t="s">
        <v>59</v>
      </c>
      <c r="AY19" t="s">
        <v>218</v>
      </c>
      <c r="AZ19" t="s">
        <v>59</v>
      </c>
      <c r="BA19" t="s">
        <v>59</v>
      </c>
      <c r="BB19" t="s">
        <v>59</v>
      </c>
      <c r="BC19" t="s">
        <v>218</v>
      </c>
      <c r="BD19" t="s">
        <v>218</v>
      </c>
      <c r="BE19" t="s">
        <v>218</v>
      </c>
      <c r="BF19" t="s">
        <v>218</v>
      </c>
      <c r="BG19" t="s">
        <v>59</v>
      </c>
      <c r="BH19" t="s">
        <v>218</v>
      </c>
      <c r="BI19" t="s">
        <v>59</v>
      </c>
      <c r="BJ19" t="s">
        <v>59</v>
      </c>
      <c r="BK19" t="s">
        <v>59</v>
      </c>
      <c r="BL19" t="s">
        <v>59</v>
      </c>
      <c r="BM19" t="s">
        <v>59</v>
      </c>
      <c r="BN19" t="s">
        <v>59</v>
      </c>
      <c r="BO19" t="s">
        <v>59</v>
      </c>
      <c r="BP19" t="s">
        <v>59</v>
      </c>
      <c r="BQ19" t="s">
        <v>59</v>
      </c>
      <c r="BR19" t="s">
        <v>59</v>
      </c>
      <c r="BS19" t="s">
        <v>59</v>
      </c>
      <c r="BT19" t="s">
        <v>59</v>
      </c>
      <c r="BU19" t="s">
        <v>59</v>
      </c>
      <c r="BV19" t="s">
        <v>59</v>
      </c>
      <c r="BW19" t="s">
        <v>59</v>
      </c>
      <c r="BX19" t="s">
        <v>59</v>
      </c>
      <c r="BY19" t="s">
        <v>59</v>
      </c>
      <c r="BZ19" t="s">
        <v>59</v>
      </c>
      <c r="CA19" t="s">
        <v>59</v>
      </c>
      <c r="CB19" t="s">
        <v>59</v>
      </c>
      <c r="CC19" t="s">
        <v>59</v>
      </c>
      <c r="CD19" t="s">
        <v>59</v>
      </c>
      <c r="CE19" t="s">
        <v>59</v>
      </c>
      <c r="CF19" t="s">
        <v>59</v>
      </c>
      <c r="CG19" t="s">
        <v>59</v>
      </c>
      <c r="CH19" t="s">
        <v>59</v>
      </c>
      <c r="CI19" t="s">
        <v>59</v>
      </c>
      <c r="CJ19" t="s">
        <v>59</v>
      </c>
      <c r="CK19" t="s">
        <v>59</v>
      </c>
      <c r="CL19" t="s">
        <v>59</v>
      </c>
      <c r="CM19" t="s">
        <v>59</v>
      </c>
      <c r="CN19" t="s">
        <v>59</v>
      </c>
      <c r="CO19" t="s">
        <v>218</v>
      </c>
      <c r="CP19" t="s">
        <v>218</v>
      </c>
      <c r="CQ19" t="s">
        <v>218</v>
      </c>
      <c r="CR19" t="s">
        <v>59</v>
      </c>
      <c r="CS19" t="s">
        <v>59</v>
      </c>
      <c r="CT19" t="s">
        <v>59</v>
      </c>
      <c r="CU19" t="s">
        <v>59</v>
      </c>
      <c r="CV19" t="s">
        <v>59</v>
      </c>
      <c r="CW19" t="s">
        <v>59</v>
      </c>
      <c r="CX19" t="s">
        <v>59</v>
      </c>
      <c r="CY19" t="s">
        <v>59</v>
      </c>
      <c r="CZ19" t="s">
        <v>59</v>
      </c>
      <c r="DA19" t="s">
        <v>59</v>
      </c>
      <c r="DB19" t="s">
        <v>59</v>
      </c>
      <c r="DC19" t="s">
        <v>59</v>
      </c>
      <c r="DD19" t="s">
        <v>59</v>
      </c>
      <c r="DE19" t="s">
        <v>59</v>
      </c>
      <c r="DF19" t="s">
        <v>59</v>
      </c>
      <c r="DG19" t="s">
        <v>59</v>
      </c>
      <c r="DH19" t="s">
        <v>59</v>
      </c>
      <c r="DI19" t="s">
        <v>59</v>
      </c>
      <c r="DJ19" t="s">
        <v>59</v>
      </c>
      <c r="DK19" t="s">
        <v>59</v>
      </c>
      <c r="DL19" t="s">
        <v>59</v>
      </c>
      <c r="DM19" t="s">
        <v>59</v>
      </c>
      <c r="DN19" t="s">
        <v>59</v>
      </c>
      <c r="DO19" t="s">
        <v>218</v>
      </c>
      <c r="DP19" t="s">
        <v>59</v>
      </c>
      <c r="DQ19" t="s">
        <v>218</v>
      </c>
      <c r="DR19" t="s">
        <v>218</v>
      </c>
      <c r="DS19" t="s">
        <v>218</v>
      </c>
      <c r="DT19" t="s">
        <v>218</v>
      </c>
      <c r="DU19" t="s">
        <v>218</v>
      </c>
      <c r="DV19" t="s">
        <v>218</v>
      </c>
      <c r="DW19" t="s">
        <v>218</v>
      </c>
      <c r="DX19" t="s">
        <v>218</v>
      </c>
      <c r="DY19" t="s">
        <v>218</v>
      </c>
      <c r="DZ19" t="s">
        <v>218</v>
      </c>
      <c r="EA19" t="s">
        <v>218</v>
      </c>
      <c r="EB19" t="s">
        <v>218</v>
      </c>
      <c r="EC19" t="s">
        <v>218</v>
      </c>
      <c r="ED19" t="s">
        <v>218</v>
      </c>
      <c r="EE19" t="s">
        <v>59</v>
      </c>
      <c r="EF19" t="s">
        <v>59</v>
      </c>
      <c r="EG19" t="s">
        <v>59</v>
      </c>
      <c r="EH19" t="s">
        <v>59</v>
      </c>
      <c r="EI19" t="s">
        <v>59</v>
      </c>
      <c r="EJ19" t="s">
        <v>59</v>
      </c>
      <c r="EK19" t="s">
        <v>59</v>
      </c>
      <c r="EL19" t="s">
        <v>59</v>
      </c>
      <c r="EM19" t="s">
        <v>59</v>
      </c>
      <c r="EN19" t="s">
        <v>59</v>
      </c>
      <c r="EO19" t="s">
        <v>59</v>
      </c>
      <c r="EP19" t="s">
        <v>59</v>
      </c>
      <c r="EQ19" t="s">
        <v>59</v>
      </c>
      <c r="ER19" t="s">
        <v>59</v>
      </c>
      <c r="ES19" t="s">
        <v>59</v>
      </c>
      <c r="ET19" t="s">
        <v>59</v>
      </c>
      <c r="EU19" t="s">
        <v>59</v>
      </c>
      <c r="EV19" t="s">
        <v>59</v>
      </c>
      <c r="EW19" t="s">
        <v>59</v>
      </c>
      <c r="EX19" t="s">
        <v>59</v>
      </c>
      <c r="EY19" t="s">
        <v>59</v>
      </c>
      <c r="EZ19" t="s">
        <v>59</v>
      </c>
      <c r="FA19" t="s">
        <v>59</v>
      </c>
      <c r="FB19" t="s">
        <v>218</v>
      </c>
      <c r="FC19" t="s">
        <v>218</v>
      </c>
      <c r="FD19" t="s">
        <v>218</v>
      </c>
      <c r="FE19" t="s">
        <v>218</v>
      </c>
      <c r="FF19" t="s">
        <v>218</v>
      </c>
      <c r="FG19" t="s">
        <v>218</v>
      </c>
      <c r="FH19" t="s">
        <v>59</v>
      </c>
      <c r="FI19" t="s">
        <v>59</v>
      </c>
      <c r="FJ19" t="s">
        <v>59</v>
      </c>
      <c r="FK19" t="s">
        <v>59</v>
      </c>
      <c r="FL19" t="s">
        <v>59</v>
      </c>
      <c r="FM19" t="s">
        <v>59</v>
      </c>
      <c r="FN19" t="s">
        <v>59</v>
      </c>
      <c r="FO19" t="s">
        <v>218</v>
      </c>
      <c r="FP19" t="s">
        <v>59</v>
      </c>
      <c r="FQ19" t="s">
        <v>59</v>
      </c>
      <c r="FR19" t="s">
        <v>59</v>
      </c>
      <c r="FS19" t="s">
        <v>218</v>
      </c>
      <c r="FT19" t="s">
        <v>59</v>
      </c>
      <c r="FU19" t="s">
        <v>59</v>
      </c>
      <c r="FV19" t="s">
        <v>59</v>
      </c>
      <c r="FW19" t="s">
        <v>59</v>
      </c>
      <c r="FX19" t="s">
        <v>59</v>
      </c>
      <c r="FY19" t="s">
        <v>59</v>
      </c>
      <c r="FZ19" t="s">
        <v>59</v>
      </c>
      <c r="GA19" t="s">
        <v>59</v>
      </c>
      <c r="GB19" t="s">
        <v>59</v>
      </c>
      <c r="GC19" t="s">
        <v>59</v>
      </c>
      <c r="GD19" t="s">
        <v>59</v>
      </c>
      <c r="GE19" t="s">
        <v>59</v>
      </c>
      <c r="GF19" t="s">
        <v>59</v>
      </c>
      <c r="GG19" t="s">
        <v>59</v>
      </c>
      <c r="GH19" t="s">
        <v>59</v>
      </c>
      <c r="GI19" t="s">
        <v>59</v>
      </c>
      <c r="GJ19" t="s">
        <v>59</v>
      </c>
      <c r="GK19" t="s">
        <v>218</v>
      </c>
      <c r="GL19" t="s">
        <v>59</v>
      </c>
      <c r="GM19" t="s">
        <v>59</v>
      </c>
      <c r="GN19" t="s">
        <v>59</v>
      </c>
      <c r="GO19" t="s">
        <v>59</v>
      </c>
      <c r="GP19" t="s">
        <v>59</v>
      </c>
      <c r="GQ19" t="s">
        <v>218</v>
      </c>
      <c r="GR19" t="s">
        <v>59</v>
      </c>
      <c r="GS19" t="s">
        <v>59</v>
      </c>
      <c r="GT19" t="s">
        <v>218</v>
      </c>
      <c r="GU19" t="s">
        <v>218</v>
      </c>
      <c r="GV19" t="s">
        <v>218</v>
      </c>
      <c r="GW19" t="s">
        <v>59</v>
      </c>
      <c r="GX19" t="s">
        <v>59</v>
      </c>
      <c r="GY19" t="s">
        <v>59</v>
      </c>
      <c r="GZ19" t="s">
        <v>218</v>
      </c>
      <c r="HA19" t="s">
        <v>59</v>
      </c>
      <c r="HB19" t="s">
        <v>218</v>
      </c>
      <c r="HC19" t="s">
        <v>59</v>
      </c>
      <c r="HD19" t="s">
        <v>59</v>
      </c>
      <c r="HE19" t="s">
        <v>59</v>
      </c>
      <c r="HF19" t="s">
        <v>59</v>
      </c>
      <c r="HG19" t="s">
        <v>59</v>
      </c>
      <c r="HH19" t="s">
        <v>59</v>
      </c>
      <c r="HI19" t="s">
        <v>59</v>
      </c>
      <c r="HJ19" t="s">
        <v>59</v>
      </c>
      <c r="HK19" t="s">
        <v>59</v>
      </c>
      <c r="HL19" t="s">
        <v>218</v>
      </c>
      <c r="HM19" t="s">
        <v>218</v>
      </c>
      <c r="HN19" t="s">
        <v>218</v>
      </c>
      <c r="HO19" t="s">
        <v>218</v>
      </c>
      <c r="HP19" t="s">
        <v>59</v>
      </c>
      <c r="HQ19" t="s">
        <v>59</v>
      </c>
      <c r="HR19" t="s">
        <v>59</v>
      </c>
      <c r="HS19" t="s">
        <v>59</v>
      </c>
      <c r="HT19" t="s">
        <v>59</v>
      </c>
      <c r="HU19" t="s">
        <v>59</v>
      </c>
      <c r="HV19" t="s">
        <v>59</v>
      </c>
      <c r="HW19" t="s">
        <v>59</v>
      </c>
      <c r="HX19" t="s">
        <v>59</v>
      </c>
      <c r="HY19" t="s">
        <v>59</v>
      </c>
      <c r="HZ19" t="s">
        <v>59</v>
      </c>
      <c r="IA19" t="s">
        <v>59</v>
      </c>
      <c r="IB19" t="s">
        <v>59</v>
      </c>
      <c r="IC19" t="s">
        <v>59</v>
      </c>
      <c r="ID19" t="s">
        <v>59</v>
      </c>
      <c r="IE19" t="s">
        <v>59</v>
      </c>
      <c r="IF19" t="s">
        <v>59</v>
      </c>
      <c r="IG19" t="s">
        <v>59</v>
      </c>
      <c r="IH19" t="s">
        <v>59</v>
      </c>
      <c r="II19" t="s">
        <v>59</v>
      </c>
      <c r="IJ19" t="s">
        <v>129</v>
      </c>
      <c r="IK19" t="s">
        <v>191</v>
      </c>
      <c r="IL19" t="s">
        <v>128</v>
      </c>
      <c r="IM19" t="s">
        <v>199</v>
      </c>
      <c r="IN19">
        <v>26</v>
      </c>
      <c r="IO19" t="s">
        <v>2730</v>
      </c>
      <c r="IP19" t="s">
        <v>2730</v>
      </c>
      <c r="IQ19" t="s">
        <v>2730</v>
      </c>
      <c r="IR19">
        <v>15</v>
      </c>
      <c r="IS19" t="s">
        <v>2730</v>
      </c>
      <c r="IT19" t="s">
        <v>2730</v>
      </c>
      <c r="IU19" t="s">
        <v>2730</v>
      </c>
      <c r="IV19">
        <v>16</v>
      </c>
      <c r="IW19" t="s">
        <v>2730</v>
      </c>
      <c r="IX19" t="s">
        <v>2730</v>
      </c>
      <c r="IY19" t="s">
        <v>2730</v>
      </c>
      <c r="IZ19">
        <v>38</v>
      </c>
      <c r="JA19" t="s">
        <v>2730</v>
      </c>
      <c r="JB19" t="s">
        <v>2730</v>
      </c>
      <c r="JC19" t="s">
        <v>2730</v>
      </c>
      <c r="JD19">
        <v>23</v>
      </c>
      <c r="JE19" t="s">
        <v>2730</v>
      </c>
      <c r="JF19" t="s">
        <v>2730</v>
      </c>
      <c r="JG19" t="s">
        <v>2730</v>
      </c>
      <c r="JH19">
        <v>20</v>
      </c>
      <c r="JI19" t="s">
        <v>2730</v>
      </c>
      <c r="JJ19" t="s">
        <v>2730</v>
      </c>
      <c r="JK19" t="s">
        <v>2730</v>
      </c>
      <c r="JL19">
        <v>16</v>
      </c>
      <c r="JM19" t="s">
        <v>2730</v>
      </c>
      <c r="JN19" t="s">
        <v>2730</v>
      </c>
      <c r="JO19">
        <v>4</v>
      </c>
      <c r="JP19" t="s">
        <v>2730</v>
      </c>
      <c r="JQ19" t="s">
        <v>2730</v>
      </c>
    </row>
    <row r="20" spans="1:277">
      <c r="A20" s="149" t="str">
        <f>HYPERLINK("http://www.ofsted.gov.uk/inspection-reports/find-inspection-report/provider/ELS/132788 ","Ofsted School Webpage")</f>
        <v>Ofsted School Webpage</v>
      </c>
      <c r="B20">
        <v>1135886</v>
      </c>
      <c r="C20">
        <v>132788</v>
      </c>
      <c r="D20">
        <v>2076399</v>
      </c>
      <c r="E20" t="s">
        <v>293</v>
      </c>
      <c r="F20" t="s">
        <v>37</v>
      </c>
      <c r="G20" t="s">
        <v>209</v>
      </c>
      <c r="H20" t="s">
        <v>232</v>
      </c>
      <c r="I20" t="s">
        <v>232</v>
      </c>
      <c r="J20" t="s">
        <v>294</v>
      </c>
      <c r="K20" t="s">
        <v>295</v>
      </c>
      <c r="L20" t="s">
        <v>184</v>
      </c>
      <c r="M20" t="s">
        <v>185</v>
      </c>
      <c r="N20" t="s">
        <v>184</v>
      </c>
      <c r="O20" t="s">
        <v>2730</v>
      </c>
      <c r="P20" t="s">
        <v>186</v>
      </c>
      <c r="Q20">
        <v>10026288</v>
      </c>
      <c r="R20" s="120">
        <v>43039</v>
      </c>
      <c r="S20" s="120">
        <v>43041</v>
      </c>
      <c r="T20" s="120">
        <v>43067</v>
      </c>
      <c r="U20" t="s">
        <v>2730</v>
      </c>
      <c r="V20" t="s">
        <v>196</v>
      </c>
      <c r="W20" t="s">
        <v>2730</v>
      </c>
      <c r="X20" t="s">
        <v>197</v>
      </c>
      <c r="Y20">
        <v>2</v>
      </c>
      <c r="Z20">
        <v>2</v>
      </c>
      <c r="AA20">
        <v>2</v>
      </c>
      <c r="AB20">
        <v>2</v>
      </c>
      <c r="AC20">
        <v>2</v>
      </c>
      <c r="AD20" t="s">
        <v>2730</v>
      </c>
      <c r="AE20" t="s">
        <v>2730</v>
      </c>
      <c r="AF20" t="s">
        <v>128</v>
      </c>
      <c r="AG20" t="s">
        <v>2730</v>
      </c>
      <c r="AH20" t="s">
        <v>2732</v>
      </c>
      <c r="AI20" t="s">
        <v>59</v>
      </c>
      <c r="AJ20" t="s">
        <v>59</v>
      </c>
      <c r="AK20" t="s">
        <v>59</v>
      </c>
      <c r="AL20" t="s">
        <v>59</v>
      </c>
      <c r="AM20" t="s">
        <v>59</v>
      </c>
      <c r="AN20" t="s">
        <v>59</v>
      </c>
      <c r="AO20" t="s">
        <v>59</v>
      </c>
      <c r="AP20" t="s">
        <v>59</v>
      </c>
      <c r="AQ20" t="s">
        <v>59</v>
      </c>
      <c r="AR20" t="s">
        <v>59</v>
      </c>
      <c r="AS20" t="s">
        <v>59</v>
      </c>
      <c r="AT20" t="s">
        <v>59</v>
      </c>
      <c r="AU20" t="s">
        <v>59</v>
      </c>
      <c r="AV20" t="s">
        <v>59</v>
      </c>
      <c r="AW20" t="s">
        <v>59</v>
      </c>
      <c r="AX20" t="s">
        <v>59</v>
      </c>
      <c r="AY20" t="s">
        <v>218</v>
      </c>
      <c r="AZ20" t="s">
        <v>59</v>
      </c>
      <c r="BA20" t="s">
        <v>59</v>
      </c>
      <c r="BB20" t="s">
        <v>59</v>
      </c>
      <c r="BC20" t="s">
        <v>59</v>
      </c>
      <c r="BD20" t="s">
        <v>59</v>
      </c>
      <c r="BE20" t="s">
        <v>59</v>
      </c>
      <c r="BF20" t="s">
        <v>59</v>
      </c>
      <c r="BG20" t="s">
        <v>59</v>
      </c>
      <c r="BH20" t="s">
        <v>218</v>
      </c>
      <c r="BI20" t="s">
        <v>59</v>
      </c>
      <c r="BJ20" t="s">
        <v>59</v>
      </c>
      <c r="BK20" t="s">
        <v>59</v>
      </c>
      <c r="BL20" t="s">
        <v>59</v>
      </c>
      <c r="BM20" t="s">
        <v>59</v>
      </c>
      <c r="BN20" t="s">
        <v>59</v>
      </c>
      <c r="BO20" t="s">
        <v>59</v>
      </c>
      <c r="BP20" t="s">
        <v>59</v>
      </c>
      <c r="BQ20" t="s">
        <v>59</v>
      </c>
      <c r="BR20" t="s">
        <v>59</v>
      </c>
      <c r="BS20" t="s">
        <v>59</v>
      </c>
      <c r="BT20" t="s">
        <v>59</v>
      </c>
      <c r="BU20" t="s">
        <v>59</v>
      </c>
      <c r="BV20" t="s">
        <v>59</v>
      </c>
      <c r="BW20" t="s">
        <v>59</v>
      </c>
      <c r="BX20" t="s">
        <v>59</v>
      </c>
      <c r="BY20" t="s">
        <v>59</v>
      </c>
      <c r="BZ20" t="s">
        <v>59</v>
      </c>
      <c r="CA20" t="s">
        <v>59</v>
      </c>
      <c r="CB20" t="s">
        <v>59</v>
      </c>
      <c r="CC20" t="s">
        <v>59</v>
      </c>
      <c r="CD20" t="s">
        <v>59</v>
      </c>
      <c r="CE20" t="s">
        <v>59</v>
      </c>
      <c r="CF20" t="s">
        <v>59</v>
      </c>
      <c r="CG20" t="s">
        <v>59</v>
      </c>
      <c r="CH20" t="s">
        <v>59</v>
      </c>
      <c r="CI20" t="s">
        <v>59</v>
      </c>
      <c r="CJ20" t="s">
        <v>59</v>
      </c>
      <c r="CK20" t="s">
        <v>59</v>
      </c>
      <c r="CL20" t="s">
        <v>59</v>
      </c>
      <c r="CM20" t="s">
        <v>59</v>
      </c>
      <c r="CN20" t="s">
        <v>59</v>
      </c>
      <c r="CO20" t="s">
        <v>59</v>
      </c>
      <c r="CP20" t="s">
        <v>218</v>
      </c>
      <c r="CQ20" t="s">
        <v>218</v>
      </c>
      <c r="CR20" t="s">
        <v>59</v>
      </c>
      <c r="CS20" t="s">
        <v>59</v>
      </c>
      <c r="CT20" t="s">
        <v>59</v>
      </c>
      <c r="CU20" t="s">
        <v>59</v>
      </c>
      <c r="CV20" t="s">
        <v>59</v>
      </c>
      <c r="CW20" t="s">
        <v>59</v>
      </c>
      <c r="CX20" t="s">
        <v>59</v>
      </c>
      <c r="CY20" t="s">
        <v>59</v>
      </c>
      <c r="CZ20" t="s">
        <v>59</v>
      </c>
      <c r="DA20" t="s">
        <v>59</v>
      </c>
      <c r="DB20" t="s">
        <v>59</v>
      </c>
      <c r="DC20" t="s">
        <v>59</v>
      </c>
      <c r="DD20" t="s">
        <v>59</v>
      </c>
      <c r="DE20" t="s">
        <v>59</v>
      </c>
      <c r="DF20" t="s">
        <v>59</v>
      </c>
      <c r="DG20" t="s">
        <v>59</v>
      </c>
      <c r="DH20" t="s">
        <v>59</v>
      </c>
      <c r="DI20" t="s">
        <v>59</v>
      </c>
      <c r="DJ20" t="s">
        <v>59</v>
      </c>
      <c r="DK20" t="s">
        <v>59</v>
      </c>
      <c r="DL20" t="s">
        <v>59</v>
      </c>
      <c r="DM20" t="s">
        <v>59</v>
      </c>
      <c r="DN20" t="s">
        <v>59</v>
      </c>
      <c r="DO20" t="s">
        <v>218</v>
      </c>
      <c r="DP20" t="s">
        <v>59</v>
      </c>
      <c r="DQ20" t="s">
        <v>59</v>
      </c>
      <c r="DR20" t="s">
        <v>59</v>
      </c>
      <c r="DS20" t="s">
        <v>59</v>
      </c>
      <c r="DT20" t="s">
        <v>59</v>
      </c>
      <c r="DU20" t="s">
        <v>59</v>
      </c>
      <c r="DV20" t="s">
        <v>59</v>
      </c>
      <c r="DW20" t="s">
        <v>59</v>
      </c>
      <c r="DX20" t="s">
        <v>59</v>
      </c>
      <c r="DY20" t="s">
        <v>59</v>
      </c>
      <c r="DZ20" t="s">
        <v>59</v>
      </c>
      <c r="EA20" t="s">
        <v>59</v>
      </c>
      <c r="EB20" t="s">
        <v>59</v>
      </c>
      <c r="EC20" t="s">
        <v>218</v>
      </c>
      <c r="ED20" t="s">
        <v>59</v>
      </c>
      <c r="EE20" t="s">
        <v>59</v>
      </c>
      <c r="EF20" t="s">
        <v>59</v>
      </c>
      <c r="EG20" t="s">
        <v>59</v>
      </c>
      <c r="EH20" t="s">
        <v>59</v>
      </c>
      <c r="EI20" t="s">
        <v>59</v>
      </c>
      <c r="EJ20" t="s">
        <v>59</v>
      </c>
      <c r="EK20" t="s">
        <v>59</v>
      </c>
      <c r="EL20" t="s">
        <v>59</v>
      </c>
      <c r="EM20" t="s">
        <v>59</v>
      </c>
      <c r="EN20" t="s">
        <v>59</v>
      </c>
      <c r="EO20" t="s">
        <v>59</v>
      </c>
      <c r="EP20" t="s">
        <v>59</v>
      </c>
      <c r="EQ20" t="s">
        <v>59</v>
      </c>
      <c r="ER20" t="s">
        <v>59</v>
      </c>
      <c r="ES20" t="s">
        <v>59</v>
      </c>
      <c r="ET20" t="s">
        <v>59</v>
      </c>
      <c r="EU20" t="s">
        <v>59</v>
      </c>
      <c r="EV20" t="s">
        <v>59</v>
      </c>
      <c r="EW20" t="s">
        <v>59</v>
      </c>
      <c r="EX20" t="s">
        <v>59</v>
      </c>
      <c r="EY20" t="s">
        <v>59</v>
      </c>
      <c r="EZ20" t="s">
        <v>59</v>
      </c>
      <c r="FA20" t="s">
        <v>59</v>
      </c>
      <c r="FB20" t="s">
        <v>59</v>
      </c>
      <c r="FC20" t="s">
        <v>59</v>
      </c>
      <c r="FD20" t="s">
        <v>59</v>
      </c>
      <c r="FE20" t="s">
        <v>59</v>
      </c>
      <c r="FF20" t="s">
        <v>59</v>
      </c>
      <c r="FG20" t="s">
        <v>59</v>
      </c>
      <c r="FH20" t="s">
        <v>59</v>
      </c>
      <c r="FI20" t="s">
        <v>59</v>
      </c>
      <c r="FJ20" t="s">
        <v>59</v>
      </c>
      <c r="FK20" t="s">
        <v>59</v>
      </c>
      <c r="FL20" t="s">
        <v>59</v>
      </c>
      <c r="FM20" t="s">
        <v>59</v>
      </c>
      <c r="FN20" t="s">
        <v>59</v>
      </c>
      <c r="FO20" t="s">
        <v>59</v>
      </c>
      <c r="FP20" t="s">
        <v>59</v>
      </c>
      <c r="FQ20" t="s">
        <v>59</v>
      </c>
      <c r="FR20" t="s">
        <v>59</v>
      </c>
      <c r="FS20" t="s">
        <v>59</v>
      </c>
      <c r="FT20" t="s">
        <v>59</v>
      </c>
      <c r="FU20" t="s">
        <v>59</v>
      </c>
      <c r="FV20" t="s">
        <v>59</v>
      </c>
      <c r="FW20" t="s">
        <v>59</v>
      </c>
      <c r="FX20" t="s">
        <v>59</v>
      </c>
      <c r="FY20" t="s">
        <v>59</v>
      </c>
      <c r="FZ20" t="s">
        <v>59</v>
      </c>
      <c r="GA20" t="s">
        <v>59</v>
      </c>
      <c r="GB20" t="s">
        <v>59</v>
      </c>
      <c r="GC20" t="s">
        <v>59</v>
      </c>
      <c r="GD20" t="s">
        <v>59</v>
      </c>
      <c r="GE20" t="s">
        <v>59</v>
      </c>
      <c r="GF20" t="s">
        <v>59</v>
      </c>
      <c r="GG20" t="s">
        <v>59</v>
      </c>
      <c r="GH20" t="s">
        <v>59</v>
      </c>
      <c r="GI20" t="s">
        <v>59</v>
      </c>
      <c r="GJ20" t="s">
        <v>59</v>
      </c>
      <c r="GK20" t="s">
        <v>218</v>
      </c>
      <c r="GL20" t="s">
        <v>59</v>
      </c>
      <c r="GM20" t="s">
        <v>59</v>
      </c>
      <c r="GN20" t="s">
        <v>59</v>
      </c>
      <c r="GO20" t="s">
        <v>59</v>
      </c>
      <c r="GP20" t="s">
        <v>59</v>
      </c>
      <c r="GQ20" t="s">
        <v>59</v>
      </c>
      <c r="GR20" t="s">
        <v>59</v>
      </c>
      <c r="GS20" t="s">
        <v>59</v>
      </c>
      <c r="GT20" t="s">
        <v>59</v>
      </c>
      <c r="GU20" t="s">
        <v>59</v>
      </c>
      <c r="GV20" t="s">
        <v>59</v>
      </c>
      <c r="GW20" t="s">
        <v>59</v>
      </c>
      <c r="GX20" t="s">
        <v>59</v>
      </c>
      <c r="GY20" t="s">
        <v>59</v>
      </c>
      <c r="GZ20" t="s">
        <v>59</v>
      </c>
      <c r="HA20" t="s">
        <v>218</v>
      </c>
      <c r="HB20" t="s">
        <v>218</v>
      </c>
      <c r="HC20" t="s">
        <v>59</v>
      </c>
      <c r="HD20" t="s">
        <v>59</v>
      </c>
      <c r="HE20" t="s">
        <v>59</v>
      </c>
      <c r="HF20" t="s">
        <v>59</v>
      </c>
      <c r="HG20" t="s">
        <v>59</v>
      </c>
      <c r="HH20" t="s">
        <v>59</v>
      </c>
      <c r="HI20" t="s">
        <v>59</v>
      </c>
      <c r="HJ20" t="s">
        <v>59</v>
      </c>
      <c r="HK20" t="s">
        <v>59</v>
      </c>
      <c r="HL20" t="s">
        <v>59</v>
      </c>
      <c r="HM20" t="s">
        <v>59</v>
      </c>
      <c r="HN20" t="s">
        <v>59</v>
      </c>
      <c r="HO20" t="s">
        <v>59</v>
      </c>
      <c r="HP20" t="s">
        <v>59</v>
      </c>
      <c r="HQ20" t="s">
        <v>59</v>
      </c>
      <c r="HR20" t="s">
        <v>59</v>
      </c>
      <c r="HS20" t="s">
        <v>59</v>
      </c>
      <c r="HT20" t="s">
        <v>59</v>
      </c>
      <c r="HU20" t="s">
        <v>59</v>
      </c>
      <c r="HV20" t="s">
        <v>59</v>
      </c>
      <c r="HW20" t="s">
        <v>59</v>
      </c>
      <c r="HX20" t="s">
        <v>59</v>
      </c>
      <c r="HY20" t="s">
        <v>59</v>
      </c>
      <c r="HZ20" t="s">
        <v>59</v>
      </c>
      <c r="IA20" t="s">
        <v>59</v>
      </c>
      <c r="IB20" t="s">
        <v>59</v>
      </c>
      <c r="IC20" t="s">
        <v>59</v>
      </c>
      <c r="ID20" t="s">
        <v>59</v>
      </c>
      <c r="IE20" t="s">
        <v>59</v>
      </c>
      <c r="IF20" t="s">
        <v>59</v>
      </c>
      <c r="IG20" t="s">
        <v>59</v>
      </c>
      <c r="IH20" t="s">
        <v>59</v>
      </c>
      <c r="II20" t="s">
        <v>59</v>
      </c>
      <c r="IJ20" t="s">
        <v>129</v>
      </c>
      <c r="IK20" t="s">
        <v>191</v>
      </c>
      <c r="IL20" t="s">
        <v>128</v>
      </c>
      <c r="IM20" t="s">
        <v>199</v>
      </c>
      <c r="IN20">
        <v>30</v>
      </c>
      <c r="IO20" t="s">
        <v>2730</v>
      </c>
      <c r="IP20" t="s">
        <v>2730</v>
      </c>
      <c r="IQ20" t="s">
        <v>2730</v>
      </c>
      <c r="IR20">
        <v>15</v>
      </c>
      <c r="IS20" t="s">
        <v>2730</v>
      </c>
      <c r="IT20" t="s">
        <v>2730</v>
      </c>
      <c r="IU20" t="s">
        <v>2730</v>
      </c>
      <c r="IV20">
        <v>17</v>
      </c>
      <c r="IW20" t="s">
        <v>2730</v>
      </c>
      <c r="IX20" t="s">
        <v>2730</v>
      </c>
      <c r="IY20" t="s">
        <v>2730</v>
      </c>
      <c r="IZ20">
        <v>57</v>
      </c>
      <c r="JA20" t="s">
        <v>2730</v>
      </c>
      <c r="JB20" t="s">
        <v>2730</v>
      </c>
      <c r="JC20" t="s">
        <v>2730</v>
      </c>
      <c r="JD20">
        <v>25</v>
      </c>
      <c r="JE20" t="s">
        <v>2730</v>
      </c>
      <c r="JF20" t="s">
        <v>2730</v>
      </c>
      <c r="JG20" t="s">
        <v>2730</v>
      </c>
      <c r="JH20">
        <v>28</v>
      </c>
      <c r="JI20" t="s">
        <v>2730</v>
      </c>
      <c r="JJ20" t="s">
        <v>2730</v>
      </c>
      <c r="JK20" t="s">
        <v>2730</v>
      </c>
      <c r="JL20">
        <v>16</v>
      </c>
      <c r="JM20" t="s">
        <v>2730</v>
      </c>
      <c r="JN20" t="s">
        <v>2730</v>
      </c>
      <c r="JO20">
        <v>4</v>
      </c>
      <c r="JP20" t="s">
        <v>2730</v>
      </c>
      <c r="JQ20" t="s">
        <v>2730</v>
      </c>
    </row>
    <row r="21" spans="1:277">
      <c r="A21" s="149" t="str">
        <f>HYPERLINK("http://www.ofsted.gov.uk/inspection-reports/find-inspection-report/provider/ELS/134438 ","Ofsted School Webpage")</f>
        <v>Ofsted School Webpage</v>
      </c>
      <c r="B21">
        <v>1132290</v>
      </c>
      <c r="C21">
        <v>134438</v>
      </c>
      <c r="D21">
        <v>8556020</v>
      </c>
      <c r="E21" t="s">
        <v>280</v>
      </c>
      <c r="F21" t="s">
        <v>38</v>
      </c>
      <c r="G21" t="s">
        <v>180</v>
      </c>
      <c r="H21" t="s">
        <v>214</v>
      </c>
      <c r="I21" t="s">
        <v>214</v>
      </c>
      <c r="J21" t="s">
        <v>281</v>
      </c>
      <c r="K21" t="s">
        <v>282</v>
      </c>
      <c r="L21" t="s">
        <v>184</v>
      </c>
      <c r="M21" t="s">
        <v>185</v>
      </c>
      <c r="N21" t="s">
        <v>184</v>
      </c>
      <c r="O21" t="s">
        <v>2730</v>
      </c>
      <c r="P21" t="s">
        <v>186</v>
      </c>
      <c r="Q21">
        <v>10040612</v>
      </c>
      <c r="R21" s="120">
        <v>42990</v>
      </c>
      <c r="S21" s="120">
        <v>42992</v>
      </c>
      <c r="T21" s="120">
        <v>43020</v>
      </c>
      <c r="U21" t="s">
        <v>2730</v>
      </c>
      <c r="V21" t="s">
        <v>196</v>
      </c>
      <c r="W21" t="s">
        <v>2730</v>
      </c>
      <c r="X21" t="s">
        <v>197</v>
      </c>
      <c r="Y21">
        <v>3</v>
      </c>
      <c r="Z21">
        <v>3</v>
      </c>
      <c r="AA21">
        <v>2</v>
      </c>
      <c r="AB21">
        <v>3</v>
      </c>
      <c r="AC21">
        <v>3</v>
      </c>
      <c r="AD21" t="s">
        <v>2730</v>
      </c>
      <c r="AE21">
        <v>2</v>
      </c>
      <c r="AF21" t="s">
        <v>128</v>
      </c>
      <c r="AG21" t="s">
        <v>2730</v>
      </c>
      <c r="AH21" t="s">
        <v>2733</v>
      </c>
      <c r="AI21" t="s">
        <v>59</v>
      </c>
      <c r="AJ21" t="s">
        <v>59</v>
      </c>
      <c r="AK21" t="s">
        <v>59</v>
      </c>
      <c r="AL21" t="s">
        <v>59</v>
      </c>
      <c r="AM21" t="s">
        <v>59</v>
      </c>
      <c r="AN21" t="s">
        <v>59</v>
      </c>
      <c r="AO21" t="s">
        <v>59</v>
      </c>
      <c r="AP21" t="s">
        <v>60</v>
      </c>
      <c r="AQ21" t="s">
        <v>59</v>
      </c>
      <c r="AR21" t="s">
        <v>59</v>
      </c>
      <c r="AS21" t="s">
        <v>59</v>
      </c>
      <c r="AT21" t="s">
        <v>59</v>
      </c>
      <c r="AU21" t="s">
        <v>59</v>
      </c>
      <c r="AV21" t="s">
        <v>59</v>
      </c>
      <c r="AW21" t="s">
        <v>59</v>
      </c>
      <c r="AX21" t="s">
        <v>59</v>
      </c>
      <c r="AY21" t="s">
        <v>191</v>
      </c>
      <c r="AZ21" t="s">
        <v>59</v>
      </c>
      <c r="BA21" t="s">
        <v>59</v>
      </c>
      <c r="BB21" t="s">
        <v>59</v>
      </c>
      <c r="BC21" t="s">
        <v>59</v>
      </c>
      <c r="BD21" t="s">
        <v>59</v>
      </c>
      <c r="BE21" t="s">
        <v>59</v>
      </c>
      <c r="BF21" t="s">
        <v>59</v>
      </c>
      <c r="BG21" t="s">
        <v>191</v>
      </c>
      <c r="BH21" t="s">
        <v>59</v>
      </c>
      <c r="BI21" t="s">
        <v>59</v>
      </c>
      <c r="BJ21" t="s">
        <v>59</v>
      </c>
      <c r="BK21" t="s">
        <v>60</v>
      </c>
      <c r="BL21" t="s">
        <v>60</v>
      </c>
      <c r="BM21" t="s">
        <v>59</v>
      </c>
      <c r="BN21" t="s">
        <v>60</v>
      </c>
      <c r="BO21" t="s">
        <v>59</v>
      </c>
      <c r="BP21" t="s">
        <v>60</v>
      </c>
      <c r="BQ21" t="s">
        <v>59</v>
      </c>
      <c r="BR21" t="s">
        <v>59</v>
      </c>
      <c r="BS21" t="s">
        <v>59</v>
      </c>
      <c r="BT21" t="s">
        <v>59</v>
      </c>
      <c r="BU21" t="s">
        <v>59</v>
      </c>
      <c r="BV21" t="s">
        <v>59</v>
      </c>
      <c r="BW21" t="s">
        <v>59</v>
      </c>
      <c r="BX21" t="s">
        <v>59</v>
      </c>
      <c r="BY21" t="s">
        <v>59</v>
      </c>
      <c r="BZ21" t="s">
        <v>59</v>
      </c>
      <c r="CA21" t="s">
        <v>59</v>
      </c>
      <c r="CB21" t="s">
        <v>59</v>
      </c>
      <c r="CC21" t="s">
        <v>59</v>
      </c>
      <c r="CD21" t="s">
        <v>59</v>
      </c>
      <c r="CE21" t="s">
        <v>59</v>
      </c>
      <c r="CF21" t="s">
        <v>59</v>
      </c>
      <c r="CG21" t="s">
        <v>59</v>
      </c>
      <c r="CH21" t="s">
        <v>59</v>
      </c>
      <c r="CI21" t="s">
        <v>59</v>
      </c>
      <c r="CJ21" t="s">
        <v>59</v>
      </c>
      <c r="CK21" t="s">
        <v>59</v>
      </c>
      <c r="CL21" t="s">
        <v>59</v>
      </c>
      <c r="CM21" t="s">
        <v>59</v>
      </c>
      <c r="CN21" t="s">
        <v>59</v>
      </c>
      <c r="CO21" t="s">
        <v>59</v>
      </c>
      <c r="CP21" t="s">
        <v>191</v>
      </c>
      <c r="CQ21" t="s">
        <v>191</v>
      </c>
      <c r="CR21" t="s">
        <v>59</v>
      </c>
      <c r="CS21" t="s">
        <v>59</v>
      </c>
      <c r="CT21" t="s">
        <v>59</v>
      </c>
      <c r="CU21" t="s">
        <v>59</v>
      </c>
      <c r="CV21" t="s">
        <v>59</v>
      </c>
      <c r="CW21" t="s">
        <v>59</v>
      </c>
      <c r="CX21" t="s">
        <v>59</v>
      </c>
      <c r="CY21" t="s">
        <v>59</v>
      </c>
      <c r="CZ21" t="s">
        <v>59</v>
      </c>
      <c r="DA21" t="s">
        <v>59</v>
      </c>
      <c r="DB21" t="s">
        <v>59</v>
      </c>
      <c r="DC21" t="s">
        <v>59</v>
      </c>
      <c r="DD21" t="s">
        <v>59</v>
      </c>
      <c r="DE21" t="s">
        <v>59</v>
      </c>
      <c r="DF21" t="s">
        <v>59</v>
      </c>
      <c r="DG21" t="s">
        <v>59</v>
      </c>
      <c r="DH21" t="s">
        <v>59</v>
      </c>
      <c r="DI21" t="s">
        <v>59</v>
      </c>
      <c r="DJ21" t="s">
        <v>59</v>
      </c>
      <c r="DK21" t="s">
        <v>59</v>
      </c>
      <c r="DL21" t="s">
        <v>59</v>
      </c>
      <c r="DM21" t="s">
        <v>59</v>
      </c>
      <c r="DN21" t="s">
        <v>59</v>
      </c>
      <c r="DO21" t="s">
        <v>191</v>
      </c>
      <c r="DP21" t="s">
        <v>59</v>
      </c>
      <c r="DQ21" t="s">
        <v>59</v>
      </c>
      <c r="DR21" t="s">
        <v>59</v>
      </c>
      <c r="DS21" t="s">
        <v>59</v>
      </c>
      <c r="DT21" t="s">
        <v>59</v>
      </c>
      <c r="DU21" t="s">
        <v>59</v>
      </c>
      <c r="DV21" t="s">
        <v>59</v>
      </c>
      <c r="DW21" t="s">
        <v>59</v>
      </c>
      <c r="DX21" t="s">
        <v>59</v>
      </c>
      <c r="DY21" t="s">
        <v>59</v>
      </c>
      <c r="DZ21" t="s">
        <v>59</v>
      </c>
      <c r="EA21" t="s">
        <v>59</v>
      </c>
      <c r="EB21" t="s">
        <v>59</v>
      </c>
      <c r="EC21" t="s">
        <v>59</v>
      </c>
      <c r="ED21" t="s">
        <v>59</v>
      </c>
      <c r="EE21" t="s">
        <v>59</v>
      </c>
      <c r="EF21" t="s">
        <v>59</v>
      </c>
      <c r="EG21" t="s">
        <v>59</v>
      </c>
      <c r="EH21" t="s">
        <v>59</v>
      </c>
      <c r="EI21" t="s">
        <v>59</v>
      </c>
      <c r="EJ21" t="s">
        <v>59</v>
      </c>
      <c r="EK21" t="s">
        <v>59</v>
      </c>
      <c r="EL21" t="s">
        <v>59</v>
      </c>
      <c r="EM21" t="s">
        <v>59</v>
      </c>
      <c r="EN21" t="s">
        <v>203</v>
      </c>
      <c r="EO21" t="s">
        <v>59</v>
      </c>
      <c r="EP21" t="s">
        <v>59</v>
      </c>
      <c r="EQ21" t="s">
        <v>59</v>
      </c>
      <c r="ER21" t="s">
        <v>59</v>
      </c>
      <c r="ES21" t="s">
        <v>59</v>
      </c>
      <c r="ET21" t="s">
        <v>59</v>
      </c>
      <c r="EU21" t="s">
        <v>59</v>
      </c>
      <c r="EV21" t="s">
        <v>59</v>
      </c>
      <c r="EW21" t="s">
        <v>59</v>
      </c>
      <c r="EX21" t="s">
        <v>59</v>
      </c>
      <c r="EY21" t="s">
        <v>59</v>
      </c>
      <c r="EZ21" t="s">
        <v>59</v>
      </c>
      <c r="FA21" t="s">
        <v>59</v>
      </c>
      <c r="FB21" t="s">
        <v>59</v>
      </c>
      <c r="FC21" t="s">
        <v>59</v>
      </c>
      <c r="FD21" t="s">
        <v>59</v>
      </c>
      <c r="FE21" t="s">
        <v>203</v>
      </c>
      <c r="FF21" t="s">
        <v>59</v>
      </c>
      <c r="FG21" t="s">
        <v>59</v>
      </c>
      <c r="FH21" t="s">
        <v>59</v>
      </c>
      <c r="FI21" t="s">
        <v>59</v>
      </c>
      <c r="FJ21" t="s">
        <v>59</v>
      </c>
      <c r="FK21" t="s">
        <v>59</v>
      </c>
      <c r="FL21" t="s">
        <v>59</v>
      </c>
      <c r="FM21" t="s">
        <v>59</v>
      </c>
      <c r="FN21" t="s">
        <v>59</v>
      </c>
      <c r="FO21" t="s">
        <v>59</v>
      </c>
      <c r="FP21" t="s">
        <v>59</v>
      </c>
      <c r="FQ21" t="s">
        <v>59</v>
      </c>
      <c r="FR21" t="s">
        <v>59</v>
      </c>
      <c r="FS21" t="s">
        <v>59</v>
      </c>
      <c r="FT21" t="s">
        <v>59</v>
      </c>
      <c r="FU21" t="s">
        <v>59</v>
      </c>
      <c r="FV21" t="s">
        <v>59</v>
      </c>
      <c r="FW21" t="s">
        <v>59</v>
      </c>
      <c r="FX21" t="s">
        <v>59</v>
      </c>
      <c r="FY21" t="s">
        <v>59</v>
      </c>
      <c r="FZ21" t="s">
        <v>59</v>
      </c>
      <c r="GA21" t="s">
        <v>59</v>
      </c>
      <c r="GB21" t="s">
        <v>59</v>
      </c>
      <c r="GC21" t="s">
        <v>59</v>
      </c>
      <c r="GD21" t="s">
        <v>59</v>
      </c>
      <c r="GE21" t="s">
        <v>59</v>
      </c>
      <c r="GF21" t="s">
        <v>59</v>
      </c>
      <c r="GG21" t="s">
        <v>59</v>
      </c>
      <c r="GH21" t="s">
        <v>59</v>
      </c>
      <c r="GI21" t="s">
        <v>59</v>
      </c>
      <c r="GJ21" t="s">
        <v>59</v>
      </c>
      <c r="GK21" t="s">
        <v>191</v>
      </c>
      <c r="GL21" t="s">
        <v>59</v>
      </c>
      <c r="GM21" t="s">
        <v>59</v>
      </c>
      <c r="GN21" t="s">
        <v>59</v>
      </c>
      <c r="GO21" t="s">
        <v>59</v>
      </c>
      <c r="GP21" t="s">
        <v>59</v>
      </c>
      <c r="GQ21" t="s">
        <v>59</v>
      </c>
      <c r="GR21" t="s">
        <v>59</v>
      </c>
      <c r="GS21" t="s">
        <v>59</v>
      </c>
      <c r="GT21" t="s">
        <v>59</v>
      </c>
      <c r="GU21" t="s">
        <v>59</v>
      </c>
      <c r="GV21" t="s">
        <v>59</v>
      </c>
      <c r="GW21" t="s">
        <v>59</v>
      </c>
      <c r="GX21" t="s">
        <v>59</v>
      </c>
      <c r="GY21" t="s">
        <v>59</v>
      </c>
      <c r="GZ21" t="s">
        <v>59</v>
      </c>
      <c r="HA21" t="s">
        <v>59</v>
      </c>
      <c r="HB21" t="s">
        <v>59</v>
      </c>
      <c r="HC21" t="s">
        <v>59</v>
      </c>
      <c r="HD21" t="s">
        <v>59</v>
      </c>
      <c r="HE21" t="s">
        <v>59</v>
      </c>
      <c r="HF21" t="s">
        <v>59</v>
      </c>
      <c r="HG21" t="s">
        <v>59</v>
      </c>
      <c r="HH21" t="s">
        <v>59</v>
      </c>
      <c r="HI21" t="s">
        <v>59</v>
      </c>
      <c r="HJ21" t="s">
        <v>59</v>
      </c>
      <c r="HK21" t="s">
        <v>59</v>
      </c>
      <c r="HL21" t="s">
        <v>59</v>
      </c>
      <c r="HM21" t="s">
        <v>59</v>
      </c>
      <c r="HN21" t="s">
        <v>59</v>
      </c>
      <c r="HO21" t="s">
        <v>59</v>
      </c>
      <c r="HP21" t="s">
        <v>59</v>
      </c>
      <c r="HQ21" t="s">
        <v>59</v>
      </c>
      <c r="HR21" t="s">
        <v>59</v>
      </c>
      <c r="HS21" t="s">
        <v>59</v>
      </c>
      <c r="HT21" t="s">
        <v>59</v>
      </c>
      <c r="HU21" t="s">
        <v>59</v>
      </c>
      <c r="HV21" t="s">
        <v>59</v>
      </c>
      <c r="HW21" t="s">
        <v>59</v>
      </c>
      <c r="HX21" t="s">
        <v>59</v>
      </c>
      <c r="HY21" t="s">
        <v>59</v>
      </c>
      <c r="HZ21" t="s">
        <v>59</v>
      </c>
      <c r="IA21" t="s">
        <v>59</v>
      </c>
      <c r="IB21" t="s">
        <v>59</v>
      </c>
      <c r="IC21" t="s">
        <v>59</v>
      </c>
      <c r="ID21" t="s">
        <v>59</v>
      </c>
      <c r="IE21" t="s">
        <v>59</v>
      </c>
      <c r="IF21" t="s">
        <v>60</v>
      </c>
      <c r="IG21" t="s">
        <v>60</v>
      </c>
      <c r="IH21" t="s">
        <v>60</v>
      </c>
      <c r="II21" t="s">
        <v>60</v>
      </c>
      <c r="IJ21" t="s">
        <v>129</v>
      </c>
      <c r="IK21" t="s">
        <v>198</v>
      </c>
      <c r="IL21" t="s">
        <v>128</v>
      </c>
      <c r="IM21" t="s">
        <v>199</v>
      </c>
      <c r="IN21">
        <v>26</v>
      </c>
      <c r="IO21" t="s">
        <v>2730</v>
      </c>
      <c r="IP21">
        <v>2</v>
      </c>
      <c r="IQ21">
        <v>4</v>
      </c>
      <c r="IR21">
        <v>15</v>
      </c>
      <c r="IS21" t="s">
        <v>2730</v>
      </c>
      <c r="IT21" t="s">
        <v>2730</v>
      </c>
      <c r="IU21" t="s">
        <v>2730</v>
      </c>
      <c r="IV21">
        <v>17</v>
      </c>
      <c r="IW21" t="s">
        <v>2730</v>
      </c>
      <c r="IX21">
        <v>2</v>
      </c>
      <c r="IY21" t="s">
        <v>2730</v>
      </c>
      <c r="IZ21">
        <v>56</v>
      </c>
      <c r="JA21">
        <v>2</v>
      </c>
      <c r="JB21">
        <v>1</v>
      </c>
      <c r="JC21" t="s">
        <v>2730</v>
      </c>
      <c r="JD21">
        <v>25</v>
      </c>
      <c r="JE21" t="s">
        <v>2730</v>
      </c>
      <c r="JF21">
        <v>1</v>
      </c>
      <c r="JG21" t="s">
        <v>2730</v>
      </c>
      <c r="JH21">
        <v>30</v>
      </c>
      <c r="JI21" t="s">
        <v>2730</v>
      </c>
      <c r="JJ21" t="s">
        <v>2730</v>
      </c>
      <c r="JK21" t="s">
        <v>2730</v>
      </c>
      <c r="JL21">
        <v>16</v>
      </c>
      <c r="JM21" t="s">
        <v>2730</v>
      </c>
      <c r="JN21" t="s">
        <v>2730</v>
      </c>
      <c r="JO21" t="s">
        <v>2730</v>
      </c>
      <c r="JP21" t="s">
        <v>2730</v>
      </c>
      <c r="JQ21">
        <v>4</v>
      </c>
    </row>
    <row r="22" spans="1:277">
      <c r="A22" s="149" t="str">
        <f>HYPERLINK("http://www.ofsted.gov.uk/inspection-reports/find-inspection-report/provider/ELS/137890 ","Ofsted School Webpage")</f>
        <v>Ofsted School Webpage</v>
      </c>
      <c r="B22">
        <v>1132294</v>
      </c>
      <c r="C22">
        <v>137890</v>
      </c>
      <c r="D22">
        <v>3026003</v>
      </c>
      <c r="E22" t="s">
        <v>310</v>
      </c>
      <c r="F22" t="s">
        <v>38</v>
      </c>
      <c r="G22" t="s">
        <v>180</v>
      </c>
      <c r="H22" t="s">
        <v>232</v>
      </c>
      <c r="I22" t="s">
        <v>232</v>
      </c>
      <c r="J22" t="s">
        <v>311</v>
      </c>
      <c r="K22" t="s">
        <v>312</v>
      </c>
      <c r="L22" t="s">
        <v>184</v>
      </c>
      <c r="M22" t="s">
        <v>185</v>
      </c>
      <c r="N22" t="s">
        <v>184</v>
      </c>
      <c r="O22" t="s">
        <v>2730</v>
      </c>
      <c r="P22" t="s">
        <v>186</v>
      </c>
      <c r="Q22">
        <v>10008526</v>
      </c>
      <c r="R22" s="120">
        <v>42998</v>
      </c>
      <c r="S22" s="120">
        <v>43000</v>
      </c>
      <c r="T22" s="120">
        <v>43052</v>
      </c>
      <c r="U22" t="s">
        <v>2730</v>
      </c>
      <c r="V22" t="s">
        <v>196</v>
      </c>
      <c r="W22" t="s">
        <v>2730</v>
      </c>
      <c r="X22" t="s">
        <v>197</v>
      </c>
      <c r="Y22">
        <v>3</v>
      </c>
      <c r="Z22">
        <v>3</v>
      </c>
      <c r="AA22">
        <v>1</v>
      </c>
      <c r="AB22">
        <v>3</v>
      </c>
      <c r="AC22">
        <v>3</v>
      </c>
      <c r="AD22" t="s">
        <v>2730</v>
      </c>
      <c r="AE22" t="s">
        <v>2730</v>
      </c>
      <c r="AF22" t="s">
        <v>128</v>
      </c>
      <c r="AG22" t="s">
        <v>2730</v>
      </c>
      <c r="AH22" t="s">
        <v>2732</v>
      </c>
      <c r="AI22" t="s">
        <v>59</v>
      </c>
      <c r="AJ22" t="s">
        <v>59</v>
      </c>
      <c r="AK22" t="s">
        <v>59</v>
      </c>
      <c r="AL22" t="s">
        <v>59</v>
      </c>
      <c r="AM22" t="s">
        <v>59</v>
      </c>
      <c r="AN22" t="s">
        <v>59</v>
      </c>
      <c r="AO22" t="s">
        <v>59</v>
      </c>
      <c r="AP22" t="s">
        <v>59</v>
      </c>
      <c r="AQ22" t="s">
        <v>59</v>
      </c>
      <c r="AR22" t="s">
        <v>59</v>
      </c>
      <c r="AS22" t="s">
        <v>59</v>
      </c>
      <c r="AT22" t="s">
        <v>59</v>
      </c>
      <c r="AU22" t="s">
        <v>59</v>
      </c>
      <c r="AV22" t="s">
        <v>59</v>
      </c>
      <c r="AW22" t="s">
        <v>59</v>
      </c>
      <c r="AX22" t="s">
        <v>59</v>
      </c>
      <c r="AY22" t="s">
        <v>191</v>
      </c>
      <c r="AZ22" t="s">
        <v>59</v>
      </c>
      <c r="BA22" t="s">
        <v>59</v>
      </c>
      <c r="BB22" t="s">
        <v>59</v>
      </c>
      <c r="BC22" t="s">
        <v>191</v>
      </c>
      <c r="BD22" t="s">
        <v>191</v>
      </c>
      <c r="BE22" t="s">
        <v>191</v>
      </c>
      <c r="BF22" t="s">
        <v>191</v>
      </c>
      <c r="BG22" t="s">
        <v>191</v>
      </c>
      <c r="BH22" t="s">
        <v>191</v>
      </c>
      <c r="BI22" t="s">
        <v>59</v>
      </c>
      <c r="BJ22" t="s">
        <v>59</v>
      </c>
      <c r="BK22" t="s">
        <v>59</v>
      </c>
      <c r="BL22" t="s">
        <v>59</v>
      </c>
      <c r="BM22" t="s">
        <v>59</v>
      </c>
      <c r="BN22" t="s">
        <v>59</v>
      </c>
      <c r="BO22" t="s">
        <v>59</v>
      </c>
      <c r="BP22" t="s">
        <v>59</v>
      </c>
      <c r="BQ22" t="s">
        <v>59</v>
      </c>
      <c r="BR22" t="s">
        <v>59</v>
      </c>
      <c r="BS22" t="s">
        <v>59</v>
      </c>
      <c r="BT22" t="s">
        <v>59</v>
      </c>
      <c r="BU22" t="s">
        <v>59</v>
      </c>
      <c r="BV22" t="s">
        <v>59</v>
      </c>
      <c r="BW22" t="s">
        <v>59</v>
      </c>
      <c r="BX22" t="s">
        <v>59</v>
      </c>
      <c r="BY22" t="s">
        <v>59</v>
      </c>
      <c r="BZ22" t="s">
        <v>59</v>
      </c>
      <c r="CA22" t="s">
        <v>59</v>
      </c>
      <c r="CB22" t="s">
        <v>59</v>
      </c>
      <c r="CC22" t="s">
        <v>59</v>
      </c>
      <c r="CD22" t="s">
        <v>59</v>
      </c>
      <c r="CE22" t="s">
        <v>59</v>
      </c>
      <c r="CF22" t="s">
        <v>59</v>
      </c>
      <c r="CG22" t="s">
        <v>59</v>
      </c>
      <c r="CH22" t="s">
        <v>59</v>
      </c>
      <c r="CI22" t="s">
        <v>59</v>
      </c>
      <c r="CJ22" t="s">
        <v>59</v>
      </c>
      <c r="CK22" t="s">
        <v>59</v>
      </c>
      <c r="CL22" t="s">
        <v>59</v>
      </c>
      <c r="CM22" t="s">
        <v>59</v>
      </c>
      <c r="CN22" t="s">
        <v>59</v>
      </c>
      <c r="CO22" t="s">
        <v>191</v>
      </c>
      <c r="CP22" t="s">
        <v>191</v>
      </c>
      <c r="CQ22" t="s">
        <v>191</v>
      </c>
      <c r="CR22" t="s">
        <v>59</v>
      </c>
      <c r="CS22" t="s">
        <v>59</v>
      </c>
      <c r="CT22" t="s">
        <v>59</v>
      </c>
      <c r="CU22" t="s">
        <v>59</v>
      </c>
      <c r="CV22" t="s">
        <v>59</v>
      </c>
      <c r="CW22" t="s">
        <v>59</v>
      </c>
      <c r="CX22" t="s">
        <v>59</v>
      </c>
      <c r="CY22" t="s">
        <v>59</v>
      </c>
      <c r="CZ22" t="s">
        <v>59</v>
      </c>
      <c r="DA22" t="s">
        <v>59</v>
      </c>
      <c r="DB22" t="s">
        <v>59</v>
      </c>
      <c r="DC22" t="s">
        <v>59</v>
      </c>
      <c r="DD22" t="s">
        <v>59</v>
      </c>
      <c r="DE22" t="s">
        <v>59</v>
      </c>
      <c r="DF22" t="s">
        <v>59</v>
      </c>
      <c r="DG22" t="s">
        <v>59</v>
      </c>
      <c r="DH22" t="s">
        <v>59</v>
      </c>
      <c r="DI22" t="s">
        <v>59</v>
      </c>
      <c r="DJ22" t="s">
        <v>59</v>
      </c>
      <c r="DK22" t="s">
        <v>59</v>
      </c>
      <c r="DL22" t="s">
        <v>59</v>
      </c>
      <c r="DM22" t="s">
        <v>59</v>
      </c>
      <c r="DN22" t="s">
        <v>59</v>
      </c>
      <c r="DO22" t="s">
        <v>191</v>
      </c>
      <c r="DP22" t="s">
        <v>59</v>
      </c>
      <c r="DQ22" t="s">
        <v>59</v>
      </c>
      <c r="DR22" t="s">
        <v>59</v>
      </c>
      <c r="DS22" t="s">
        <v>59</v>
      </c>
      <c r="DT22" t="s">
        <v>59</v>
      </c>
      <c r="DU22" t="s">
        <v>59</v>
      </c>
      <c r="DV22" t="s">
        <v>59</v>
      </c>
      <c r="DW22" t="s">
        <v>59</v>
      </c>
      <c r="DX22" t="s">
        <v>59</v>
      </c>
      <c r="DY22" t="s">
        <v>59</v>
      </c>
      <c r="DZ22" t="s">
        <v>59</v>
      </c>
      <c r="EA22" t="s">
        <v>59</v>
      </c>
      <c r="EB22" t="s">
        <v>59</v>
      </c>
      <c r="EC22" t="s">
        <v>191</v>
      </c>
      <c r="ED22" t="s">
        <v>59</v>
      </c>
      <c r="EE22" t="s">
        <v>191</v>
      </c>
      <c r="EF22" t="s">
        <v>191</v>
      </c>
      <c r="EG22" t="s">
        <v>191</v>
      </c>
      <c r="EH22" t="s">
        <v>191</v>
      </c>
      <c r="EI22" t="s">
        <v>191</v>
      </c>
      <c r="EJ22" t="s">
        <v>191</v>
      </c>
      <c r="EK22" t="s">
        <v>191</v>
      </c>
      <c r="EL22" t="s">
        <v>191</v>
      </c>
      <c r="EM22" t="s">
        <v>59</v>
      </c>
      <c r="EN22" t="s">
        <v>59</v>
      </c>
      <c r="EO22" t="s">
        <v>59</v>
      </c>
      <c r="EP22" t="s">
        <v>59</v>
      </c>
      <c r="EQ22" t="s">
        <v>59</v>
      </c>
      <c r="ER22" t="s">
        <v>59</v>
      </c>
      <c r="ES22" t="s">
        <v>59</v>
      </c>
      <c r="ET22" t="s">
        <v>59</v>
      </c>
      <c r="EU22" t="s">
        <v>59</v>
      </c>
      <c r="EV22" t="s">
        <v>59</v>
      </c>
      <c r="EW22" t="s">
        <v>59</v>
      </c>
      <c r="EX22" t="s">
        <v>59</v>
      </c>
      <c r="EY22" t="s">
        <v>59</v>
      </c>
      <c r="EZ22" t="s">
        <v>59</v>
      </c>
      <c r="FA22" t="s">
        <v>191</v>
      </c>
      <c r="FB22" t="s">
        <v>59</v>
      </c>
      <c r="FC22" t="s">
        <v>59</v>
      </c>
      <c r="FD22" t="s">
        <v>59</v>
      </c>
      <c r="FE22" t="s">
        <v>59</v>
      </c>
      <c r="FF22" t="s">
        <v>59</v>
      </c>
      <c r="FG22" t="s">
        <v>59</v>
      </c>
      <c r="FH22" t="s">
        <v>59</v>
      </c>
      <c r="FI22" t="s">
        <v>191</v>
      </c>
      <c r="FJ22" t="s">
        <v>191</v>
      </c>
      <c r="FK22" t="s">
        <v>191</v>
      </c>
      <c r="FL22" t="s">
        <v>59</v>
      </c>
      <c r="FM22" t="s">
        <v>59</v>
      </c>
      <c r="FN22" t="s">
        <v>59</v>
      </c>
      <c r="FO22" t="s">
        <v>191</v>
      </c>
      <c r="FP22" t="s">
        <v>59</v>
      </c>
      <c r="FQ22" t="s">
        <v>59</v>
      </c>
      <c r="FR22" t="s">
        <v>59</v>
      </c>
      <c r="FS22" t="s">
        <v>191</v>
      </c>
      <c r="FT22" t="s">
        <v>59</v>
      </c>
      <c r="FU22" t="s">
        <v>59</v>
      </c>
      <c r="FV22" t="s">
        <v>59</v>
      </c>
      <c r="FW22" t="s">
        <v>59</v>
      </c>
      <c r="FX22" t="s">
        <v>59</v>
      </c>
      <c r="FY22" t="s">
        <v>59</v>
      </c>
      <c r="FZ22" t="s">
        <v>59</v>
      </c>
      <c r="GA22" t="s">
        <v>59</v>
      </c>
      <c r="GB22" t="s">
        <v>59</v>
      </c>
      <c r="GC22" t="s">
        <v>59</v>
      </c>
      <c r="GD22" t="s">
        <v>59</v>
      </c>
      <c r="GE22" t="s">
        <v>59</v>
      </c>
      <c r="GF22" t="s">
        <v>59</v>
      </c>
      <c r="GG22" t="s">
        <v>59</v>
      </c>
      <c r="GH22" t="s">
        <v>59</v>
      </c>
      <c r="GI22" t="s">
        <v>59</v>
      </c>
      <c r="GJ22" t="s">
        <v>59</v>
      </c>
      <c r="GK22" t="s">
        <v>191</v>
      </c>
      <c r="GL22" t="s">
        <v>59</v>
      </c>
      <c r="GM22" t="s">
        <v>59</v>
      </c>
      <c r="GN22" t="s">
        <v>59</v>
      </c>
      <c r="GO22" t="s">
        <v>59</v>
      </c>
      <c r="GP22" t="s">
        <v>59</v>
      </c>
      <c r="GQ22" t="s">
        <v>191</v>
      </c>
      <c r="GR22" t="s">
        <v>59</v>
      </c>
      <c r="GS22" t="s">
        <v>59</v>
      </c>
      <c r="GT22" t="s">
        <v>59</v>
      </c>
      <c r="GU22" t="s">
        <v>59</v>
      </c>
      <c r="GV22" t="s">
        <v>59</v>
      </c>
      <c r="GW22" t="s">
        <v>59</v>
      </c>
      <c r="GX22" t="s">
        <v>59</v>
      </c>
      <c r="GY22" t="s">
        <v>59</v>
      </c>
      <c r="GZ22" t="s">
        <v>59</v>
      </c>
      <c r="HA22" t="s">
        <v>191</v>
      </c>
      <c r="HB22" t="s">
        <v>191</v>
      </c>
      <c r="HC22" t="s">
        <v>59</v>
      </c>
      <c r="HD22" t="s">
        <v>59</v>
      </c>
      <c r="HE22" t="s">
        <v>59</v>
      </c>
      <c r="HF22" t="s">
        <v>59</v>
      </c>
      <c r="HG22" t="s">
        <v>59</v>
      </c>
      <c r="HH22" t="s">
        <v>59</v>
      </c>
      <c r="HI22" t="s">
        <v>191</v>
      </c>
      <c r="HJ22" t="s">
        <v>59</v>
      </c>
      <c r="HK22" t="s">
        <v>59</v>
      </c>
      <c r="HL22" t="s">
        <v>191</v>
      </c>
      <c r="HM22" t="s">
        <v>191</v>
      </c>
      <c r="HN22" t="s">
        <v>191</v>
      </c>
      <c r="HO22" t="s">
        <v>191</v>
      </c>
      <c r="HP22" t="s">
        <v>59</v>
      </c>
      <c r="HQ22" t="s">
        <v>59</v>
      </c>
      <c r="HR22" t="s">
        <v>59</v>
      </c>
      <c r="HS22" t="s">
        <v>59</v>
      </c>
      <c r="HT22" t="s">
        <v>59</v>
      </c>
      <c r="HU22" t="s">
        <v>59</v>
      </c>
      <c r="HV22" t="s">
        <v>59</v>
      </c>
      <c r="HW22" t="s">
        <v>59</v>
      </c>
      <c r="HX22" t="s">
        <v>59</v>
      </c>
      <c r="HY22" t="s">
        <v>59</v>
      </c>
      <c r="HZ22" t="s">
        <v>59</v>
      </c>
      <c r="IA22" t="s">
        <v>59</v>
      </c>
      <c r="IB22" t="s">
        <v>59</v>
      </c>
      <c r="IC22" t="s">
        <v>59</v>
      </c>
      <c r="ID22" t="s">
        <v>59</v>
      </c>
      <c r="IE22" t="s">
        <v>59</v>
      </c>
      <c r="IF22" t="s">
        <v>59</v>
      </c>
      <c r="IG22" t="s">
        <v>59</v>
      </c>
      <c r="IH22" t="s">
        <v>59</v>
      </c>
      <c r="II22" t="s">
        <v>59</v>
      </c>
      <c r="IJ22" t="s">
        <v>129</v>
      </c>
      <c r="IK22" t="s">
        <v>198</v>
      </c>
      <c r="IL22" t="s">
        <v>128</v>
      </c>
      <c r="IM22" t="s">
        <v>199</v>
      </c>
      <c r="IN22">
        <v>25</v>
      </c>
      <c r="IO22" t="s">
        <v>2730</v>
      </c>
      <c r="IP22">
        <v>7</v>
      </c>
      <c r="IQ22" t="s">
        <v>2730</v>
      </c>
      <c r="IR22">
        <v>15</v>
      </c>
      <c r="IS22" t="s">
        <v>2730</v>
      </c>
      <c r="IT22" t="s">
        <v>2730</v>
      </c>
      <c r="IU22" t="s">
        <v>2730</v>
      </c>
      <c r="IV22">
        <v>16</v>
      </c>
      <c r="IW22" t="s">
        <v>2730</v>
      </c>
      <c r="IX22">
        <v>3</v>
      </c>
      <c r="IY22" t="s">
        <v>2730</v>
      </c>
      <c r="IZ22">
        <v>45</v>
      </c>
      <c r="JA22" t="s">
        <v>2730</v>
      </c>
      <c r="JB22">
        <v>14</v>
      </c>
      <c r="JC22" t="s">
        <v>2730</v>
      </c>
      <c r="JD22">
        <v>23</v>
      </c>
      <c r="JE22" t="s">
        <v>2730</v>
      </c>
      <c r="JF22">
        <v>3</v>
      </c>
      <c r="JG22" t="s">
        <v>2730</v>
      </c>
      <c r="JH22">
        <v>22</v>
      </c>
      <c r="JI22" t="s">
        <v>2730</v>
      </c>
      <c r="JJ22">
        <v>8</v>
      </c>
      <c r="JK22" t="s">
        <v>2730</v>
      </c>
      <c r="JL22">
        <v>16</v>
      </c>
      <c r="JM22" t="s">
        <v>2730</v>
      </c>
      <c r="JN22" t="s">
        <v>2730</v>
      </c>
      <c r="JO22">
        <v>4</v>
      </c>
      <c r="JP22" t="s">
        <v>2730</v>
      </c>
      <c r="JQ22" t="s">
        <v>2730</v>
      </c>
    </row>
    <row r="23" spans="1:277">
      <c r="A23" s="149" t="str">
        <f>HYPERLINK("http://www.ofsted.gov.uk/inspection-reports/find-inspection-report/provider/ELS/137279 ","Ofsted School Webpage")</f>
        <v>Ofsted School Webpage</v>
      </c>
      <c r="B23">
        <v>1132345</v>
      </c>
      <c r="C23">
        <v>137279</v>
      </c>
      <c r="D23">
        <v>8506089</v>
      </c>
      <c r="E23" t="s">
        <v>200</v>
      </c>
      <c r="F23" t="s">
        <v>38</v>
      </c>
      <c r="G23" t="s">
        <v>180</v>
      </c>
      <c r="H23" t="s">
        <v>181</v>
      </c>
      <c r="I23" t="s">
        <v>181</v>
      </c>
      <c r="J23" t="s">
        <v>201</v>
      </c>
      <c r="K23" t="s">
        <v>202</v>
      </c>
      <c r="L23" t="s">
        <v>184</v>
      </c>
      <c r="M23" t="s">
        <v>185</v>
      </c>
      <c r="N23" t="s">
        <v>184</v>
      </c>
      <c r="O23" t="s">
        <v>2730</v>
      </c>
      <c r="P23" t="s">
        <v>186</v>
      </c>
      <c r="Q23">
        <v>10008605</v>
      </c>
      <c r="R23" s="120">
        <v>43004</v>
      </c>
      <c r="S23" s="120">
        <v>43006</v>
      </c>
      <c r="T23" s="120">
        <v>43045</v>
      </c>
      <c r="U23" t="s">
        <v>2730</v>
      </c>
      <c r="V23" t="s">
        <v>196</v>
      </c>
      <c r="W23" t="s">
        <v>2730</v>
      </c>
      <c r="X23" t="s">
        <v>197</v>
      </c>
      <c r="Y23">
        <v>1</v>
      </c>
      <c r="Z23">
        <v>1</v>
      </c>
      <c r="AA23">
        <v>1</v>
      </c>
      <c r="AB23">
        <v>1</v>
      </c>
      <c r="AC23">
        <v>1</v>
      </c>
      <c r="AD23" t="s">
        <v>2730</v>
      </c>
      <c r="AE23" t="s">
        <v>2730</v>
      </c>
      <c r="AF23" t="s">
        <v>128</v>
      </c>
      <c r="AG23" t="s">
        <v>2730</v>
      </c>
      <c r="AH23" t="s">
        <v>2732</v>
      </c>
      <c r="AI23" t="s">
        <v>59</v>
      </c>
      <c r="AJ23" t="s">
        <v>59</v>
      </c>
      <c r="AK23" t="s">
        <v>59</v>
      </c>
      <c r="AL23" t="s">
        <v>59</v>
      </c>
      <c r="AM23" t="s">
        <v>59</v>
      </c>
      <c r="AN23" t="s">
        <v>59</v>
      </c>
      <c r="AO23" t="s">
        <v>59</v>
      </c>
      <c r="AP23" t="s">
        <v>59</v>
      </c>
      <c r="AQ23" t="s">
        <v>59</v>
      </c>
      <c r="AR23" t="s">
        <v>59</v>
      </c>
      <c r="AS23" t="s">
        <v>59</v>
      </c>
      <c r="AT23" t="s">
        <v>59</v>
      </c>
      <c r="AU23" t="s">
        <v>59</v>
      </c>
      <c r="AV23" t="s">
        <v>59</v>
      </c>
      <c r="AW23" t="s">
        <v>59</v>
      </c>
      <c r="AX23" t="s">
        <v>59</v>
      </c>
      <c r="AY23" t="s">
        <v>59</v>
      </c>
      <c r="AZ23" t="s">
        <v>59</v>
      </c>
      <c r="BA23" t="s">
        <v>59</v>
      </c>
      <c r="BB23" t="s">
        <v>59</v>
      </c>
      <c r="BC23" t="s">
        <v>59</v>
      </c>
      <c r="BD23" t="s">
        <v>59</v>
      </c>
      <c r="BE23" t="s">
        <v>59</v>
      </c>
      <c r="BF23" t="s">
        <v>59</v>
      </c>
      <c r="BG23" t="s">
        <v>191</v>
      </c>
      <c r="BH23" t="s">
        <v>59</v>
      </c>
      <c r="BI23" t="s">
        <v>59</v>
      </c>
      <c r="BJ23" t="s">
        <v>59</v>
      </c>
      <c r="BK23" t="s">
        <v>59</v>
      </c>
      <c r="BL23" t="s">
        <v>59</v>
      </c>
      <c r="BM23" t="s">
        <v>59</v>
      </c>
      <c r="BN23" t="s">
        <v>59</v>
      </c>
      <c r="BO23" t="s">
        <v>59</v>
      </c>
      <c r="BP23" t="s">
        <v>59</v>
      </c>
      <c r="BQ23" t="s">
        <v>59</v>
      </c>
      <c r="BR23" t="s">
        <v>59</v>
      </c>
      <c r="BS23" t="s">
        <v>59</v>
      </c>
      <c r="BT23" t="s">
        <v>59</v>
      </c>
      <c r="BU23" t="s">
        <v>59</v>
      </c>
      <c r="BV23" t="s">
        <v>59</v>
      </c>
      <c r="BW23" t="s">
        <v>59</v>
      </c>
      <c r="BX23" t="s">
        <v>59</v>
      </c>
      <c r="BY23" t="s">
        <v>59</v>
      </c>
      <c r="BZ23" t="s">
        <v>59</v>
      </c>
      <c r="CA23" t="s">
        <v>59</v>
      </c>
      <c r="CB23" t="s">
        <v>59</v>
      </c>
      <c r="CC23" t="s">
        <v>59</v>
      </c>
      <c r="CD23" t="s">
        <v>59</v>
      </c>
      <c r="CE23" t="s">
        <v>59</v>
      </c>
      <c r="CF23" t="s">
        <v>59</v>
      </c>
      <c r="CG23" t="s">
        <v>59</v>
      </c>
      <c r="CH23" t="s">
        <v>59</v>
      </c>
      <c r="CI23" t="s">
        <v>59</v>
      </c>
      <c r="CJ23" t="s">
        <v>59</v>
      </c>
      <c r="CK23" t="s">
        <v>59</v>
      </c>
      <c r="CL23" t="s">
        <v>59</v>
      </c>
      <c r="CM23" t="s">
        <v>59</v>
      </c>
      <c r="CN23" t="s">
        <v>59</v>
      </c>
      <c r="CO23" t="s">
        <v>191</v>
      </c>
      <c r="CP23" t="s">
        <v>191</v>
      </c>
      <c r="CQ23" t="s">
        <v>191</v>
      </c>
      <c r="CR23" t="s">
        <v>59</v>
      </c>
      <c r="CS23" t="s">
        <v>59</v>
      </c>
      <c r="CT23" t="s">
        <v>59</v>
      </c>
      <c r="CU23" t="s">
        <v>59</v>
      </c>
      <c r="CV23" t="s">
        <v>59</v>
      </c>
      <c r="CW23" t="s">
        <v>59</v>
      </c>
      <c r="CX23" t="s">
        <v>59</v>
      </c>
      <c r="CY23" t="s">
        <v>59</v>
      </c>
      <c r="CZ23" t="s">
        <v>59</v>
      </c>
      <c r="DA23" t="s">
        <v>59</v>
      </c>
      <c r="DB23" t="s">
        <v>59</v>
      </c>
      <c r="DC23" t="s">
        <v>59</v>
      </c>
      <c r="DD23" t="s">
        <v>59</v>
      </c>
      <c r="DE23" t="s">
        <v>59</v>
      </c>
      <c r="DF23" t="s">
        <v>59</v>
      </c>
      <c r="DG23" t="s">
        <v>59</v>
      </c>
      <c r="DH23" t="s">
        <v>59</v>
      </c>
      <c r="DI23" t="s">
        <v>59</v>
      </c>
      <c r="DJ23" t="s">
        <v>59</v>
      </c>
      <c r="DK23" t="s">
        <v>59</v>
      </c>
      <c r="DL23" t="s">
        <v>59</v>
      </c>
      <c r="DM23" t="s">
        <v>59</v>
      </c>
      <c r="DN23" t="s">
        <v>59</v>
      </c>
      <c r="DO23" t="s">
        <v>191</v>
      </c>
      <c r="DP23" t="s">
        <v>59</v>
      </c>
      <c r="DQ23" t="s">
        <v>59</v>
      </c>
      <c r="DR23" t="s">
        <v>59</v>
      </c>
      <c r="DS23" t="s">
        <v>59</v>
      </c>
      <c r="DT23" t="s">
        <v>59</v>
      </c>
      <c r="DU23" t="s">
        <v>59</v>
      </c>
      <c r="DV23" t="s">
        <v>59</v>
      </c>
      <c r="DW23" t="s">
        <v>59</v>
      </c>
      <c r="DX23" t="s">
        <v>59</v>
      </c>
      <c r="DY23" t="s">
        <v>59</v>
      </c>
      <c r="DZ23" t="s">
        <v>59</v>
      </c>
      <c r="EA23" t="s">
        <v>59</v>
      </c>
      <c r="EB23" t="s">
        <v>59</v>
      </c>
      <c r="EC23" t="s">
        <v>191</v>
      </c>
      <c r="ED23" t="s">
        <v>59</v>
      </c>
      <c r="EE23" t="s">
        <v>59</v>
      </c>
      <c r="EF23" t="s">
        <v>59</v>
      </c>
      <c r="EG23" t="s">
        <v>59</v>
      </c>
      <c r="EH23" t="s">
        <v>59</v>
      </c>
      <c r="EI23" t="s">
        <v>59</v>
      </c>
      <c r="EJ23" t="s">
        <v>59</v>
      </c>
      <c r="EK23" t="s">
        <v>59</v>
      </c>
      <c r="EL23" t="s">
        <v>59</v>
      </c>
      <c r="EM23" t="s">
        <v>59</v>
      </c>
      <c r="EN23" t="s">
        <v>59</v>
      </c>
      <c r="EO23" t="s">
        <v>59</v>
      </c>
      <c r="EP23" t="s">
        <v>59</v>
      </c>
      <c r="EQ23" t="s">
        <v>59</v>
      </c>
      <c r="ER23" t="s">
        <v>59</v>
      </c>
      <c r="ES23" t="s">
        <v>59</v>
      </c>
      <c r="ET23" t="s">
        <v>59</v>
      </c>
      <c r="EU23" t="s">
        <v>59</v>
      </c>
      <c r="EV23" t="s">
        <v>59</v>
      </c>
      <c r="EW23" t="s">
        <v>59</v>
      </c>
      <c r="EX23" t="s">
        <v>59</v>
      </c>
      <c r="EY23" t="s">
        <v>59</v>
      </c>
      <c r="EZ23" t="s">
        <v>59</v>
      </c>
      <c r="FA23" t="s">
        <v>59</v>
      </c>
      <c r="FB23" t="s">
        <v>59</v>
      </c>
      <c r="FC23" t="s">
        <v>59</v>
      </c>
      <c r="FD23" t="s">
        <v>59</v>
      </c>
      <c r="FE23" t="s">
        <v>59</v>
      </c>
      <c r="FF23" t="s">
        <v>59</v>
      </c>
      <c r="FG23" t="s">
        <v>59</v>
      </c>
      <c r="FH23" t="s">
        <v>59</v>
      </c>
      <c r="FI23" t="s">
        <v>59</v>
      </c>
      <c r="FJ23" t="s">
        <v>59</v>
      </c>
      <c r="FK23" t="s">
        <v>59</v>
      </c>
      <c r="FL23" t="s">
        <v>59</v>
      </c>
      <c r="FM23" t="s">
        <v>59</v>
      </c>
      <c r="FN23" t="s">
        <v>59</v>
      </c>
      <c r="FO23" t="s">
        <v>59</v>
      </c>
      <c r="FP23" t="s">
        <v>59</v>
      </c>
      <c r="FQ23" t="s">
        <v>59</v>
      </c>
      <c r="FR23" t="s">
        <v>59</v>
      </c>
      <c r="FS23" t="s">
        <v>59</v>
      </c>
      <c r="FT23" t="s">
        <v>59</v>
      </c>
      <c r="FU23" t="s">
        <v>59</v>
      </c>
      <c r="FV23" t="s">
        <v>59</v>
      </c>
      <c r="FW23" t="s">
        <v>59</v>
      </c>
      <c r="FX23" t="s">
        <v>59</v>
      </c>
      <c r="FY23" t="s">
        <v>59</v>
      </c>
      <c r="FZ23" t="s">
        <v>59</v>
      </c>
      <c r="GA23" t="s">
        <v>59</v>
      </c>
      <c r="GB23" t="s">
        <v>59</v>
      </c>
      <c r="GC23" t="s">
        <v>59</v>
      </c>
      <c r="GD23" t="s">
        <v>59</v>
      </c>
      <c r="GE23" t="s">
        <v>59</v>
      </c>
      <c r="GF23" t="s">
        <v>59</v>
      </c>
      <c r="GG23" t="s">
        <v>59</v>
      </c>
      <c r="GH23" t="s">
        <v>59</v>
      </c>
      <c r="GI23" t="s">
        <v>59</v>
      </c>
      <c r="GJ23" t="s">
        <v>59</v>
      </c>
      <c r="GK23" t="s">
        <v>191</v>
      </c>
      <c r="GL23" t="s">
        <v>59</v>
      </c>
      <c r="GM23" t="s">
        <v>59</v>
      </c>
      <c r="GN23" t="s">
        <v>59</v>
      </c>
      <c r="GO23" t="s">
        <v>59</v>
      </c>
      <c r="GP23" t="s">
        <v>59</v>
      </c>
      <c r="GQ23" t="s">
        <v>59</v>
      </c>
      <c r="GR23" t="s">
        <v>59</v>
      </c>
      <c r="GS23" t="s">
        <v>59</v>
      </c>
      <c r="GT23" t="s">
        <v>59</v>
      </c>
      <c r="GU23" t="s">
        <v>59</v>
      </c>
      <c r="GV23" t="s">
        <v>59</v>
      </c>
      <c r="GW23" t="s">
        <v>59</v>
      </c>
      <c r="GX23" t="s">
        <v>59</v>
      </c>
      <c r="GY23" t="s">
        <v>59</v>
      </c>
      <c r="GZ23" t="s">
        <v>59</v>
      </c>
      <c r="HA23" t="s">
        <v>59</v>
      </c>
      <c r="HB23" t="s">
        <v>59</v>
      </c>
      <c r="HC23" t="s">
        <v>59</v>
      </c>
      <c r="HD23" t="s">
        <v>59</v>
      </c>
      <c r="HE23" t="s">
        <v>59</v>
      </c>
      <c r="HF23" t="s">
        <v>59</v>
      </c>
      <c r="HG23" t="s">
        <v>59</v>
      </c>
      <c r="HH23" t="s">
        <v>203</v>
      </c>
      <c r="HI23" t="s">
        <v>59</v>
      </c>
      <c r="HJ23" t="s">
        <v>59</v>
      </c>
      <c r="HK23" t="s">
        <v>59</v>
      </c>
      <c r="HL23" t="s">
        <v>59</v>
      </c>
      <c r="HM23" t="s">
        <v>59</v>
      </c>
      <c r="HN23" t="s">
        <v>59</v>
      </c>
      <c r="HO23" t="s">
        <v>59</v>
      </c>
      <c r="HP23" t="s">
        <v>59</v>
      </c>
      <c r="HQ23" t="s">
        <v>59</v>
      </c>
      <c r="HR23" t="s">
        <v>59</v>
      </c>
      <c r="HS23" t="s">
        <v>59</v>
      </c>
      <c r="HT23" t="s">
        <v>59</v>
      </c>
      <c r="HU23" t="s">
        <v>59</v>
      </c>
      <c r="HV23" t="s">
        <v>59</v>
      </c>
      <c r="HW23" t="s">
        <v>59</v>
      </c>
      <c r="HX23" t="s">
        <v>59</v>
      </c>
      <c r="HY23" t="s">
        <v>59</v>
      </c>
      <c r="HZ23" t="s">
        <v>59</v>
      </c>
      <c r="IA23" t="s">
        <v>59</v>
      </c>
      <c r="IB23" t="s">
        <v>59</v>
      </c>
      <c r="IC23" t="s">
        <v>59</v>
      </c>
      <c r="ID23" t="s">
        <v>59</v>
      </c>
      <c r="IE23" t="s">
        <v>59</v>
      </c>
      <c r="IF23" t="s">
        <v>59</v>
      </c>
      <c r="IG23" t="s">
        <v>59</v>
      </c>
      <c r="IH23" t="s">
        <v>59</v>
      </c>
      <c r="II23" t="s">
        <v>59</v>
      </c>
      <c r="IJ23" t="s">
        <v>128</v>
      </c>
      <c r="IK23" t="s">
        <v>198</v>
      </c>
      <c r="IL23" t="s">
        <v>128</v>
      </c>
      <c r="IM23" t="s">
        <v>199</v>
      </c>
      <c r="IN23">
        <v>31</v>
      </c>
      <c r="IO23" t="s">
        <v>2730</v>
      </c>
      <c r="IP23">
        <v>1</v>
      </c>
      <c r="IQ23" t="s">
        <v>2730</v>
      </c>
      <c r="IR23">
        <v>15</v>
      </c>
      <c r="IS23" t="s">
        <v>2730</v>
      </c>
      <c r="IT23" t="s">
        <v>2730</v>
      </c>
      <c r="IU23" t="s">
        <v>2730</v>
      </c>
      <c r="IV23">
        <v>16</v>
      </c>
      <c r="IW23" t="s">
        <v>2730</v>
      </c>
      <c r="IX23">
        <v>3</v>
      </c>
      <c r="IY23" t="s">
        <v>2730</v>
      </c>
      <c r="IZ23">
        <v>57</v>
      </c>
      <c r="JA23" t="s">
        <v>2730</v>
      </c>
      <c r="JB23">
        <v>2</v>
      </c>
      <c r="JC23" t="s">
        <v>2730</v>
      </c>
      <c r="JD23">
        <v>25</v>
      </c>
      <c r="JE23" t="s">
        <v>2730</v>
      </c>
      <c r="JF23">
        <v>1</v>
      </c>
      <c r="JG23" t="s">
        <v>2730</v>
      </c>
      <c r="JH23">
        <v>29</v>
      </c>
      <c r="JI23">
        <v>1</v>
      </c>
      <c r="JJ23" t="s">
        <v>2730</v>
      </c>
      <c r="JK23" t="s">
        <v>2730</v>
      </c>
      <c r="JL23">
        <v>16</v>
      </c>
      <c r="JM23" t="s">
        <v>2730</v>
      </c>
      <c r="JN23" t="s">
        <v>2730</v>
      </c>
      <c r="JO23">
        <v>4</v>
      </c>
      <c r="JP23" t="s">
        <v>2730</v>
      </c>
      <c r="JQ23" t="s">
        <v>2730</v>
      </c>
    </row>
    <row r="24" spans="1:277">
      <c r="A24" s="149" t="str">
        <f>HYPERLINK("http://www.ofsted.gov.uk/inspection-reports/find-inspection-report/provider/ELS/142625 ","Ofsted School Webpage")</f>
        <v>Ofsted School Webpage</v>
      </c>
      <c r="B24">
        <v>1231173</v>
      </c>
      <c r="C24">
        <v>142625</v>
      </c>
      <c r="D24">
        <v>8736053</v>
      </c>
      <c r="E24" t="s">
        <v>522</v>
      </c>
      <c r="F24" t="s">
        <v>37</v>
      </c>
      <c r="G24" t="s">
        <v>209</v>
      </c>
      <c r="H24" t="s">
        <v>220</v>
      </c>
      <c r="I24" t="s">
        <v>220</v>
      </c>
      <c r="J24" t="s">
        <v>284</v>
      </c>
      <c r="K24" t="s">
        <v>523</v>
      </c>
      <c r="L24" t="s">
        <v>184</v>
      </c>
      <c r="M24" t="s">
        <v>185</v>
      </c>
      <c r="N24" t="s">
        <v>184</v>
      </c>
      <c r="O24" t="s">
        <v>2730</v>
      </c>
      <c r="P24" t="s">
        <v>186</v>
      </c>
      <c r="Q24">
        <v>10033609</v>
      </c>
      <c r="R24" s="120">
        <v>43011</v>
      </c>
      <c r="S24" s="120">
        <v>43013</v>
      </c>
      <c r="T24" s="120">
        <v>43052</v>
      </c>
      <c r="U24" t="s">
        <v>2730</v>
      </c>
      <c r="V24" t="s">
        <v>249</v>
      </c>
      <c r="W24" t="s">
        <v>2730</v>
      </c>
      <c r="X24" t="s">
        <v>197</v>
      </c>
      <c r="Y24">
        <v>3</v>
      </c>
      <c r="Z24">
        <v>3</v>
      </c>
      <c r="AA24">
        <v>2</v>
      </c>
      <c r="AB24">
        <v>3</v>
      </c>
      <c r="AC24">
        <v>3</v>
      </c>
      <c r="AD24" t="s">
        <v>2730</v>
      </c>
      <c r="AE24">
        <v>3</v>
      </c>
      <c r="AF24" t="s">
        <v>128</v>
      </c>
      <c r="AG24" t="s">
        <v>2730</v>
      </c>
      <c r="AH24" t="s">
        <v>2733</v>
      </c>
      <c r="AI24" t="s">
        <v>59</v>
      </c>
      <c r="AJ24" t="s">
        <v>59</v>
      </c>
      <c r="AK24" t="s">
        <v>59</v>
      </c>
      <c r="AL24" t="s">
        <v>59</v>
      </c>
      <c r="AM24" t="s">
        <v>59</v>
      </c>
      <c r="AN24" t="s">
        <v>59</v>
      </c>
      <c r="AO24" t="s">
        <v>59</v>
      </c>
      <c r="AP24" t="s">
        <v>60</v>
      </c>
      <c r="AQ24" t="s">
        <v>59</v>
      </c>
      <c r="AR24" t="s">
        <v>59</v>
      </c>
      <c r="AS24" t="s">
        <v>59</v>
      </c>
      <c r="AT24" t="s">
        <v>59</v>
      </c>
      <c r="AU24" t="s">
        <v>59</v>
      </c>
      <c r="AV24" t="s">
        <v>59</v>
      </c>
      <c r="AW24" t="s">
        <v>59</v>
      </c>
      <c r="AX24" t="s">
        <v>59</v>
      </c>
      <c r="AY24" t="s">
        <v>191</v>
      </c>
      <c r="AZ24" t="s">
        <v>59</v>
      </c>
      <c r="BA24" t="s">
        <v>59</v>
      </c>
      <c r="BB24" t="s">
        <v>59</v>
      </c>
      <c r="BC24" t="s">
        <v>59</v>
      </c>
      <c r="BD24" t="s">
        <v>59</v>
      </c>
      <c r="BE24" t="s">
        <v>59</v>
      </c>
      <c r="BF24" t="s">
        <v>59</v>
      </c>
      <c r="BG24" t="s">
        <v>191</v>
      </c>
      <c r="BH24" t="s">
        <v>59</v>
      </c>
      <c r="BI24" t="s">
        <v>59</v>
      </c>
      <c r="BJ24" t="s">
        <v>59</v>
      </c>
      <c r="BK24" t="s">
        <v>60</v>
      </c>
      <c r="BL24" t="s">
        <v>60</v>
      </c>
      <c r="BM24" t="s">
        <v>60</v>
      </c>
      <c r="BN24" t="s">
        <v>60</v>
      </c>
      <c r="BO24" t="s">
        <v>60</v>
      </c>
      <c r="BP24" t="s">
        <v>59</v>
      </c>
      <c r="BQ24" t="s">
        <v>60</v>
      </c>
      <c r="BR24" t="s">
        <v>60</v>
      </c>
      <c r="BS24" t="s">
        <v>59</v>
      </c>
      <c r="BT24" t="s">
        <v>59</v>
      </c>
      <c r="BU24" t="s">
        <v>59</v>
      </c>
      <c r="BV24" t="s">
        <v>59</v>
      </c>
      <c r="BW24" t="s">
        <v>59</v>
      </c>
      <c r="BX24" t="s">
        <v>59</v>
      </c>
      <c r="BY24" t="s">
        <v>59</v>
      </c>
      <c r="BZ24" t="s">
        <v>59</v>
      </c>
      <c r="CA24" t="s">
        <v>59</v>
      </c>
      <c r="CB24" t="s">
        <v>59</v>
      </c>
      <c r="CC24" t="s">
        <v>59</v>
      </c>
      <c r="CD24" t="s">
        <v>59</v>
      </c>
      <c r="CE24" t="s">
        <v>59</v>
      </c>
      <c r="CF24" t="s">
        <v>59</v>
      </c>
      <c r="CG24" t="s">
        <v>59</v>
      </c>
      <c r="CH24" t="s">
        <v>59</v>
      </c>
      <c r="CI24" t="s">
        <v>59</v>
      </c>
      <c r="CJ24" t="s">
        <v>59</v>
      </c>
      <c r="CK24" t="s">
        <v>59</v>
      </c>
      <c r="CL24" t="s">
        <v>59</v>
      </c>
      <c r="CM24" t="s">
        <v>59</v>
      </c>
      <c r="CN24" t="s">
        <v>59</v>
      </c>
      <c r="CO24" t="s">
        <v>191</v>
      </c>
      <c r="CP24" t="s">
        <v>191</v>
      </c>
      <c r="CQ24" t="s">
        <v>191</v>
      </c>
      <c r="CR24" t="s">
        <v>59</v>
      </c>
      <c r="CS24" t="s">
        <v>59</v>
      </c>
      <c r="CT24" t="s">
        <v>59</v>
      </c>
      <c r="CU24" t="s">
        <v>59</v>
      </c>
      <c r="CV24" t="s">
        <v>59</v>
      </c>
      <c r="CW24" t="s">
        <v>59</v>
      </c>
      <c r="CX24" t="s">
        <v>59</v>
      </c>
      <c r="CY24" t="s">
        <v>59</v>
      </c>
      <c r="CZ24" t="s">
        <v>59</v>
      </c>
      <c r="DA24" t="s">
        <v>59</v>
      </c>
      <c r="DB24" t="s">
        <v>59</v>
      </c>
      <c r="DC24" t="s">
        <v>59</v>
      </c>
      <c r="DD24" t="s">
        <v>59</v>
      </c>
      <c r="DE24" t="s">
        <v>59</v>
      </c>
      <c r="DF24" t="s">
        <v>59</v>
      </c>
      <c r="DG24" t="s">
        <v>59</v>
      </c>
      <c r="DH24" t="s">
        <v>59</v>
      </c>
      <c r="DI24" t="s">
        <v>59</v>
      </c>
      <c r="DJ24" t="s">
        <v>59</v>
      </c>
      <c r="DK24" t="s">
        <v>59</v>
      </c>
      <c r="DL24" t="s">
        <v>59</v>
      </c>
      <c r="DM24" t="s">
        <v>59</v>
      </c>
      <c r="DN24" t="s">
        <v>59</v>
      </c>
      <c r="DO24" t="s">
        <v>191</v>
      </c>
      <c r="DP24" t="s">
        <v>59</v>
      </c>
      <c r="DQ24" t="s">
        <v>191</v>
      </c>
      <c r="DR24" t="s">
        <v>191</v>
      </c>
      <c r="DS24" t="s">
        <v>191</v>
      </c>
      <c r="DT24" t="s">
        <v>191</v>
      </c>
      <c r="DU24" t="s">
        <v>191</v>
      </c>
      <c r="DV24" t="s">
        <v>191</v>
      </c>
      <c r="DW24" t="s">
        <v>191</v>
      </c>
      <c r="DX24" t="s">
        <v>191</v>
      </c>
      <c r="DY24" t="s">
        <v>191</v>
      </c>
      <c r="DZ24" t="s">
        <v>191</v>
      </c>
      <c r="EA24" t="s">
        <v>191</v>
      </c>
      <c r="EB24" t="s">
        <v>191</v>
      </c>
      <c r="EC24" t="s">
        <v>191</v>
      </c>
      <c r="ED24" t="s">
        <v>191</v>
      </c>
      <c r="EE24" t="s">
        <v>59</v>
      </c>
      <c r="EF24" t="s">
        <v>59</v>
      </c>
      <c r="EG24" t="s">
        <v>59</v>
      </c>
      <c r="EH24" t="s">
        <v>59</v>
      </c>
      <c r="EI24" t="s">
        <v>59</v>
      </c>
      <c r="EJ24" t="s">
        <v>59</v>
      </c>
      <c r="EK24" t="s">
        <v>59</v>
      </c>
      <c r="EL24" t="s">
        <v>59</v>
      </c>
      <c r="EM24" t="s">
        <v>59</v>
      </c>
      <c r="EN24" t="s">
        <v>59</v>
      </c>
      <c r="EO24" t="s">
        <v>59</v>
      </c>
      <c r="EP24" t="s">
        <v>59</v>
      </c>
      <c r="EQ24" t="s">
        <v>59</v>
      </c>
      <c r="ER24" t="s">
        <v>59</v>
      </c>
      <c r="ES24" t="s">
        <v>59</v>
      </c>
      <c r="ET24" t="s">
        <v>59</v>
      </c>
      <c r="EU24" t="s">
        <v>59</v>
      </c>
      <c r="EV24" t="s">
        <v>59</v>
      </c>
      <c r="EW24" t="s">
        <v>59</v>
      </c>
      <c r="EX24" t="s">
        <v>59</v>
      </c>
      <c r="EY24" t="s">
        <v>59</v>
      </c>
      <c r="EZ24" t="s">
        <v>59</v>
      </c>
      <c r="FA24" t="s">
        <v>59</v>
      </c>
      <c r="FB24" t="s">
        <v>191</v>
      </c>
      <c r="FC24" t="s">
        <v>191</v>
      </c>
      <c r="FD24" t="s">
        <v>191</v>
      </c>
      <c r="FE24" t="s">
        <v>191</v>
      </c>
      <c r="FF24" t="s">
        <v>191</v>
      </c>
      <c r="FG24" t="s">
        <v>191</v>
      </c>
      <c r="FH24" t="s">
        <v>59</v>
      </c>
      <c r="FI24" t="s">
        <v>59</v>
      </c>
      <c r="FJ24" t="s">
        <v>59</v>
      </c>
      <c r="FK24" t="s">
        <v>59</v>
      </c>
      <c r="FL24" t="s">
        <v>59</v>
      </c>
      <c r="FM24" t="s">
        <v>59</v>
      </c>
      <c r="FN24" t="s">
        <v>59</v>
      </c>
      <c r="FO24" t="s">
        <v>59</v>
      </c>
      <c r="FP24" t="s">
        <v>59</v>
      </c>
      <c r="FQ24" t="s">
        <v>59</v>
      </c>
      <c r="FR24" t="s">
        <v>59</v>
      </c>
      <c r="FS24" t="s">
        <v>59</v>
      </c>
      <c r="FT24" t="s">
        <v>59</v>
      </c>
      <c r="FU24" t="s">
        <v>59</v>
      </c>
      <c r="FV24" t="s">
        <v>59</v>
      </c>
      <c r="FW24" t="s">
        <v>59</v>
      </c>
      <c r="FX24" t="s">
        <v>59</v>
      </c>
      <c r="FY24" t="s">
        <v>59</v>
      </c>
      <c r="FZ24" t="s">
        <v>59</v>
      </c>
      <c r="GA24" t="s">
        <v>59</v>
      </c>
      <c r="GB24" t="s">
        <v>59</v>
      </c>
      <c r="GC24" t="s">
        <v>59</v>
      </c>
      <c r="GD24" t="s">
        <v>59</v>
      </c>
      <c r="GE24" t="s">
        <v>59</v>
      </c>
      <c r="GF24" t="s">
        <v>59</v>
      </c>
      <c r="GG24" t="s">
        <v>59</v>
      </c>
      <c r="GH24" t="s">
        <v>59</v>
      </c>
      <c r="GI24" t="s">
        <v>59</v>
      </c>
      <c r="GJ24" t="s">
        <v>59</v>
      </c>
      <c r="GK24" t="s">
        <v>191</v>
      </c>
      <c r="GL24" t="s">
        <v>59</v>
      </c>
      <c r="GM24" t="s">
        <v>59</v>
      </c>
      <c r="GN24" t="s">
        <v>59</v>
      </c>
      <c r="GO24" t="s">
        <v>59</v>
      </c>
      <c r="GP24" t="s">
        <v>191</v>
      </c>
      <c r="GQ24" t="s">
        <v>191</v>
      </c>
      <c r="GR24" t="s">
        <v>59</v>
      </c>
      <c r="GS24" t="s">
        <v>59</v>
      </c>
      <c r="GT24" t="s">
        <v>59</v>
      </c>
      <c r="GU24" t="s">
        <v>59</v>
      </c>
      <c r="GV24" t="s">
        <v>59</v>
      </c>
      <c r="GW24" t="s">
        <v>59</v>
      </c>
      <c r="GX24" t="s">
        <v>59</v>
      </c>
      <c r="GY24" t="s">
        <v>59</v>
      </c>
      <c r="GZ24" t="s">
        <v>191</v>
      </c>
      <c r="HA24" t="s">
        <v>59</v>
      </c>
      <c r="HB24" t="s">
        <v>191</v>
      </c>
      <c r="HC24" t="s">
        <v>59</v>
      </c>
      <c r="HD24" t="s">
        <v>59</v>
      </c>
      <c r="HE24" t="s">
        <v>59</v>
      </c>
      <c r="HF24" t="s">
        <v>59</v>
      </c>
      <c r="HG24" t="s">
        <v>59</v>
      </c>
      <c r="HH24" t="s">
        <v>59</v>
      </c>
      <c r="HI24" t="s">
        <v>59</v>
      </c>
      <c r="HJ24" t="s">
        <v>59</v>
      </c>
      <c r="HK24" t="s">
        <v>191</v>
      </c>
      <c r="HL24" t="s">
        <v>191</v>
      </c>
      <c r="HM24" t="s">
        <v>191</v>
      </c>
      <c r="HN24" t="s">
        <v>191</v>
      </c>
      <c r="HO24" t="s">
        <v>191</v>
      </c>
      <c r="HP24" t="s">
        <v>59</v>
      </c>
      <c r="HQ24" t="s">
        <v>59</v>
      </c>
      <c r="HR24" t="s">
        <v>59</v>
      </c>
      <c r="HS24" t="s">
        <v>59</v>
      </c>
      <c r="HT24" t="s">
        <v>59</v>
      </c>
      <c r="HU24" t="s">
        <v>59</v>
      </c>
      <c r="HV24" t="s">
        <v>59</v>
      </c>
      <c r="HW24" t="s">
        <v>59</v>
      </c>
      <c r="HX24" t="s">
        <v>59</v>
      </c>
      <c r="HY24" t="s">
        <v>59</v>
      </c>
      <c r="HZ24" t="s">
        <v>59</v>
      </c>
      <c r="IA24" t="s">
        <v>59</v>
      </c>
      <c r="IB24" t="s">
        <v>59</v>
      </c>
      <c r="IC24" t="s">
        <v>59</v>
      </c>
      <c r="ID24" t="s">
        <v>59</v>
      </c>
      <c r="IE24" t="s">
        <v>59</v>
      </c>
      <c r="IF24" t="s">
        <v>60</v>
      </c>
      <c r="IG24" t="s">
        <v>60</v>
      </c>
      <c r="IH24" t="s">
        <v>60</v>
      </c>
      <c r="II24" t="s">
        <v>59</v>
      </c>
      <c r="IJ24" t="s">
        <v>129</v>
      </c>
      <c r="IK24" t="s">
        <v>198</v>
      </c>
      <c r="IL24" t="s">
        <v>128</v>
      </c>
      <c r="IM24" t="s">
        <v>199</v>
      </c>
      <c r="IN24">
        <v>23</v>
      </c>
      <c r="IO24" t="s">
        <v>2730</v>
      </c>
      <c r="IP24">
        <v>2</v>
      </c>
      <c r="IQ24">
        <v>7</v>
      </c>
      <c r="IR24">
        <v>15</v>
      </c>
      <c r="IS24" t="s">
        <v>2730</v>
      </c>
      <c r="IT24" t="s">
        <v>2730</v>
      </c>
      <c r="IU24" t="s">
        <v>2730</v>
      </c>
      <c r="IV24">
        <v>16</v>
      </c>
      <c r="IW24" t="s">
        <v>2730</v>
      </c>
      <c r="IX24">
        <v>3</v>
      </c>
      <c r="IY24" t="s">
        <v>2730</v>
      </c>
      <c r="IZ24">
        <v>38</v>
      </c>
      <c r="JA24" t="s">
        <v>2730</v>
      </c>
      <c r="JB24">
        <v>21</v>
      </c>
      <c r="JC24" t="s">
        <v>2730</v>
      </c>
      <c r="JD24">
        <v>25</v>
      </c>
      <c r="JE24" t="s">
        <v>2730</v>
      </c>
      <c r="JF24">
        <v>1</v>
      </c>
      <c r="JG24" t="s">
        <v>2730</v>
      </c>
      <c r="JH24">
        <v>21</v>
      </c>
      <c r="JI24" t="s">
        <v>2730</v>
      </c>
      <c r="JJ24">
        <v>9</v>
      </c>
      <c r="JK24" t="s">
        <v>2730</v>
      </c>
      <c r="JL24">
        <v>16</v>
      </c>
      <c r="JM24" t="s">
        <v>2730</v>
      </c>
      <c r="JN24" t="s">
        <v>2730</v>
      </c>
      <c r="JO24">
        <v>1</v>
      </c>
      <c r="JP24" t="s">
        <v>2730</v>
      </c>
      <c r="JQ24">
        <v>3</v>
      </c>
    </row>
    <row r="25" spans="1:277">
      <c r="A25" s="149" t="str">
        <f>HYPERLINK("http://www.ofsted.gov.uk/inspection-reports/find-inspection-report/provider/ELS/142659 ","Ofsted School Webpage")</f>
        <v>Ofsted School Webpage</v>
      </c>
      <c r="B25">
        <v>1231774</v>
      </c>
      <c r="C25">
        <v>142659</v>
      </c>
      <c r="D25">
        <v>8556036</v>
      </c>
      <c r="E25" t="s">
        <v>351</v>
      </c>
      <c r="F25" t="s">
        <v>38</v>
      </c>
      <c r="G25" t="s">
        <v>180</v>
      </c>
      <c r="H25" t="s">
        <v>214</v>
      </c>
      <c r="I25" t="s">
        <v>214</v>
      </c>
      <c r="J25" t="s">
        <v>281</v>
      </c>
      <c r="K25" t="s">
        <v>352</v>
      </c>
      <c r="L25" t="s">
        <v>184</v>
      </c>
      <c r="M25" t="s">
        <v>185</v>
      </c>
      <c r="N25" t="s">
        <v>184</v>
      </c>
      <c r="O25" t="s">
        <v>2730</v>
      </c>
      <c r="P25" t="s">
        <v>186</v>
      </c>
      <c r="Q25">
        <v>10039199</v>
      </c>
      <c r="R25" s="120">
        <v>42990</v>
      </c>
      <c r="S25" s="120">
        <v>42991</v>
      </c>
      <c r="T25" s="120">
        <v>43018</v>
      </c>
      <c r="U25" t="s">
        <v>2730</v>
      </c>
      <c r="V25" t="s">
        <v>249</v>
      </c>
      <c r="W25" t="s">
        <v>2730</v>
      </c>
      <c r="X25" t="s">
        <v>197</v>
      </c>
      <c r="Y25">
        <v>2</v>
      </c>
      <c r="Z25">
        <v>2</v>
      </c>
      <c r="AA25">
        <v>2</v>
      </c>
      <c r="AB25">
        <v>2</v>
      </c>
      <c r="AC25">
        <v>2</v>
      </c>
      <c r="AD25" t="s">
        <v>2730</v>
      </c>
      <c r="AE25" t="s">
        <v>2730</v>
      </c>
      <c r="AF25" t="s">
        <v>128</v>
      </c>
      <c r="AG25" t="s">
        <v>2730</v>
      </c>
      <c r="AH25" t="s">
        <v>2732</v>
      </c>
      <c r="AI25" t="s">
        <v>59</v>
      </c>
      <c r="AJ25" t="s">
        <v>59</v>
      </c>
      <c r="AK25" t="s">
        <v>59</v>
      </c>
      <c r="AL25" t="s">
        <v>59</v>
      </c>
      <c r="AM25" t="s">
        <v>59</v>
      </c>
      <c r="AN25" t="s">
        <v>59</v>
      </c>
      <c r="AO25" t="s">
        <v>59</v>
      </c>
      <c r="AP25" t="s">
        <v>59</v>
      </c>
      <c r="AQ25" t="s">
        <v>59</v>
      </c>
      <c r="AR25" t="s">
        <v>59</v>
      </c>
      <c r="AS25" t="s">
        <v>59</v>
      </c>
      <c r="AT25" t="s">
        <v>59</v>
      </c>
      <c r="AU25" t="s">
        <v>59</v>
      </c>
      <c r="AV25" t="s">
        <v>59</v>
      </c>
      <c r="AW25" t="s">
        <v>59</v>
      </c>
      <c r="AX25" t="s">
        <v>59</v>
      </c>
      <c r="AY25" t="s">
        <v>218</v>
      </c>
      <c r="AZ25" t="s">
        <v>59</v>
      </c>
      <c r="BA25" t="s">
        <v>59</v>
      </c>
      <c r="BB25" t="s">
        <v>59</v>
      </c>
      <c r="BC25" t="s">
        <v>59</v>
      </c>
      <c r="BD25" t="s">
        <v>59</v>
      </c>
      <c r="BE25" t="s">
        <v>59</v>
      </c>
      <c r="BF25" t="s">
        <v>59</v>
      </c>
      <c r="BG25" t="s">
        <v>218</v>
      </c>
      <c r="BH25" t="s">
        <v>218</v>
      </c>
      <c r="BI25" t="s">
        <v>59</v>
      </c>
      <c r="BJ25" t="s">
        <v>59</v>
      </c>
      <c r="BK25" t="s">
        <v>59</v>
      </c>
      <c r="BL25" t="s">
        <v>59</v>
      </c>
      <c r="BM25" t="s">
        <v>59</v>
      </c>
      <c r="BN25" t="s">
        <v>59</v>
      </c>
      <c r="BO25" t="s">
        <v>59</v>
      </c>
      <c r="BP25" t="s">
        <v>59</v>
      </c>
      <c r="BQ25" t="s">
        <v>59</v>
      </c>
      <c r="BR25" t="s">
        <v>59</v>
      </c>
      <c r="BS25" t="s">
        <v>59</v>
      </c>
      <c r="BT25" t="s">
        <v>59</v>
      </c>
      <c r="BU25" t="s">
        <v>59</v>
      </c>
      <c r="BV25" t="s">
        <v>59</v>
      </c>
      <c r="BW25" t="s">
        <v>59</v>
      </c>
      <c r="BX25" t="s">
        <v>59</v>
      </c>
      <c r="BY25" t="s">
        <v>59</v>
      </c>
      <c r="BZ25" t="s">
        <v>59</v>
      </c>
      <c r="CA25" t="s">
        <v>59</v>
      </c>
      <c r="CB25" t="s">
        <v>59</v>
      </c>
      <c r="CC25" t="s">
        <v>59</v>
      </c>
      <c r="CD25" t="s">
        <v>59</v>
      </c>
      <c r="CE25" t="s">
        <v>59</v>
      </c>
      <c r="CF25" t="s">
        <v>59</v>
      </c>
      <c r="CG25" t="s">
        <v>59</v>
      </c>
      <c r="CH25" t="s">
        <v>59</v>
      </c>
      <c r="CI25" t="s">
        <v>59</v>
      </c>
      <c r="CJ25" t="s">
        <v>59</v>
      </c>
      <c r="CK25" t="s">
        <v>59</v>
      </c>
      <c r="CL25" t="s">
        <v>59</v>
      </c>
      <c r="CM25" t="s">
        <v>59</v>
      </c>
      <c r="CN25" t="s">
        <v>59</v>
      </c>
      <c r="CO25" t="s">
        <v>218</v>
      </c>
      <c r="CP25" t="s">
        <v>218</v>
      </c>
      <c r="CQ25" t="s">
        <v>218</v>
      </c>
      <c r="CR25" t="s">
        <v>59</v>
      </c>
      <c r="CS25" t="s">
        <v>59</v>
      </c>
      <c r="CT25" t="s">
        <v>59</v>
      </c>
      <c r="CU25" t="s">
        <v>59</v>
      </c>
      <c r="CV25" t="s">
        <v>59</v>
      </c>
      <c r="CW25" t="s">
        <v>59</v>
      </c>
      <c r="CX25" t="s">
        <v>59</v>
      </c>
      <c r="CY25" t="s">
        <v>59</v>
      </c>
      <c r="CZ25" t="s">
        <v>59</v>
      </c>
      <c r="DA25" t="s">
        <v>59</v>
      </c>
      <c r="DB25" t="s">
        <v>59</v>
      </c>
      <c r="DC25" t="s">
        <v>59</v>
      </c>
      <c r="DD25" t="s">
        <v>59</v>
      </c>
      <c r="DE25" t="s">
        <v>59</v>
      </c>
      <c r="DF25" t="s">
        <v>59</v>
      </c>
      <c r="DG25" t="s">
        <v>59</v>
      </c>
      <c r="DH25" t="s">
        <v>59</v>
      </c>
      <c r="DI25" t="s">
        <v>59</v>
      </c>
      <c r="DJ25" t="s">
        <v>59</v>
      </c>
      <c r="DK25" t="s">
        <v>59</v>
      </c>
      <c r="DL25" t="s">
        <v>59</v>
      </c>
      <c r="DM25" t="s">
        <v>59</v>
      </c>
      <c r="DN25" t="s">
        <v>59</v>
      </c>
      <c r="DO25" t="s">
        <v>218</v>
      </c>
      <c r="DP25" t="s">
        <v>59</v>
      </c>
      <c r="DQ25" t="s">
        <v>218</v>
      </c>
      <c r="DR25" t="s">
        <v>218</v>
      </c>
      <c r="DS25" t="s">
        <v>218</v>
      </c>
      <c r="DT25" t="s">
        <v>218</v>
      </c>
      <c r="DU25" t="s">
        <v>218</v>
      </c>
      <c r="DV25" t="s">
        <v>218</v>
      </c>
      <c r="DW25" t="s">
        <v>218</v>
      </c>
      <c r="DX25" t="s">
        <v>218</v>
      </c>
      <c r="DY25" t="s">
        <v>218</v>
      </c>
      <c r="DZ25" t="s">
        <v>218</v>
      </c>
      <c r="EA25" t="s">
        <v>218</v>
      </c>
      <c r="EB25" t="s">
        <v>218</v>
      </c>
      <c r="EC25" t="s">
        <v>218</v>
      </c>
      <c r="ED25" t="s">
        <v>218</v>
      </c>
      <c r="EE25" t="s">
        <v>59</v>
      </c>
      <c r="EF25" t="s">
        <v>59</v>
      </c>
      <c r="EG25" t="s">
        <v>59</v>
      </c>
      <c r="EH25" t="s">
        <v>59</v>
      </c>
      <c r="EI25" t="s">
        <v>59</v>
      </c>
      <c r="EJ25" t="s">
        <v>59</v>
      </c>
      <c r="EK25" t="s">
        <v>59</v>
      </c>
      <c r="EL25" t="s">
        <v>59</v>
      </c>
      <c r="EM25" t="s">
        <v>59</v>
      </c>
      <c r="EN25" t="s">
        <v>59</v>
      </c>
      <c r="EO25" t="s">
        <v>59</v>
      </c>
      <c r="EP25" t="s">
        <v>59</v>
      </c>
      <c r="EQ25" t="s">
        <v>59</v>
      </c>
      <c r="ER25" t="s">
        <v>59</v>
      </c>
      <c r="ES25" t="s">
        <v>59</v>
      </c>
      <c r="ET25" t="s">
        <v>59</v>
      </c>
      <c r="EU25" t="s">
        <v>59</v>
      </c>
      <c r="EV25" t="s">
        <v>59</v>
      </c>
      <c r="EW25" t="s">
        <v>59</v>
      </c>
      <c r="EX25" t="s">
        <v>59</v>
      </c>
      <c r="EY25" t="s">
        <v>59</v>
      </c>
      <c r="EZ25" t="s">
        <v>59</v>
      </c>
      <c r="FA25" t="s">
        <v>218</v>
      </c>
      <c r="FB25" t="s">
        <v>218</v>
      </c>
      <c r="FC25" t="s">
        <v>218</v>
      </c>
      <c r="FD25" t="s">
        <v>218</v>
      </c>
      <c r="FE25" t="s">
        <v>218</v>
      </c>
      <c r="FF25" t="s">
        <v>218</v>
      </c>
      <c r="FG25" t="s">
        <v>218</v>
      </c>
      <c r="FH25" t="s">
        <v>59</v>
      </c>
      <c r="FI25" t="s">
        <v>218</v>
      </c>
      <c r="FJ25" t="s">
        <v>59</v>
      </c>
      <c r="FK25" t="s">
        <v>59</v>
      </c>
      <c r="FL25" t="s">
        <v>59</v>
      </c>
      <c r="FM25" t="s">
        <v>59</v>
      </c>
      <c r="FN25" t="s">
        <v>59</v>
      </c>
      <c r="FO25" t="s">
        <v>59</v>
      </c>
      <c r="FP25" t="s">
        <v>59</v>
      </c>
      <c r="FQ25" t="s">
        <v>59</v>
      </c>
      <c r="FR25" t="s">
        <v>59</v>
      </c>
      <c r="FS25" t="s">
        <v>218</v>
      </c>
      <c r="FT25" t="s">
        <v>59</v>
      </c>
      <c r="FU25" t="s">
        <v>59</v>
      </c>
      <c r="FV25" t="s">
        <v>59</v>
      </c>
      <c r="FW25" t="s">
        <v>59</v>
      </c>
      <c r="FX25" t="s">
        <v>59</v>
      </c>
      <c r="FY25" t="s">
        <v>59</v>
      </c>
      <c r="FZ25" t="s">
        <v>59</v>
      </c>
      <c r="GA25" t="s">
        <v>59</v>
      </c>
      <c r="GB25" t="s">
        <v>59</v>
      </c>
      <c r="GC25" t="s">
        <v>59</v>
      </c>
      <c r="GD25" t="s">
        <v>59</v>
      </c>
      <c r="GE25" t="s">
        <v>59</v>
      </c>
      <c r="GF25" t="s">
        <v>59</v>
      </c>
      <c r="GG25" t="s">
        <v>59</v>
      </c>
      <c r="GH25" t="s">
        <v>59</v>
      </c>
      <c r="GI25" t="s">
        <v>59</v>
      </c>
      <c r="GJ25" t="s">
        <v>59</v>
      </c>
      <c r="GK25" t="s">
        <v>218</v>
      </c>
      <c r="GL25" t="s">
        <v>59</v>
      </c>
      <c r="GM25" t="s">
        <v>59</v>
      </c>
      <c r="GN25" t="s">
        <v>59</v>
      </c>
      <c r="GO25" t="s">
        <v>59</v>
      </c>
      <c r="GP25" t="s">
        <v>218</v>
      </c>
      <c r="GQ25" t="s">
        <v>218</v>
      </c>
      <c r="GR25" t="s">
        <v>59</v>
      </c>
      <c r="GS25" t="s">
        <v>59</v>
      </c>
      <c r="GT25" t="s">
        <v>59</v>
      </c>
      <c r="GU25" t="s">
        <v>59</v>
      </c>
      <c r="GV25" t="s">
        <v>59</v>
      </c>
      <c r="GW25" t="s">
        <v>59</v>
      </c>
      <c r="GX25" t="s">
        <v>59</v>
      </c>
      <c r="GY25" t="s">
        <v>59</v>
      </c>
      <c r="GZ25" t="s">
        <v>218</v>
      </c>
      <c r="HA25" t="s">
        <v>59</v>
      </c>
      <c r="HB25" t="s">
        <v>218</v>
      </c>
      <c r="HC25" t="s">
        <v>59</v>
      </c>
      <c r="HD25" t="s">
        <v>59</v>
      </c>
      <c r="HE25" t="s">
        <v>59</v>
      </c>
      <c r="HF25" t="s">
        <v>59</v>
      </c>
      <c r="HG25" t="s">
        <v>59</v>
      </c>
      <c r="HH25" t="s">
        <v>59</v>
      </c>
      <c r="HI25" t="s">
        <v>218</v>
      </c>
      <c r="HJ25" t="s">
        <v>59</v>
      </c>
      <c r="HK25" t="s">
        <v>218</v>
      </c>
      <c r="HL25" t="s">
        <v>218</v>
      </c>
      <c r="HM25" t="s">
        <v>218</v>
      </c>
      <c r="HN25" t="s">
        <v>218</v>
      </c>
      <c r="HO25" t="s">
        <v>218</v>
      </c>
      <c r="HP25" t="s">
        <v>59</v>
      </c>
      <c r="HQ25" t="s">
        <v>59</v>
      </c>
      <c r="HR25" t="s">
        <v>59</v>
      </c>
      <c r="HS25" t="s">
        <v>59</v>
      </c>
      <c r="HT25" t="s">
        <v>59</v>
      </c>
      <c r="HU25" t="s">
        <v>59</v>
      </c>
      <c r="HV25" t="s">
        <v>59</v>
      </c>
      <c r="HW25" t="s">
        <v>59</v>
      </c>
      <c r="HX25" t="s">
        <v>59</v>
      </c>
      <c r="HY25" t="s">
        <v>59</v>
      </c>
      <c r="HZ25" t="s">
        <v>59</v>
      </c>
      <c r="IA25" t="s">
        <v>59</v>
      </c>
      <c r="IB25" t="s">
        <v>59</v>
      </c>
      <c r="IC25" t="s">
        <v>59</v>
      </c>
      <c r="ID25" t="s">
        <v>59</v>
      </c>
      <c r="IE25" t="s">
        <v>59</v>
      </c>
      <c r="IF25" t="s">
        <v>59</v>
      </c>
      <c r="IG25" t="s">
        <v>59</v>
      </c>
      <c r="IH25" t="s">
        <v>59</v>
      </c>
      <c r="II25" t="s">
        <v>59</v>
      </c>
      <c r="IJ25" t="s">
        <v>129</v>
      </c>
      <c r="IK25" t="s">
        <v>191</v>
      </c>
      <c r="IL25" t="s">
        <v>128</v>
      </c>
      <c r="IM25" t="s">
        <v>199</v>
      </c>
      <c r="IN25">
        <v>29</v>
      </c>
      <c r="IO25" t="s">
        <v>2730</v>
      </c>
      <c r="IP25" t="s">
        <v>2730</v>
      </c>
      <c r="IQ25" t="s">
        <v>2730</v>
      </c>
      <c r="IR25">
        <v>15</v>
      </c>
      <c r="IS25" t="s">
        <v>2730</v>
      </c>
      <c r="IT25" t="s">
        <v>2730</v>
      </c>
      <c r="IU25" t="s">
        <v>2730</v>
      </c>
      <c r="IV25">
        <v>16</v>
      </c>
      <c r="IW25" t="s">
        <v>2730</v>
      </c>
      <c r="IX25" t="s">
        <v>2730</v>
      </c>
      <c r="IY25" t="s">
        <v>2730</v>
      </c>
      <c r="IZ25">
        <v>36</v>
      </c>
      <c r="JA25" t="s">
        <v>2730</v>
      </c>
      <c r="JB25" t="s">
        <v>2730</v>
      </c>
      <c r="JC25" t="s">
        <v>2730</v>
      </c>
      <c r="JD25">
        <v>24</v>
      </c>
      <c r="JE25" t="s">
        <v>2730</v>
      </c>
      <c r="JF25" t="s">
        <v>2730</v>
      </c>
      <c r="JG25" t="s">
        <v>2730</v>
      </c>
      <c r="JH25">
        <v>20</v>
      </c>
      <c r="JI25" t="s">
        <v>2730</v>
      </c>
      <c r="JJ25" t="s">
        <v>2730</v>
      </c>
      <c r="JK25" t="s">
        <v>2730</v>
      </c>
      <c r="JL25">
        <v>16</v>
      </c>
      <c r="JM25" t="s">
        <v>2730</v>
      </c>
      <c r="JN25" t="s">
        <v>2730</v>
      </c>
      <c r="JO25">
        <v>4</v>
      </c>
      <c r="JP25" t="s">
        <v>2730</v>
      </c>
      <c r="JQ25" t="s">
        <v>2730</v>
      </c>
    </row>
    <row r="26" spans="1:277">
      <c r="A26" s="149" t="str">
        <f>HYPERLINK("http://www.ofsted.gov.uk/inspection-reports/find-inspection-report/provider/ELS/143019 ","Ofsted School Webpage")</f>
        <v>Ofsted School Webpage</v>
      </c>
      <c r="B26">
        <v>1240827</v>
      </c>
      <c r="C26">
        <v>143019</v>
      </c>
      <c r="D26">
        <v>3016005</v>
      </c>
      <c r="E26" t="s">
        <v>2268</v>
      </c>
      <c r="F26" t="s">
        <v>37</v>
      </c>
      <c r="G26" t="s">
        <v>209</v>
      </c>
      <c r="H26" t="s">
        <v>232</v>
      </c>
      <c r="I26" t="s">
        <v>232</v>
      </c>
      <c r="J26" t="s">
        <v>1164</v>
      </c>
      <c r="K26" t="s">
        <v>2269</v>
      </c>
      <c r="L26" t="s">
        <v>184</v>
      </c>
      <c r="M26" t="s">
        <v>185</v>
      </c>
      <c r="N26" t="s">
        <v>184</v>
      </c>
      <c r="O26" t="s">
        <v>2730</v>
      </c>
      <c r="P26" t="s">
        <v>186</v>
      </c>
      <c r="Q26">
        <v>10035817</v>
      </c>
      <c r="R26" s="120">
        <v>43039</v>
      </c>
      <c r="S26" s="120">
        <v>43041</v>
      </c>
      <c r="T26" s="120">
        <v>43070</v>
      </c>
      <c r="U26" t="s">
        <v>2730</v>
      </c>
      <c r="V26" t="s">
        <v>249</v>
      </c>
      <c r="W26" t="s">
        <v>2730</v>
      </c>
      <c r="X26" t="s">
        <v>197</v>
      </c>
      <c r="Y26">
        <v>2</v>
      </c>
      <c r="Z26">
        <v>2</v>
      </c>
      <c r="AA26">
        <v>2</v>
      </c>
      <c r="AB26">
        <v>2</v>
      </c>
      <c r="AC26">
        <v>2</v>
      </c>
      <c r="AD26" t="s">
        <v>2730</v>
      </c>
      <c r="AE26" t="s">
        <v>2730</v>
      </c>
      <c r="AF26" t="s">
        <v>128</v>
      </c>
      <c r="AG26" t="s">
        <v>2730</v>
      </c>
      <c r="AH26" t="s">
        <v>2732</v>
      </c>
      <c r="AI26" t="s">
        <v>59</v>
      </c>
      <c r="AJ26" t="s">
        <v>59</v>
      </c>
      <c r="AK26" t="s">
        <v>59</v>
      </c>
      <c r="AL26" t="s">
        <v>59</v>
      </c>
      <c r="AM26" t="s">
        <v>59</v>
      </c>
      <c r="AN26" t="s">
        <v>59</v>
      </c>
      <c r="AO26" t="s">
        <v>59</v>
      </c>
      <c r="AP26" t="s">
        <v>59</v>
      </c>
      <c r="AQ26" t="s">
        <v>59</v>
      </c>
      <c r="AR26" t="s">
        <v>59</v>
      </c>
      <c r="AS26" t="s">
        <v>59</v>
      </c>
      <c r="AT26" t="s">
        <v>59</v>
      </c>
      <c r="AU26" t="s">
        <v>59</v>
      </c>
      <c r="AV26" t="s">
        <v>59</v>
      </c>
      <c r="AW26" t="s">
        <v>59</v>
      </c>
      <c r="AX26" t="s">
        <v>59</v>
      </c>
      <c r="AY26" t="s">
        <v>218</v>
      </c>
      <c r="AZ26" t="s">
        <v>59</v>
      </c>
      <c r="BA26" t="s">
        <v>59</v>
      </c>
      <c r="BB26" t="s">
        <v>59</v>
      </c>
      <c r="BC26" t="s">
        <v>59</v>
      </c>
      <c r="BD26" t="s">
        <v>59</v>
      </c>
      <c r="BE26" t="s">
        <v>59</v>
      </c>
      <c r="BF26" t="s">
        <v>59</v>
      </c>
      <c r="BG26" t="s">
        <v>59</v>
      </c>
      <c r="BH26" t="s">
        <v>59</v>
      </c>
      <c r="BI26" t="s">
        <v>59</v>
      </c>
      <c r="BJ26" t="s">
        <v>59</v>
      </c>
      <c r="BK26" t="s">
        <v>59</v>
      </c>
      <c r="BL26" t="s">
        <v>59</v>
      </c>
      <c r="BM26" t="s">
        <v>59</v>
      </c>
      <c r="BN26" t="s">
        <v>59</v>
      </c>
      <c r="BO26" t="s">
        <v>59</v>
      </c>
      <c r="BP26" t="s">
        <v>59</v>
      </c>
      <c r="BQ26" t="s">
        <v>59</v>
      </c>
      <c r="BR26" t="s">
        <v>59</v>
      </c>
      <c r="BS26" t="s">
        <v>59</v>
      </c>
      <c r="BT26" t="s">
        <v>59</v>
      </c>
      <c r="BU26" t="s">
        <v>59</v>
      </c>
      <c r="BV26" t="s">
        <v>59</v>
      </c>
      <c r="BW26" t="s">
        <v>59</v>
      </c>
      <c r="BX26" t="s">
        <v>59</v>
      </c>
      <c r="BY26" t="s">
        <v>59</v>
      </c>
      <c r="BZ26" t="s">
        <v>59</v>
      </c>
      <c r="CA26" t="s">
        <v>59</v>
      </c>
      <c r="CB26" t="s">
        <v>59</v>
      </c>
      <c r="CC26" t="s">
        <v>59</v>
      </c>
      <c r="CD26" t="s">
        <v>59</v>
      </c>
      <c r="CE26" t="s">
        <v>59</v>
      </c>
      <c r="CF26" t="s">
        <v>59</v>
      </c>
      <c r="CG26" t="s">
        <v>59</v>
      </c>
      <c r="CH26" t="s">
        <v>59</v>
      </c>
      <c r="CI26" t="s">
        <v>59</v>
      </c>
      <c r="CJ26" t="s">
        <v>59</v>
      </c>
      <c r="CK26" t="s">
        <v>59</v>
      </c>
      <c r="CL26" t="s">
        <v>59</v>
      </c>
      <c r="CM26" t="s">
        <v>59</v>
      </c>
      <c r="CN26" t="s">
        <v>59</v>
      </c>
      <c r="CO26" t="s">
        <v>218</v>
      </c>
      <c r="CP26" t="s">
        <v>218</v>
      </c>
      <c r="CQ26" t="s">
        <v>218</v>
      </c>
      <c r="CR26" t="s">
        <v>59</v>
      </c>
      <c r="CS26" t="s">
        <v>59</v>
      </c>
      <c r="CT26" t="s">
        <v>59</v>
      </c>
      <c r="CU26" t="s">
        <v>59</v>
      </c>
      <c r="CV26" t="s">
        <v>59</v>
      </c>
      <c r="CW26" t="s">
        <v>59</v>
      </c>
      <c r="CX26" t="s">
        <v>59</v>
      </c>
      <c r="CY26" t="s">
        <v>59</v>
      </c>
      <c r="CZ26" t="s">
        <v>59</v>
      </c>
      <c r="DA26" t="s">
        <v>59</v>
      </c>
      <c r="DB26" t="s">
        <v>59</v>
      </c>
      <c r="DC26" t="s">
        <v>59</v>
      </c>
      <c r="DD26" t="s">
        <v>59</v>
      </c>
      <c r="DE26" t="s">
        <v>59</v>
      </c>
      <c r="DF26" t="s">
        <v>59</v>
      </c>
      <c r="DG26" t="s">
        <v>59</v>
      </c>
      <c r="DH26" t="s">
        <v>59</v>
      </c>
      <c r="DI26" t="s">
        <v>59</v>
      </c>
      <c r="DJ26" t="s">
        <v>59</v>
      </c>
      <c r="DK26" t="s">
        <v>59</v>
      </c>
      <c r="DL26" t="s">
        <v>59</v>
      </c>
      <c r="DM26" t="s">
        <v>59</v>
      </c>
      <c r="DN26" t="s">
        <v>59</v>
      </c>
      <c r="DO26" t="s">
        <v>59</v>
      </c>
      <c r="DP26" t="s">
        <v>59</v>
      </c>
      <c r="DQ26" t="s">
        <v>218</v>
      </c>
      <c r="DR26" t="s">
        <v>218</v>
      </c>
      <c r="DS26" t="s">
        <v>218</v>
      </c>
      <c r="DT26" t="s">
        <v>218</v>
      </c>
      <c r="DU26" t="s">
        <v>218</v>
      </c>
      <c r="DV26" t="s">
        <v>218</v>
      </c>
      <c r="DW26" t="s">
        <v>218</v>
      </c>
      <c r="DX26" t="s">
        <v>218</v>
      </c>
      <c r="DY26" t="s">
        <v>218</v>
      </c>
      <c r="DZ26" t="s">
        <v>218</v>
      </c>
      <c r="EA26" t="s">
        <v>218</v>
      </c>
      <c r="EB26" t="s">
        <v>218</v>
      </c>
      <c r="EC26" t="s">
        <v>218</v>
      </c>
      <c r="ED26" t="s">
        <v>218</v>
      </c>
      <c r="EE26" t="s">
        <v>218</v>
      </c>
      <c r="EF26" t="s">
        <v>218</v>
      </c>
      <c r="EG26" t="s">
        <v>218</v>
      </c>
      <c r="EH26" t="s">
        <v>218</v>
      </c>
      <c r="EI26" t="s">
        <v>218</v>
      </c>
      <c r="EJ26" t="s">
        <v>218</v>
      </c>
      <c r="EK26" t="s">
        <v>218</v>
      </c>
      <c r="EL26" t="s">
        <v>218</v>
      </c>
      <c r="EM26" t="s">
        <v>218</v>
      </c>
      <c r="EN26" t="s">
        <v>59</v>
      </c>
      <c r="EO26" t="s">
        <v>59</v>
      </c>
      <c r="EP26" t="s">
        <v>59</v>
      </c>
      <c r="EQ26" t="s">
        <v>59</v>
      </c>
      <c r="ER26" t="s">
        <v>59</v>
      </c>
      <c r="ES26" t="s">
        <v>59</v>
      </c>
      <c r="ET26" t="s">
        <v>59</v>
      </c>
      <c r="EU26" t="s">
        <v>59</v>
      </c>
      <c r="EV26" t="s">
        <v>59</v>
      </c>
      <c r="EW26" t="s">
        <v>59</v>
      </c>
      <c r="EX26" t="s">
        <v>59</v>
      </c>
      <c r="EY26" t="s">
        <v>59</v>
      </c>
      <c r="EZ26" t="s">
        <v>59</v>
      </c>
      <c r="FA26" t="s">
        <v>59</v>
      </c>
      <c r="FB26" t="s">
        <v>59</v>
      </c>
      <c r="FC26" t="s">
        <v>59</v>
      </c>
      <c r="FD26" t="s">
        <v>59</v>
      </c>
      <c r="FE26" t="s">
        <v>59</v>
      </c>
      <c r="FF26" t="s">
        <v>59</v>
      </c>
      <c r="FG26" t="s">
        <v>59</v>
      </c>
      <c r="FH26" t="s">
        <v>59</v>
      </c>
      <c r="FI26" t="s">
        <v>59</v>
      </c>
      <c r="FJ26" t="s">
        <v>59</v>
      </c>
      <c r="FK26" t="s">
        <v>59</v>
      </c>
      <c r="FL26" t="s">
        <v>59</v>
      </c>
      <c r="FM26" t="s">
        <v>59</v>
      </c>
      <c r="FN26" t="s">
        <v>59</v>
      </c>
      <c r="FO26" t="s">
        <v>59</v>
      </c>
      <c r="FP26" t="s">
        <v>59</v>
      </c>
      <c r="FQ26" t="s">
        <v>59</v>
      </c>
      <c r="FR26" t="s">
        <v>59</v>
      </c>
      <c r="FS26" t="s">
        <v>218</v>
      </c>
      <c r="FT26" t="s">
        <v>218</v>
      </c>
      <c r="FU26" t="s">
        <v>59</v>
      </c>
      <c r="FV26" t="s">
        <v>59</v>
      </c>
      <c r="FW26" t="s">
        <v>59</v>
      </c>
      <c r="FX26" t="s">
        <v>59</v>
      </c>
      <c r="FY26" t="s">
        <v>59</v>
      </c>
      <c r="FZ26" t="s">
        <v>59</v>
      </c>
      <c r="GA26" t="s">
        <v>59</v>
      </c>
      <c r="GB26" t="s">
        <v>59</v>
      </c>
      <c r="GC26" t="s">
        <v>59</v>
      </c>
      <c r="GD26" t="s">
        <v>59</v>
      </c>
      <c r="GE26" t="s">
        <v>59</v>
      </c>
      <c r="GF26" t="s">
        <v>59</v>
      </c>
      <c r="GG26" t="s">
        <v>59</v>
      </c>
      <c r="GH26" t="s">
        <v>59</v>
      </c>
      <c r="GI26" t="s">
        <v>59</v>
      </c>
      <c r="GJ26" t="s">
        <v>59</v>
      </c>
      <c r="GK26" t="s">
        <v>218</v>
      </c>
      <c r="GL26" t="s">
        <v>59</v>
      </c>
      <c r="GM26" t="s">
        <v>59</v>
      </c>
      <c r="GN26" t="s">
        <v>59</v>
      </c>
      <c r="GO26" t="s">
        <v>59</v>
      </c>
      <c r="GP26" t="s">
        <v>59</v>
      </c>
      <c r="GQ26" t="s">
        <v>218</v>
      </c>
      <c r="GR26" t="s">
        <v>59</v>
      </c>
      <c r="GS26" t="s">
        <v>59</v>
      </c>
      <c r="GT26" t="s">
        <v>218</v>
      </c>
      <c r="GU26" t="s">
        <v>218</v>
      </c>
      <c r="GV26" t="s">
        <v>59</v>
      </c>
      <c r="GW26" t="s">
        <v>59</v>
      </c>
      <c r="GX26" t="s">
        <v>59</v>
      </c>
      <c r="GY26" t="s">
        <v>59</v>
      </c>
      <c r="GZ26" t="s">
        <v>59</v>
      </c>
      <c r="HA26" t="s">
        <v>218</v>
      </c>
      <c r="HB26" t="s">
        <v>218</v>
      </c>
      <c r="HC26" t="s">
        <v>59</v>
      </c>
      <c r="HD26" t="s">
        <v>59</v>
      </c>
      <c r="HE26" t="s">
        <v>59</v>
      </c>
      <c r="HF26" t="s">
        <v>59</v>
      </c>
      <c r="HG26" t="s">
        <v>59</v>
      </c>
      <c r="HH26" t="s">
        <v>59</v>
      </c>
      <c r="HI26" t="s">
        <v>59</v>
      </c>
      <c r="HJ26" t="s">
        <v>59</v>
      </c>
      <c r="HK26" t="s">
        <v>218</v>
      </c>
      <c r="HL26" t="s">
        <v>218</v>
      </c>
      <c r="HM26" t="s">
        <v>218</v>
      </c>
      <c r="HN26" t="s">
        <v>218</v>
      </c>
      <c r="HO26" t="s">
        <v>218</v>
      </c>
      <c r="HP26" t="s">
        <v>59</v>
      </c>
      <c r="HQ26" t="s">
        <v>59</v>
      </c>
      <c r="HR26" t="s">
        <v>59</v>
      </c>
      <c r="HS26" t="s">
        <v>59</v>
      </c>
      <c r="HT26" t="s">
        <v>59</v>
      </c>
      <c r="HU26" t="s">
        <v>59</v>
      </c>
      <c r="HV26" t="s">
        <v>59</v>
      </c>
      <c r="HW26" t="s">
        <v>59</v>
      </c>
      <c r="HX26" t="s">
        <v>59</v>
      </c>
      <c r="HY26" t="s">
        <v>59</v>
      </c>
      <c r="HZ26" t="s">
        <v>59</v>
      </c>
      <c r="IA26" t="s">
        <v>59</v>
      </c>
      <c r="IB26" t="s">
        <v>59</v>
      </c>
      <c r="IC26" t="s">
        <v>59</v>
      </c>
      <c r="ID26" t="s">
        <v>59</v>
      </c>
      <c r="IE26" t="s">
        <v>59</v>
      </c>
      <c r="IF26" t="s">
        <v>59</v>
      </c>
      <c r="IG26" t="s">
        <v>59</v>
      </c>
      <c r="IH26" t="s">
        <v>59</v>
      </c>
      <c r="II26" t="s">
        <v>59</v>
      </c>
      <c r="IJ26" t="s">
        <v>129</v>
      </c>
      <c r="IK26" t="s">
        <v>191</v>
      </c>
      <c r="IL26" t="s">
        <v>128</v>
      </c>
      <c r="IM26" t="s">
        <v>199</v>
      </c>
      <c r="IN26">
        <v>31</v>
      </c>
      <c r="IO26" t="s">
        <v>2730</v>
      </c>
      <c r="IP26" t="s">
        <v>2730</v>
      </c>
      <c r="IQ26" t="s">
        <v>2730</v>
      </c>
      <c r="IR26">
        <v>15</v>
      </c>
      <c r="IS26" t="s">
        <v>2730</v>
      </c>
      <c r="IT26" t="s">
        <v>2730</v>
      </c>
      <c r="IU26" t="s">
        <v>2730</v>
      </c>
      <c r="IV26">
        <v>16</v>
      </c>
      <c r="IW26" t="s">
        <v>2730</v>
      </c>
      <c r="IX26" t="s">
        <v>2730</v>
      </c>
      <c r="IY26" t="s">
        <v>2730</v>
      </c>
      <c r="IZ26">
        <v>36</v>
      </c>
      <c r="JA26" t="s">
        <v>2730</v>
      </c>
      <c r="JB26" t="s">
        <v>2730</v>
      </c>
      <c r="JC26" t="s">
        <v>2730</v>
      </c>
      <c r="JD26">
        <v>23</v>
      </c>
      <c r="JE26" t="s">
        <v>2730</v>
      </c>
      <c r="JF26" t="s">
        <v>2730</v>
      </c>
      <c r="JG26" t="s">
        <v>2730</v>
      </c>
      <c r="JH26">
        <v>20</v>
      </c>
      <c r="JI26" t="s">
        <v>2730</v>
      </c>
      <c r="JJ26" t="s">
        <v>2730</v>
      </c>
      <c r="JK26" t="s">
        <v>2730</v>
      </c>
      <c r="JL26">
        <v>16</v>
      </c>
      <c r="JM26" t="s">
        <v>2730</v>
      </c>
      <c r="JN26" t="s">
        <v>2730</v>
      </c>
      <c r="JO26">
        <v>4</v>
      </c>
      <c r="JP26" t="s">
        <v>2730</v>
      </c>
      <c r="JQ26" t="s">
        <v>2730</v>
      </c>
    </row>
    <row r="27" spans="1:277">
      <c r="A27" s="149" t="str">
        <f>HYPERLINK("http://www.ofsted.gov.uk/inspection-reports/find-inspection-report/provider/ELS/136117 ","Ofsted School Webpage")</f>
        <v>Ofsted School Webpage</v>
      </c>
      <c r="B27">
        <v>1132997</v>
      </c>
      <c r="C27">
        <v>136117</v>
      </c>
      <c r="D27">
        <v>3556006</v>
      </c>
      <c r="E27" t="s">
        <v>1881</v>
      </c>
      <c r="F27" t="s">
        <v>37</v>
      </c>
      <c r="G27" t="s">
        <v>209</v>
      </c>
      <c r="H27" t="s">
        <v>205</v>
      </c>
      <c r="I27" t="s">
        <v>205</v>
      </c>
      <c r="J27" t="s">
        <v>853</v>
      </c>
      <c r="K27" t="s">
        <v>1882</v>
      </c>
      <c r="L27" t="s">
        <v>825</v>
      </c>
      <c r="M27" t="s">
        <v>2730</v>
      </c>
      <c r="N27" t="s">
        <v>318</v>
      </c>
      <c r="O27" t="s">
        <v>2730</v>
      </c>
      <c r="P27" t="s">
        <v>186</v>
      </c>
      <c r="Q27">
        <v>10034031</v>
      </c>
      <c r="R27" s="120">
        <v>43053</v>
      </c>
      <c r="S27" s="120">
        <v>43055</v>
      </c>
      <c r="T27" s="120">
        <v>43090</v>
      </c>
      <c r="U27" t="s">
        <v>2730</v>
      </c>
      <c r="V27" t="s">
        <v>196</v>
      </c>
      <c r="W27" t="s">
        <v>2730</v>
      </c>
      <c r="X27" t="s">
        <v>197</v>
      </c>
      <c r="Y27">
        <v>2</v>
      </c>
      <c r="Z27">
        <v>2</v>
      </c>
      <c r="AA27">
        <v>2</v>
      </c>
      <c r="AB27">
        <v>2</v>
      </c>
      <c r="AC27">
        <v>3</v>
      </c>
      <c r="AD27">
        <v>2</v>
      </c>
      <c r="AE27" t="s">
        <v>2730</v>
      </c>
      <c r="AF27" t="s">
        <v>128</v>
      </c>
      <c r="AG27" t="s">
        <v>2730</v>
      </c>
      <c r="AH27" t="s">
        <v>2732</v>
      </c>
      <c r="AI27" t="s">
        <v>59</v>
      </c>
      <c r="AJ27" t="s">
        <v>59</v>
      </c>
      <c r="AK27" t="s">
        <v>59</v>
      </c>
      <c r="AL27" t="s">
        <v>59</v>
      </c>
      <c r="AM27" t="s">
        <v>59</v>
      </c>
      <c r="AN27" t="s">
        <v>59</v>
      </c>
      <c r="AO27" t="s">
        <v>59</v>
      </c>
      <c r="AP27" t="s">
        <v>59</v>
      </c>
      <c r="AQ27" t="s">
        <v>59</v>
      </c>
      <c r="AR27" t="s">
        <v>59</v>
      </c>
      <c r="AS27" t="s">
        <v>59</v>
      </c>
      <c r="AT27" t="s">
        <v>59</v>
      </c>
      <c r="AU27" t="s">
        <v>59</v>
      </c>
      <c r="AV27" t="s">
        <v>59</v>
      </c>
      <c r="AW27" t="s">
        <v>59</v>
      </c>
      <c r="AX27" t="s">
        <v>59</v>
      </c>
      <c r="AY27" t="s">
        <v>218</v>
      </c>
      <c r="AZ27" t="s">
        <v>59</v>
      </c>
      <c r="BA27" t="s">
        <v>59</v>
      </c>
      <c r="BB27" t="s">
        <v>59</v>
      </c>
      <c r="BC27" t="s">
        <v>59</v>
      </c>
      <c r="BD27" t="s">
        <v>59</v>
      </c>
      <c r="BE27" t="s">
        <v>59</v>
      </c>
      <c r="BF27" t="s">
        <v>59</v>
      </c>
      <c r="BG27" t="s">
        <v>59</v>
      </c>
      <c r="BH27" t="s">
        <v>218</v>
      </c>
      <c r="BI27" t="s">
        <v>59</v>
      </c>
      <c r="BJ27" t="s">
        <v>59</v>
      </c>
      <c r="BK27" t="s">
        <v>59</v>
      </c>
      <c r="BL27" t="s">
        <v>59</v>
      </c>
      <c r="BM27" t="s">
        <v>59</v>
      </c>
      <c r="BN27" t="s">
        <v>59</v>
      </c>
      <c r="BO27" t="s">
        <v>59</v>
      </c>
      <c r="BP27" t="s">
        <v>59</v>
      </c>
      <c r="BQ27" t="s">
        <v>59</v>
      </c>
      <c r="BR27" t="s">
        <v>59</v>
      </c>
      <c r="BS27" t="s">
        <v>59</v>
      </c>
      <c r="BT27" t="s">
        <v>59</v>
      </c>
      <c r="BU27" t="s">
        <v>59</v>
      </c>
      <c r="BV27" t="s">
        <v>59</v>
      </c>
      <c r="BW27" t="s">
        <v>59</v>
      </c>
      <c r="BX27" t="s">
        <v>59</v>
      </c>
      <c r="BY27" t="s">
        <v>59</v>
      </c>
      <c r="BZ27" t="s">
        <v>59</v>
      </c>
      <c r="CA27" t="s">
        <v>59</v>
      </c>
      <c r="CB27" t="s">
        <v>59</v>
      </c>
      <c r="CC27" t="s">
        <v>59</v>
      </c>
      <c r="CD27" t="s">
        <v>59</v>
      </c>
      <c r="CE27" t="s">
        <v>59</v>
      </c>
      <c r="CF27" t="s">
        <v>59</v>
      </c>
      <c r="CG27" t="s">
        <v>59</v>
      </c>
      <c r="CH27" t="s">
        <v>59</v>
      </c>
      <c r="CI27" t="s">
        <v>59</v>
      </c>
      <c r="CJ27" t="s">
        <v>59</v>
      </c>
      <c r="CK27" t="s">
        <v>59</v>
      </c>
      <c r="CL27" t="s">
        <v>59</v>
      </c>
      <c r="CM27" t="s">
        <v>59</v>
      </c>
      <c r="CN27" t="s">
        <v>59</v>
      </c>
      <c r="CO27" t="s">
        <v>59</v>
      </c>
      <c r="CP27" t="s">
        <v>218</v>
      </c>
      <c r="CQ27" t="s">
        <v>218</v>
      </c>
      <c r="CR27" t="s">
        <v>59</v>
      </c>
      <c r="CS27" t="s">
        <v>59</v>
      </c>
      <c r="CT27" t="s">
        <v>59</v>
      </c>
      <c r="CU27" t="s">
        <v>59</v>
      </c>
      <c r="CV27" t="s">
        <v>59</v>
      </c>
      <c r="CW27" t="s">
        <v>59</v>
      </c>
      <c r="CX27" t="s">
        <v>59</v>
      </c>
      <c r="CY27" t="s">
        <v>59</v>
      </c>
      <c r="CZ27" t="s">
        <v>59</v>
      </c>
      <c r="DA27" t="s">
        <v>59</v>
      </c>
      <c r="DB27" t="s">
        <v>59</v>
      </c>
      <c r="DC27" t="s">
        <v>59</v>
      </c>
      <c r="DD27" t="s">
        <v>59</v>
      </c>
      <c r="DE27" t="s">
        <v>59</v>
      </c>
      <c r="DF27" t="s">
        <v>59</v>
      </c>
      <c r="DG27" t="s">
        <v>59</v>
      </c>
      <c r="DH27" t="s">
        <v>59</v>
      </c>
      <c r="DI27" t="s">
        <v>59</v>
      </c>
      <c r="DJ27" t="s">
        <v>59</v>
      </c>
      <c r="DK27" t="s">
        <v>59</v>
      </c>
      <c r="DL27" t="s">
        <v>59</v>
      </c>
      <c r="DM27" t="s">
        <v>59</v>
      </c>
      <c r="DN27" t="s">
        <v>59</v>
      </c>
      <c r="DO27" t="s">
        <v>218</v>
      </c>
      <c r="DP27" t="s">
        <v>59</v>
      </c>
      <c r="DQ27" t="s">
        <v>59</v>
      </c>
      <c r="DR27" t="s">
        <v>59</v>
      </c>
      <c r="DS27" t="s">
        <v>59</v>
      </c>
      <c r="DT27" t="s">
        <v>59</v>
      </c>
      <c r="DU27" t="s">
        <v>59</v>
      </c>
      <c r="DV27" t="s">
        <v>59</v>
      </c>
      <c r="DW27" t="s">
        <v>59</v>
      </c>
      <c r="DX27" t="s">
        <v>59</v>
      </c>
      <c r="DY27" t="s">
        <v>59</v>
      </c>
      <c r="DZ27" t="s">
        <v>59</v>
      </c>
      <c r="EA27" t="s">
        <v>59</v>
      </c>
      <c r="EB27" t="s">
        <v>59</v>
      </c>
      <c r="EC27" t="s">
        <v>218</v>
      </c>
      <c r="ED27" t="s">
        <v>59</v>
      </c>
      <c r="EE27" t="s">
        <v>59</v>
      </c>
      <c r="EF27" t="s">
        <v>59</v>
      </c>
      <c r="EG27" t="s">
        <v>59</v>
      </c>
      <c r="EH27" t="s">
        <v>59</v>
      </c>
      <c r="EI27" t="s">
        <v>59</v>
      </c>
      <c r="EJ27" t="s">
        <v>59</v>
      </c>
      <c r="EK27" t="s">
        <v>59</v>
      </c>
      <c r="EL27" t="s">
        <v>59</v>
      </c>
      <c r="EM27" t="s">
        <v>59</v>
      </c>
      <c r="EN27" t="s">
        <v>59</v>
      </c>
      <c r="EO27" t="s">
        <v>59</v>
      </c>
      <c r="EP27" t="s">
        <v>59</v>
      </c>
      <c r="EQ27" t="s">
        <v>59</v>
      </c>
      <c r="ER27" t="s">
        <v>59</v>
      </c>
      <c r="ES27" t="s">
        <v>59</v>
      </c>
      <c r="ET27" t="s">
        <v>59</v>
      </c>
      <c r="EU27" t="s">
        <v>59</v>
      </c>
      <c r="EV27" t="s">
        <v>59</v>
      </c>
      <c r="EW27" t="s">
        <v>59</v>
      </c>
      <c r="EX27" t="s">
        <v>59</v>
      </c>
      <c r="EY27" t="s">
        <v>59</v>
      </c>
      <c r="EZ27" t="s">
        <v>59</v>
      </c>
      <c r="FA27" t="s">
        <v>59</v>
      </c>
      <c r="FB27" t="s">
        <v>59</v>
      </c>
      <c r="FC27" t="s">
        <v>59</v>
      </c>
      <c r="FD27" t="s">
        <v>59</v>
      </c>
      <c r="FE27" t="s">
        <v>59</v>
      </c>
      <c r="FF27" t="s">
        <v>59</v>
      </c>
      <c r="FG27" t="s">
        <v>59</v>
      </c>
      <c r="FH27" t="s">
        <v>59</v>
      </c>
      <c r="FI27" t="s">
        <v>59</v>
      </c>
      <c r="FJ27" t="s">
        <v>59</v>
      </c>
      <c r="FK27" t="s">
        <v>59</v>
      </c>
      <c r="FL27" t="s">
        <v>59</v>
      </c>
      <c r="FM27" t="s">
        <v>59</v>
      </c>
      <c r="FN27" t="s">
        <v>59</v>
      </c>
      <c r="FO27" t="s">
        <v>59</v>
      </c>
      <c r="FP27" t="s">
        <v>59</v>
      </c>
      <c r="FQ27" t="s">
        <v>59</v>
      </c>
      <c r="FR27" t="s">
        <v>59</v>
      </c>
      <c r="FS27" t="s">
        <v>218</v>
      </c>
      <c r="FT27" t="s">
        <v>59</v>
      </c>
      <c r="FU27" t="s">
        <v>59</v>
      </c>
      <c r="FV27" t="s">
        <v>59</v>
      </c>
      <c r="FW27" t="s">
        <v>59</v>
      </c>
      <c r="FX27" t="s">
        <v>59</v>
      </c>
      <c r="FY27" t="s">
        <v>59</v>
      </c>
      <c r="FZ27" t="s">
        <v>59</v>
      </c>
      <c r="GA27" t="s">
        <v>59</v>
      </c>
      <c r="GB27" t="s">
        <v>59</v>
      </c>
      <c r="GC27" t="s">
        <v>59</v>
      </c>
      <c r="GD27" t="s">
        <v>59</v>
      </c>
      <c r="GE27" t="s">
        <v>59</v>
      </c>
      <c r="GF27" t="s">
        <v>59</v>
      </c>
      <c r="GG27" t="s">
        <v>59</v>
      </c>
      <c r="GH27" t="s">
        <v>59</v>
      </c>
      <c r="GI27" t="s">
        <v>59</v>
      </c>
      <c r="GJ27" t="s">
        <v>59</v>
      </c>
      <c r="GK27" t="s">
        <v>218</v>
      </c>
      <c r="GL27" t="s">
        <v>59</v>
      </c>
      <c r="GM27" t="s">
        <v>59</v>
      </c>
      <c r="GN27" t="s">
        <v>59</v>
      </c>
      <c r="GO27" t="s">
        <v>59</v>
      </c>
      <c r="GP27" t="s">
        <v>59</v>
      </c>
      <c r="GQ27" t="s">
        <v>59</v>
      </c>
      <c r="GR27" t="s">
        <v>59</v>
      </c>
      <c r="GS27" t="s">
        <v>59</v>
      </c>
      <c r="GT27" t="s">
        <v>59</v>
      </c>
      <c r="GU27" t="s">
        <v>59</v>
      </c>
      <c r="GV27" t="s">
        <v>59</v>
      </c>
      <c r="GW27" t="s">
        <v>59</v>
      </c>
      <c r="GX27" t="s">
        <v>59</v>
      </c>
      <c r="GY27" t="s">
        <v>59</v>
      </c>
      <c r="GZ27" t="s">
        <v>59</v>
      </c>
      <c r="HA27" t="s">
        <v>59</v>
      </c>
      <c r="HB27" t="s">
        <v>59</v>
      </c>
      <c r="HC27" t="s">
        <v>59</v>
      </c>
      <c r="HD27" t="s">
        <v>59</v>
      </c>
      <c r="HE27" t="s">
        <v>59</v>
      </c>
      <c r="HF27" t="s">
        <v>59</v>
      </c>
      <c r="HG27" t="s">
        <v>59</v>
      </c>
      <c r="HH27" t="s">
        <v>59</v>
      </c>
      <c r="HI27" t="s">
        <v>59</v>
      </c>
      <c r="HJ27" t="s">
        <v>59</v>
      </c>
      <c r="HK27" t="s">
        <v>59</v>
      </c>
      <c r="HL27" t="s">
        <v>59</v>
      </c>
      <c r="HM27" t="s">
        <v>218</v>
      </c>
      <c r="HN27" t="s">
        <v>218</v>
      </c>
      <c r="HO27" t="s">
        <v>218</v>
      </c>
      <c r="HP27" t="s">
        <v>59</v>
      </c>
      <c r="HQ27" t="s">
        <v>59</v>
      </c>
      <c r="HR27" t="s">
        <v>59</v>
      </c>
      <c r="HS27" t="s">
        <v>59</v>
      </c>
      <c r="HT27" t="s">
        <v>59</v>
      </c>
      <c r="HU27" t="s">
        <v>59</v>
      </c>
      <c r="HV27" t="s">
        <v>59</v>
      </c>
      <c r="HW27" t="s">
        <v>59</v>
      </c>
      <c r="HX27" t="s">
        <v>59</v>
      </c>
      <c r="HY27" t="s">
        <v>59</v>
      </c>
      <c r="HZ27" t="s">
        <v>59</v>
      </c>
      <c r="IA27" t="s">
        <v>59</v>
      </c>
      <c r="IB27" t="s">
        <v>59</v>
      </c>
      <c r="IC27" t="s">
        <v>59</v>
      </c>
      <c r="ID27" t="s">
        <v>59</v>
      </c>
      <c r="IE27" t="s">
        <v>59</v>
      </c>
      <c r="IF27" t="s">
        <v>59</v>
      </c>
      <c r="IG27" t="s">
        <v>59</v>
      </c>
      <c r="IH27" t="s">
        <v>59</v>
      </c>
      <c r="II27" t="s">
        <v>59</v>
      </c>
      <c r="IJ27" t="s">
        <v>129</v>
      </c>
      <c r="IK27" t="s">
        <v>191</v>
      </c>
      <c r="IL27" t="s">
        <v>128</v>
      </c>
      <c r="IM27" t="s">
        <v>199</v>
      </c>
      <c r="IN27">
        <v>30</v>
      </c>
      <c r="IO27" t="s">
        <v>2730</v>
      </c>
      <c r="IP27" t="s">
        <v>2730</v>
      </c>
      <c r="IQ27" t="s">
        <v>2730</v>
      </c>
      <c r="IR27">
        <v>15</v>
      </c>
      <c r="IS27" t="s">
        <v>2730</v>
      </c>
      <c r="IT27" t="s">
        <v>2730</v>
      </c>
      <c r="IU27" t="s">
        <v>2730</v>
      </c>
      <c r="IV27">
        <v>17</v>
      </c>
      <c r="IW27" t="s">
        <v>2730</v>
      </c>
      <c r="IX27" t="s">
        <v>2730</v>
      </c>
      <c r="IY27" t="s">
        <v>2730</v>
      </c>
      <c r="IZ27">
        <v>57</v>
      </c>
      <c r="JA27" t="s">
        <v>2730</v>
      </c>
      <c r="JB27" t="s">
        <v>2730</v>
      </c>
      <c r="JC27" t="s">
        <v>2730</v>
      </c>
      <c r="JD27">
        <v>24</v>
      </c>
      <c r="JE27" t="s">
        <v>2730</v>
      </c>
      <c r="JF27" t="s">
        <v>2730</v>
      </c>
      <c r="JG27" t="s">
        <v>2730</v>
      </c>
      <c r="JH27">
        <v>27</v>
      </c>
      <c r="JI27" t="s">
        <v>2730</v>
      </c>
      <c r="JJ27" t="s">
        <v>2730</v>
      </c>
      <c r="JK27" t="s">
        <v>2730</v>
      </c>
      <c r="JL27">
        <v>16</v>
      </c>
      <c r="JM27" t="s">
        <v>2730</v>
      </c>
      <c r="JN27" t="s">
        <v>2730</v>
      </c>
      <c r="JO27">
        <v>4</v>
      </c>
      <c r="JP27" t="s">
        <v>2730</v>
      </c>
      <c r="JQ27" t="s">
        <v>2730</v>
      </c>
    </row>
    <row r="28" spans="1:277">
      <c r="A28" s="149" t="str">
        <f>HYPERLINK("http://www.ofsted.gov.uk/inspection-reports/find-inspection-report/provider/ELS/135839 ","Ofsted School Webpage")</f>
        <v>Ofsted School Webpage</v>
      </c>
      <c r="B28">
        <v>1133805</v>
      </c>
      <c r="C28">
        <v>135839</v>
      </c>
      <c r="D28">
        <v>3086305</v>
      </c>
      <c r="E28" t="s">
        <v>401</v>
      </c>
      <c r="F28" t="s">
        <v>37</v>
      </c>
      <c r="G28" t="s">
        <v>209</v>
      </c>
      <c r="H28" t="s">
        <v>232</v>
      </c>
      <c r="I28" t="s">
        <v>232</v>
      </c>
      <c r="J28" t="s">
        <v>259</v>
      </c>
      <c r="K28" t="s">
        <v>402</v>
      </c>
      <c r="L28" t="s">
        <v>184</v>
      </c>
      <c r="M28" t="s">
        <v>185</v>
      </c>
      <c r="N28" t="s">
        <v>184</v>
      </c>
      <c r="O28" t="s">
        <v>2730</v>
      </c>
      <c r="P28" t="s">
        <v>186</v>
      </c>
      <c r="Q28">
        <v>10026296</v>
      </c>
      <c r="R28" s="120">
        <v>43039</v>
      </c>
      <c r="S28" s="120">
        <v>43041</v>
      </c>
      <c r="T28" s="120">
        <v>43066</v>
      </c>
      <c r="U28" t="s">
        <v>2730</v>
      </c>
      <c r="V28" t="s">
        <v>196</v>
      </c>
      <c r="W28" t="s">
        <v>2730</v>
      </c>
      <c r="X28" t="s">
        <v>197</v>
      </c>
      <c r="Y28">
        <v>1</v>
      </c>
      <c r="Z28">
        <v>1</v>
      </c>
      <c r="AA28">
        <v>1</v>
      </c>
      <c r="AB28">
        <v>1</v>
      </c>
      <c r="AC28">
        <v>1</v>
      </c>
      <c r="AD28" t="s">
        <v>2730</v>
      </c>
      <c r="AE28" t="s">
        <v>2730</v>
      </c>
      <c r="AF28" t="s">
        <v>128</v>
      </c>
      <c r="AG28" t="s">
        <v>2730</v>
      </c>
      <c r="AH28" t="s">
        <v>2732</v>
      </c>
      <c r="AI28" t="s">
        <v>59</v>
      </c>
      <c r="AJ28" t="s">
        <v>59</v>
      </c>
      <c r="AK28" t="s">
        <v>59</v>
      </c>
      <c r="AL28" t="s">
        <v>59</v>
      </c>
      <c r="AM28" t="s">
        <v>59</v>
      </c>
      <c r="AN28" t="s">
        <v>59</v>
      </c>
      <c r="AO28" t="s">
        <v>59</v>
      </c>
      <c r="AP28" t="s">
        <v>59</v>
      </c>
      <c r="AQ28" t="s">
        <v>59</v>
      </c>
      <c r="AR28" t="s">
        <v>59</v>
      </c>
      <c r="AS28" t="s">
        <v>59</v>
      </c>
      <c r="AT28" t="s">
        <v>59</v>
      </c>
      <c r="AU28" t="s">
        <v>59</v>
      </c>
      <c r="AV28" t="s">
        <v>59</v>
      </c>
      <c r="AW28" t="s">
        <v>59</v>
      </c>
      <c r="AX28" t="s">
        <v>59</v>
      </c>
      <c r="AY28" t="s">
        <v>191</v>
      </c>
      <c r="AZ28" t="s">
        <v>59</v>
      </c>
      <c r="BA28" t="s">
        <v>59</v>
      </c>
      <c r="BB28" t="s">
        <v>59</v>
      </c>
      <c r="BC28" t="s">
        <v>59</v>
      </c>
      <c r="BD28" t="s">
        <v>59</v>
      </c>
      <c r="BE28" t="s">
        <v>59</v>
      </c>
      <c r="BF28" t="s">
        <v>59</v>
      </c>
      <c r="BG28" t="s">
        <v>191</v>
      </c>
      <c r="BH28" t="s">
        <v>191</v>
      </c>
      <c r="BI28" t="s">
        <v>59</v>
      </c>
      <c r="BJ28" t="s">
        <v>59</v>
      </c>
      <c r="BK28" t="s">
        <v>59</v>
      </c>
      <c r="BL28" t="s">
        <v>59</v>
      </c>
      <c r="BM28" t="s">
        <v>59</v>
      </c>
      <c r="BN28" t="s">
        <v>59</v>
      </c>
      <c r="BO28" t="s">
        <v>59</v>
      </c>
      <c r="BP28" t="s">
        <v>59</v>
      </c>
      <c r="BQ28" t="s">
        <v>59</v>
      </c>
      <c r="BR28" t="s">
        <v>59</v>
      </c>
      <c r="BS28" t="s">
        <v>59</v>
      </c>
      <c r="BT28" t="s">
        <v>59</v>
      </c>
      <c r="BU28" t="s">
        <v>59</v>
      </c>
      <c r="BV28" t="s">
        <v>59</v>
      </c>
      <c r="BW28" t="s">
        <v>59</v>
      </c>
      <c r="BX28" t="s">
        <v>59</v>
      </c>
      <c r="BY28" t="s">
        <v>59</v>
      </c>
      <c r="BZ28" t="s">
        <v>59</v>
      </c>
      <c r="CA28" t="s">
        <v>59</v>
      </c>
      <c r="CB28" t="s">
        <v>59</v>
      </c>
      <c r="CC28" t="s">
        <v>59</v>
      </c>
      <c r="CD28" t="s">
        <v>59</v>
      </c>
      <c r="CE28" t="s">
        <v>59</v>
      </c>
      <c r="CF28" t="s">
        <v>59</v>
      </c>
      <c r="CG28" t="s">
        <v>59</v>
      </c>
      <c r="CH28" t="s">
        <v>59</v>
      </c>
      <c r="CI28" t="s">
        <v>59</v>
      </c>
      <c r="CJ28" t="s">
        <v>59</v>
      </c>
      <c r="CK28" t="s">
        <v>59</v>
      </c>
      <c r="CL28" t="s">
        <v>59</v>
      </c>
      <c r="CM28" t="s">
        <v>59</v>
      </c>
      <c r="CN28" t="s">
        <v>59</v>
      </c>
      <c r="CO28" t="s">
        <v>191</v>
      </c>
      <c r="CP28" t="s">
        <v>191</v>
      </c>
      <c r="CQ28" t="s">
        <v>191</v>
      </c>
      <c r="CR28" t="s">
        <v>59</v>
      </c>
      <c r="CS28" t="s">
        <v>59</v>
      </c>
      <c r="CT28" t="s">
        <v>59</v>
      </c>
      <c r="CU28" t="s">
        <v>59</v>
      </c>
      <c r="CV28" t="s">
        <v>59</v>
      </c>
      <c r="CW28" t="s">
        <v>59</v>
      </c>
      <c r="CX28" t="s">
        <v>59</v>
      </c>
      <c r="CY28" t="s">
        <v>59</v>
      </c>
      <c r="CZ28" t="s">
        <v>59</v>
      </c>
      <c r="DA28" t="s">
        <v>59</v>
      </c>
      <c r="DB28" t="s">
        <v>59</v>
      </c>
      <c r="DC28" t="s">
        <v>59</v>
      </c>
      <c r="DD28" t="s">
        <v>59</v>
      </c>
      <c r="DE28" t="s">
        <v>59</v>
      </c>
      <c r="DF28" t="s">
        <v>59</v>
      </c>
      <c r="DG28" t="s">
        <v>59</v>
      </c>
      <c r="DH28" t="s">
        <v>59</v>
      </c>
      <c r="DI28" t="s">
        <v>59</v>
      </c>
      <c r="DJ28" t="s">
        <v>59</v>
      </c>
      <c r="DK28" t="s">
        <v>59</v>
      </c>
      <c r="DL28" t="s">
        <v>59</v>
      </c>
      <c r="DM28" t="s">
        <v>59</v>
      </c>
      <c r="DN28" t="s">
        <v>59</v>
      </c>
      <c r="DO28" t="s">
        <v>191</v>
      </c>
      <c r="DP28" t="s">
        <v>59</v>
      </c>
      <c r="DQ28" t="s">
        <v>59</v>
      </c>
      <c r="DR28" t="s">
        <v>59</v>
      </c>
      <c r="DS28" t="s">
        <v>59</v>
      </c>
      <c r="DT28" t="s">
        <v>59</v>
      </c>
      <c r="DU28" t="s">
        <v>59</v>
      </c>
      <c r="DV28" t="s">
        <v>59</v>
      </c>
      <c r="DW28" t="s">
        <v>59</v>
      </c>
      <c r="DX28" t="s">
        <v>59</v>
      </c>
      <c r="DY28" t="s">
        <v>59</v>
      </c>
      <c r="DZ28" t="s">
        <v>59</v>
      </c>
      <c r="EA28" t="s">
        <v>59</v>
      </c>
      <c r="EB28" t="s">
        <v>59</v>
      </c>
      <c r="EC28" t="s">
        <v>191</v>
      </c>
      <c r="ED28" t="s">
        <v>59</v>
      </c>
      <c r="EE28" t="s">
        <v>59</v>
      </c>
      <c r="EF28" t="s">
        <v>59</v>
      </c>
      <c r="EG28" t="s">
        <v>59</v>
      </c>
      <c r="EH28" t="s">
        <v>59</v>
      </c>
      <c r="EI28" t="s">
        <v>59</v>
      </c>
      <c r="EJ28" t="s">
        <v>59</v>
      </c>
      <c r="EK28" t="s">
        <v>59</v>
      </c>
      <c r="EL28" t="s">
        <v>59</v>
      </c>
      <c r="EM28" t="s">
        <v>59</v>
      </c>
      <c r="EN28" t="s">
        <v>59</v>
      </c>
      <c r="EO28" t="s">
        <v>59</v>
      </c>
      <c r="EP28" t="s">
        <v>59</v>
      </c>
      <c r="EQ28" t="s">
        <v>59</v>
      </c>
      <c r="ER28" t="s">
        <v>59</v>
      </c>
      <c r="ES28" t="s">
        <v>59</v>
      </c>
      <c r="ET28" t="s">
        <v>59</v>
      </c>
      <c r="EU28" t="s">
        <v>59</v>
      </c>
      <c r="EV28" t="s">
        <v>59</v>
      </c>
      <c r="EW28" t="s">
        <v>59</v>
      </c>
      <c r="EX28" t="s">
        <v>59</v>
      </c>
      <c r="EY28" t="s">
        <v>59</v>
      </c>
      <c r="EZ28" t="s">
        <v>59</v>
      </c>
      <c r="FA28" t="s">
        <v>59</v>
      </c>
      <c r="FB28" t="s">
        <v>59</v>
      </c>
      <c r="FC28" t="s">
        <v>59</v>
      </c>
      <c r="FD28" t="s">
        <v>59</v>
      </c>
      <c r="FE28" t="s">
        <v>59</v>
      </c>
      <c r="FF28" t="s">
        <v>59</v>
      </c>
      <c r="FG28" t="s">
        <v>59</v>
      </c>
      <c r="FH28" t="s">
        <v>59</v>
      </c>
      <c r="FI28" t="s">
        <v>59</v>
      </c>
      <c r="FJ28" t="s">
        <v>59</v>
      </c>
      <c r="FK28" t="s">
        <v>59</v>
      </c>
      <c r="FL28" t="s">
        <v>59</v>
      </c>
      <c r="FM28" t="s">
        <v>59</v>
      </c>
      <c r="FN28" t="s">
        <v>59</v>
      </c>
      <c r="FO28" t="s">
        <v>59</v>
      </c>
      <c r="FP28" t="s">
        <v>59</v>
      </c>
      <c r="FQ28" t="s">
        <v>59</v>
      </c>
      <c r="FR28" t="s">
        <v>59</v>
      </c>
      <c r="FS28" t="s">
        <v>59</v>
      </c>
      <c r="FT28" t="s">
        <v>59</v>
      </c>
      <c r="FU28" t="s">
        <v>59</v>
      </c>
      <c r="FV28" t="s">
        <v>59</v>
      </c>
      <c r="FW28" t="s">
        <v>59</v>
      </c>
      <c r="FX28" t="s">
        <v>59</v>
      </c>
      <c r="FY28" t="s">
        <v>59</v>
      </c>
      <c r="FZ28" t="s">
        <v>59</v>
      </c>
      <c r="GA28" t="s">
        <v>59</v>
      </c>
      <c r="GB28" t="s">
        <v>59</v>
      </c>
      <c r="GC28" t="s">
        <v>59</v>
      </c>
      <c r="GD28" t="s">
        <v>59</v>
      </c>
      <c r="GE28" t="s">
        <v>59</v>
      </c>
      <c r="GF28" t="s">
        <v>59</v>
      </c>
      <c r="GG28" t="s">
        <v>59</v>
      </c>
      <c r="GH28" t="s">
        <v>59</v>
      </c>
      <c r="GI28" t="s">
        <v>59</v>
      </c>
      <c r="GJ28" t="s">
        <v>59</v>
      </c>
      <c r="GK28" t="s">
        <v>59</v>
      </c>
      <c r="GL28" t="s">
        <v>59</v>
      </c>
      <c r="GM28" t="s">
        <v>59</v>
      </c>
      <c r="GN28" t="s">
        <v>59</v>
      </c>
      <c r="GO28" t="s">
        <v>59</v>
      </c>
      <c r="GP28" t="s">
        <v>59</v>
      </c>
      <c r="GQ28" t="s">
        <v>191</v>
      </c>
      <c r="GR28" t="s">
        <v>59</v>
      </c>
      <c r="GS28" t="s">
        <v>59</v>
      </c>
      <c r="GT28" t="s">
        <v>59</v>
      </c>
      <c r="GU28" t="s">
        <v>59</v>
      </c>
      <c r="GV28" t="s">
        <v>59</v>
      </c>
      <c r="GW28" t="s">
        <v>59</v>
      </c>
      <c r="GX28" t="s">
        <v>59</v>
      </c>
      <c r="GY28" t="s">
        <v>59</v>
      </c>
      <c r="GZ28" t="s">
        <v>59</v>
      </c>
      <c r="HA28" t="s">
        <v>191</v>
      </c>
      <c r="HB28" t="s">
        <v>59</v>
      </c>
      <c r="HC28" t="s">
        <v>59</v>
      </c>
      <c r="HD28" t="s">
        <v>59</v>
      </c>
      <c r="HE28" t="s">
        <v>59</v>
      </c>
      <c r="HF28" t="s">
        <v>59</v>
      </c>
      <c r="HG28" t="s">
        <v>59</v>
      </c>
      <c r="HH28" t="s">
        <v>59</v>
      </c>
      <c r="HI28" t="s">
        <v>59</v>
      </c>
      <c r="HJ28" t="s">
        <v>59</v>
      </c>
      <c r="HK28" t="s">
        <v>59</v>
      </c>
      <c r="HL28" t="s">
        <v>191</v>
      </c>
      <c r="HM28" t="s">
        <v>191</v>
      </c>
      <c r="HN28" t="s">
        <v>191</v>
      </c>
      <c r="HO28" t="s">
        <v>191</v>
      </c>
      <c r="HP28" t="s">
        <v>59</v>
      </c>
      <c r="HQ28" t="s">
        <v>59</v>
      </c>
      <c r="HR28" t="s">
        <v>59</v>
      </c>
      <c r="HS28" t="s">
        <v>59</v>
      </c>
      <c r="HT28" t="s">
        <v>59</v>
      </c>
      <c r="HU28" t="s">
        <v>59</v>
      </c>
      <c r="HV28" t="s">
        <v>59</v>
      </c>
      <c r="HW28" t="s">
        <v>59</v>
      </c>
      <c r="HX28" t="s">
        <v>59</v>
      </c>
      <c r="HY28" t="s">
        <v>59</v>
      </c>
      <c r="HZ28" t="s">
        <v>59</v>
      </c>
      <c r="IA28" t="s">
        <v>59</v>
      </c>
      <c r="IB28" t="s">
        <v>59</v>
      </c>
      <c r="IC28" t="s">
        <v>59</v>
      </c>
      <c r="ID28" t="s">
        <v>59</v>
      </c>
      <c r="IE28" t="s">
        <v>59</v>
      </c>
      <c r="IF28" t="s">
        <v>59</v>
      </c>
      <c r="IG28" t="s">
        <v>59</v>
      </c>
      <c r="IH28" t="s">
        <v>59</v>
      </c>
      <c r="II28" t="s">
        <v>59</v>
      </c>
      <c r="IJ28" t="s">
        <v>129</v>
      </c>
      <c r="IK28" t="s">
        <v>198</v>
      </c>
      <c r="IL28" t="s">
        <v>128</v>
      </c>
      <c r="IM28" t="s">
        <v>199</v>
      </c>
      <c r="IN28">
        <v>29</v>
      </c>
      <c r="IO28" t="s">
        <v>2730</v>
      </c>
      <c r="IP28">
        <v>3</v>
      </c>
      <c r="IQ28" t="s">
        <v>2730</v>
      </c>
      <c r="IR28">
        <v>15</v>
      </c>
      <c r="IS28" t="s">
        <v>2730</v>
      </c>
      <c r="IT28" t="s">
        <v>2730</v>
      </c>
      <c r="IU28" t="s">
        <v>2730</v>
      </c>
      <c r="IV28">
        <v>16</v>
      </c>
      <c r="IW28" t="s">
        <v>2730</v>
      </c>
      <c r="IX28">
        <v>3</v>
      </c>
      <c r="IY28" t="s">
        <v>2730</v>
      </c>
      <c r="IZ28">
        <v>57</v>
      </c>
      <c r="JA28" t="s">
        <v>2730</v>
      </c>
      <c r="JB28">
        <v>2</v>
      </c>
      <c r="JC28" t="s">
        <v>2730</v>
      </c>
      <c r="JD28">
        <v>26</v>
      </c>
      <c r="JE28" t="s">
        <v>2730</v>
      </c>
      <c r="JF28" t="s">
        <v>2730</v>
      </c>
      <c r="JG28" t="s">
        <v>2730</v>
      </c>
      <c r="JH28">
        <v>24</v>
      </c>
      <c r="JI28" t="s">
        <v>2730</v>
      </c>
      <c r="JJ28">
        <v>6</v>
      </c>
      <c r="JK28" t="s">
        <v>2730</v>
      </c>
      <c r="JL28">
        <v>16</v>
      </c>
      <c r="JM28" t="s">
        <v>2730</v>
      </c>
      <c r="JN28" t="s">
        <v>2730</v>
      </c>
      <c r="JO28">
        <v>4</v>
      </c>
      <c r="JP28" t="s">
        <v>2730</v>
      </c>
      <c r="JQ28" t="s">
        <v>2730</v>
      </c>
    </row>
    <row r="29" spans="1:277">
      <c r="A29" s="149" t="str">
        <f>HYPERLINK("http://www.ofsted.gov.uk/inspection-reports/find-inspection-report/provider/ELS/134805 ","Ofsted School Webpage")</f>
        <v>Ofsted School Webpage</v>
      </c>
      <c r="B29">
        <v>1134231</v>
      </c>
      <c r="C29">
        <v>134805</v>
      </c>
      <c r="D29">
        <v>8216006</v>
      </c>
      <c r="E29" t="s">
        <v>219</v>
      </c>
      <c r="F29" t="s">
        <v>37</v>
      </c>
      <c r="G29" t="s">
        <v>209</v>
      </c>
      <c r="H29" t="s">
        <v>220</v>
      </c>
      <c r="I29" t="s">
        <v>220</v>
      </c>
      <c r="J29" t="s">
        <v>221</v>
      </c>
      <c r="K29" t="s">
        <v>222</v>
      </c>
      <c r="L29" t="s">
        <v>184</v>
      </c>
      <c r="M29" t="s">
        <v>185</v>
      </c>
      <c r="N29" t="s">
        <v>223</v>
      </c>
      <c r="O29" t="s">
        <v>2730</v>
      </c>
      <c r="P29" t="s">
        <v>186</v>
      </c>
      <c r="Q29">
        <v>10039334</v>
      </c>
      <c r="R29" s="120">
        <v>43018</v>
      </c>
      <c r="S29" s="120">
        <v>43020</v>
      </c>
      <c r="T29" s="120">
        <v>43055</v>
      </c>
      <c r="U29" t="s">
        <v>2730</v>
      </c>
      <c r="V29" t="s">
        <v>196</v>
      </c>
      <c r="W29" t="s">
        <v>2730</v>
      </c>
      <c r="X29" t="s">
        <v>197</v>
      </c>
      <c r="Y29">
        <v>2</v>
      </c>
      <c r="Z29">
        <v>2</v>
      </c>
      <c r="AA29">
        <v>2</v>
      </c>
      <c r="AB29">
        <v>2</v>
      </c>
      <c r="AC29">
        <v>2</v>
      </c>
      <c r="AD29" t="s">
        <v>2730</v>
      </c>
      <c r="AE29" t="s">
        <v>2730</v>
      </c>
      <c r="AF29" t="s">
        <v>128</v>
      </c>
      <c r="AG29" t="s">
        <v>2730</v>
      </c>
      <c r="AH29" t="s">
        <v>2732</v>
      </c>
      <c r="AI29" t="s">
        <v>59</v>
      </c>
      <c r="AJ29" t="s">
        <v>59</v>
      </c>
      <c r="AK29" t="s">
        <v>59</v>
      </c>
      <c r="AL29" t="s">
        <v>59</v>
      </c>
      <c r="AM29" t="s">
        <v>59</v>
      </c>
      <c r="AN29" t="s">
        <v>59</v>
      </c>
      <c r="AO29" t="s">
        <v>59</v>
      </c>
      <c r="AP29" t="s">
        <v>59</v>
      </c>
      <c r="AQ29" t="s">
        <v>59</v>
      </c>
      <c r="AR29" t="s">
        <v>59</v>
      </c>
      <c r="AS29" t="s">
        <v>59</v>
      </c>
      <c r="AT29" t="s">
        <v>59</v>
      </c>
      <c r="AU29" t="s">
        <v>59</v>
      </c>
      <c r="AV29" t="s">
        <v>59</v>
      </c>
      <c r="AW29" t="s">
        <v>59</v>
      </c>
      <c r="AX29" t="s">
        <v>59</v>
      </c>
      <c r="AY29" t="s">
        <v>218</v>
      </c>
      <c r="AZ29" t="s">
        <v>59</v>
      </c>
      <c r="BA29" t="s">
        <v>59</v>
      </c>
      <c r="BB29" t="s">
        <v>59</v>
      </c>
      <c r="BC29" t="s">
        <v>59</v>
      </c>
      <c r="BD29" t="s">
        <v>59</v>
      </c>
      <c r="BE29" t="s">
        <v>59</v>
      </c>
      <c r="BF29" t="s">
        <v>59</v>
      </c>
      <c r="BG29" t="s">
        <v>218</v>
      </c>
      <c r="BH29" t="s">
        <v>218</v>
      </c>
      <c r="BI29" t="s">
        <v>59</v>
      </c>
      <c r="BJ29" t="s">
        <v>59</v>
      </c>
      <c r="BK29" t="s">
        <v>59</v>
      </c>
      <c r="BL29" t="s">
        <v>59</v>
      </c>
      <c r="BM29" t="s">
        <v>59</v>
      </c>
      <c r="BN29" t="s">
        <v>59</v>
      </c>
      <c r="BO29" t="s">
        <v>59</v>
      </c>
      <c r="BP29" t="s">
        <v>59</v>
      </c>
      <c r="BQ29" t="s">
        <v>59</v>
      </c>
      <c r="BR29" t="s">
        <v>59</v>
      </c>
      <c r="BS29" t="s">
        <v>59</v>
      </c>
      <c r="BT29" t="s">
        <v>59</v>
      </c>
      <c r="BU29" t="s">
        <v>59</v>
      </c>
      <c r="BV29" t="s">
        <v>59</v>
      </c>
      <c r="BW29" t="s">
        <v>59</v>
      </c>
      <c r="BX29" t="s">
        <v>59</v>
      </c>
      <c r="BY29" t="s">
        <v>59</v>
      </c>
      <c r="BZ29" t="s">
        <v>59</v>
      </c>
      <c r="CA29" t="s">
        <v>59</v>
      </c>
      <c r="CB29" t="s">
        <v>59</v>
      </c>
      <c r="CC29" t="s">
        <v>59</v>
      </c>
      <c r="CD29" t="s">
        <v>59</v>
      </c>
      <c r="CE29" t="s">
        <v>59</v>
      </c>
      <c r="CF29" t="s">
        <v>59</v>
      </c>
      <c r="CG29" t="s">
        <v>59</v>
      </c>
      <c r="CH29" t="s">
        <v>59</v>
      </c>
      <c r="CI29" t="s">
        <v>59</v>
      </c>
      <c r="CJ29" t="s">
        <v>59</v>
      </c>
      <c r="CK29" t="s">
        <v>59</v>
      </c>
      <c r="CL29" t="s">
        <v>59</v>
      </c>
      <c r="CM29" t="s">
        <v>59</v>
      </c>
      <c r="CN29" t="s">
        <v>59</v>
      </c>
      <c r="CO29" t="s">
        <v>218</v>
      </c>
      <c r="CP29" t="s">
        <v>218</v>
      </c>
      <c r="CQ29" t="s">
        <v>218</v>
      </c>
      <c r="CR29" t="s">
        <v>59</v>
      </c>
      <c r="CS29" t="s">
        <v>59</v>
      </c>
      <c r="CT29" t="s">
        <v>59</v>
      </c>
      <c r="CU29" t="s">
        <v>59</v>
      </c>
      <c r="CV29" t="s">
        <v>59</v>
      </c>
      <c r="CW29" t="s">
        <v>59</v>
      </c>
      <c r="CX29" t="s">
        <v>59</v>
      </c>
      <c r="CY29" t="s">
        <v>59</v>
      </c>
      <c r="CZ29" t="s">
        <v>59</v>
      </c>
      <c r="DA29" t="s">
        <v>59</v>
      </c>
      <c r="DB29" t="s">
        <v>59</v>
      </c>
      <c r="DC29" t="s">
        <v>59</v>
      </c>
      <c r="DD29" t="s">
        <v>59</v>
      </c>
      <c r="DE29" t="s">
        <v>59</v>
      </c>
      <c r="DF29" t="s">
        <v>59</v>
      </c>
      <c r="DG29" t="s">
        <v>59</v>
      </c>
      <c r="DH29" t="s">
        <v>59</v>
      </c>
      <c r="DI29" t="s">
        <v>59</v>
      </c>
      <c r="DJ29" t="s">
        <v>59</v>
      </c>
      <c r="DK29" t="s">
        <v>59</v>
      </c>
      <c r="DL29" t="s">
        <v>59</v>
      </c>
      <c r="DM29" t="s">
        <v>59</v>
      </c>
      <c r="DN29" t="s">
        <v>59</v>
      </c>
      <c r="DO29" t="s">
        <v>218</v>
      </c>
      <c r="DP29" t="s">
        <v>59</v>
      </c>
      <c r="DQ29" t="s">
        <v>218</v>
      </c>
      <c r="DR29" t="s">
        <v>218</v>
      </c>
      <c r="DS29" t="s">
        <v>218</v>
      </c>
      <c r="DT29" t="s">
        <v>218</v>
      </c>
      <c r="DU29" t="s">
        <v>218</v>
      </c>
      <c r="DV29" t="s">
        <v>218</v>
      </c>
      <c r="DW29" t="s">
        <v>218</v>
      </c>
      <c r="DX29" t="s">
        <v>218</v>
      </c>
      <c r="DY29" t="s">
        <v>218</v>
      </c>
      <c r="DZ29" t="s">
        <v>218</v>
      </c>
      <c r="EA29" t="s">
        <v>218</v>
      </c>
      <c r="EB29" t="s">
        <v>218</v>
      </c>
      <c r="EC29" t="s">
        <v>218</v>
      </c>
      <c r="ED29" t="s">
        <v>218</v>
      </c>
      <c r="EE29" t="s">
        <v>218</v>
      </c>
      <c r="EF29" t="s">
        <v>218</v>
      </c>
      <c r="EG29" t="s">
        <v>218</v>
      </c>
      <c r="EH29" t="s">
        <v>218</v>
      </c>
      <c r="EI29" t="s">
        <v>218</v>
      </c>
      <c r="EJ29" t="s">
        <v>218</v>
      </c>
      <c r="EK29" t="s">
        <v>218</v>
      </c>
      <c r="EL29" t="s">
        <v>218</v>
      </c>
      <c r="EM29" t="s">
        <v>59</v>
      </c>
      <c r="EN29" t="s">
        <v>59</v>
      </c>
      <c r="EO29" t="s">
        <v>59</v>
      </c>
      <c r="EP29" t="s">
        <v>59</v>
      </c>
      <c r="EQ29" t="s">
        <v>59</v>
      </c>
      <c r="ER29" t="s">
        <v>59</v>
      </c>
      <c r="ES29" t="s">
        <v>59</v>
      </c>
      <c r="ET29" t="s">
        <v>59</v>
      </c>
      <c r="EU29" t="s">
        <v>59</v>
      </c>
      <c r="EV29" t="s">
        <v>59</v>
      </c>
      <c r="EW29" t="s">
        <v>59</v>
      </c>
      <c r="EX29" t="s">
        <v>59</v>
      </c>
      <c r="EY29" t="s">
        <v>59</v>
      </c>
      <c r="EZ29" t="s">
        <v>59</v>
      </c>
      <c r="FA29" t="s">
        <v>59</v>
      </c>
      <c r="FB29" t="s">
        <v>218</v>
      </c>
      <c r="FC29" t="s">
        <v>218</v>
      </c>
      <c r="FD29" t="s">
        <v>218</v>
      </c>
      <c r="FE29" t="s">
        <v>218</v>
      </c>
      <c r="FF29" t="s">
        <v>218</v>
      </c>
      <c r="FG29" t="s">
        <v>218</v>
      </c>
      <c r="FH29" t="s">
        <v>218</v>
      </c>
      <c r="FI29" t="s">
        <v>218</v>
      </c>
      <c r="FJ29" t="s">
        <v>191</v>
      </c>
      <c r="FK29" t="s">
        <v>218</v>
      </c>
      <c r="FL29" t="s">
        <v>59</v>
      </c>
      <c r="FM29" t="s">
        <v>59</v>
      </c>
      <c r="FN29" t="s">
        <v>59</v>
      </c>
      <c r="FO29" t="s">
        <v>59</v>
      </c>
      <c r="FP29" t="s">
        <v>59</v>
      </c>
      <c r="FQ29" t="s">
        <v>59</v>
      </c>
      <c r="FR29" t="s">
        <v>59</v>
      </c>
      <c r="FS29" t="s">
        <v>218</v>
      </c>
      <c r="FT29" t="s">
        <v>59</v>
      </c>
      <c r="FU29" t="s">
        <v>59</v>
      </c>
      <c r="FV29" t="s">
        <v>59</v>
      </c>
      <c r="FW29" t="s">
        <v>59</v>
      </c>
      <c r="FX29" t="s">
        <v>59</v>
      </c>
      <c r="FY29" t="s">
        <v>59</v>
      </c>
      <c r="FZ29" t="s">
        <v>59</v>
      </c>
      <c r="GA29" t="s">
        <v>59</v>
      </c>
      <c r="GB29" t="s">
        <v>59</v>
      </c>
      <c r="GC29" t="s">
        <v>59</v>
      </c>
      <c r="GD29" t="s">
        <v>59</v>
      </c>
      <c r="GE29" t="s">
        <v>59</v>
      </c>
      <c r="GF29" t="s">
        <v>59</v>
      </c>
      <c r="GG29" t="s">
        <v>59</v>
      </c>
      <c r="GH29" t="s">
        <v>59</v>
      </c>
      <c r="GI29" t="s">
        <v>59</v>
      </c>
      <c r="GJ29" t="s">
        <v>59</v>
      </c>
      <c r="GK29" t="s">
        <v>218</v>
      </c>
      <c r="GL29" t="s">
        <v>59</v>
      </c>
      <c r="GM29" t="s">
        <v>59</v>
      </c>
      <c r="GN29" t="s">
        <v>59</v>
      </c>
      <c r="GO29" t="s">
        <v>59</v>
      </c>
      <c r="GP29" t="s">
        <v>59</v>
      </c>
      <c r="GQ29" t="s">
        <v>218</v>
      </c>
      <c r="GR29" t="s">
        <v>59</v>
      </c>
      <c r="GS29" t="s">
        <v>59</v>
      </c>
      <c r="GT29" t="s">
        <v>218</v>
      </c>
      <c r="GU29" t="s">
        <v>218</v>
      </c>
      <c r="GV29" t="s">
        <v>59</v>
      </c>
      <c r="GW29" t="s">
        <v>59</v>
      </c>
      <c r="GX29" t="s">
        <v>59</v>
      </c>
      <c r="GY29" t="s">
        <v>59</v>
      </c>
      <c r="GZ29" t="s">
        <v>59</v>
      </c>
      <c r="HA29" t="s">
        <v>218</v>
      </c>
      <c r="HB29" t="s">
        <v>59</v>
      </c>
      <c r="HC29" t="s">
        <v>59</v>
      </c>
      <c r="HD29" t="s">
        <v>59</v>
      </c>
      <c r="HE29" t="s">
        <v>59</v>
      </c>
      <c r="HF29" t="s">
        <v>59</v>
      </c>
      <c r="HG29" t="s">
        <v>59</v>
      </c>
      <c r="HH29" t="s">
        <v>59</v>
      </c>
      <c r="HI29" t="s">
        <v>59</v>
      </c>
      <c r="HJ29" t="s">
        <v>59</v>
      </c>
      <c r="HK29" t="s">
        <v>59</v>
      </c>
      <c r="HL29" t="s">
        <v>59</v>
      </c>
      <c r="HM29" t="s">
        <v>59</v>
      </c>
      <c r="HN29" t="s">
        <v>59</v>
      </c>
      <c r="HO29" t="s">
        <v>59</v>
      </c>
      <c r="HP29" t="s">
        <v>59</v>
      </c>
      <c r="HQ29" t="s">
        <v>59</v>
      </c>
      <c r="HR29" t="s">
        <v>59</v>
      </c>
      <c r="HS29" t="s">
        <v>59</v>
      </c>
      <c r="HT29" t="s">
        <v>59</v>
      </c>
      <c r="HU29" t="s">
        <v>59</v>
      </c>
      <c r="HV29" t="s">
        <v>59</v>
      </c>
      <c r="HW29" t="s">
        <v>59</v>
      </c>
      <c r="HX29" t="s">
        <v>59</v>
      </c>
      <c r="HY29" t="s">
        <v>59</v>
      </c>
      <c r="HZ29" t="s">
        <v>59</v>
      </c>
      <c r="IA29" t="s">
        <v>59</v>
      </c>
      <c r="IB29" t="s">
        <v>59</v>
      </c>
      <c r="IC29" t="s">
        <v>59</v>
      </c>
      <c r="ID29" t="s">
        <v>59</v>
      </c>
      <c r="IE29" t="s">
        <v>59</v>
      </c>
      <c r="IF29" t="s">
        <v>59</v>
      </c>
      <c r="IG29" t="s">
        <v>59</v>
      </c>
      <c r="IH29" t="s">
        <v>59</v>
      </c>
      <c r="II29" t="s">
        <v>59</v>
      </c>
      <c r="IJ29" t="s">
        <v>129</v>
      </c>
      <c r="IK29" t="s">
        <v>191</v>
      </c>
      <c r="IL29" t="s">
        <v>128</v>
      </c>
      <c r="IM29" t="s">
        <v>199</v>
      </c>
      <c r="IN29">
        <v>29</v>
      </c>
      <c r="IO29" t="s">
        <v>2730</v>
      </c>
      <c r="IP29" t="s">
        <v>2730</v>
      </c>
      <c r="IQ29" t="s">
        <v>2730</v>
      </c>
      <c r="IR29">
        <v>15</v>
      </c>
      <c r="IS29" t="s">
        <v>2730</v>
      </c>
      <c r="IT29" t="s">
        <v>2730</v>
      </c>
      <c r="IU29" t="s">
        <v>2730</v>
      </c>
      <c r="IV29">
        <v>16</v>
      </c>
      <c r="IW29" t="s">
        <v>2730</v>
      </c>
      <c r="IX29" t="s">
        <v>2730</v>
      </c>
      <c r="IY29" t="s">
        <v>2730</v>
      </c>
      <c r="IZ29">
        <v>26</v>
      </c>
      <c r="JA29" t="s">
        <v>2730</v>
      </c>
      <c r="JB29">
        <v>1</v>
      </c>
      <c r="JC29" t="s">
        <v>2730</v>
      </c>
      <c r="JD29">
        <v>24</v>
      </c>
      <c r="JE29" t="s">
        <v>2730</v>
      </c>
      <c r="JF29" t="s">
        <v>2730</v>
      </c>
      <c r="JG29" t="s">
        <v>2730</v>
      </c>
      <c r="JH29">
        <v>26</v>
      </c>
      <c r="JI29" t="s">
        <v>2730</v>
      </c>
      <c r="JJ29" t="s">
        <v>2730</v>
      </c>
      <c r="JK29" t="s">
        <v>2730</v>
      </c>
      <c r="JL29">
        <v>16</v>
      </c>
      <c r="JM29" t="s">
        <v>2730</v>
      </c>
      <c r="JN29" t="s">
        <v>2730</v>
      </c>
      <c r="JO29">
        <v>4</v>
      </c>
      <c r="JP29" t="s">
        <v>2730</v>
      </c>
      <c r="JQ29" t="s">
        <v>2730</v>
      </c>
    </row>
    <row r="30" spans="1:277">
      <c r="A30" s="149" t="str">
        <f>HYPERLINK("http://www.ofsted.gov.uk/inspection-reports/find-inspection-report/provider/ELS/122918 ","Ofsted School Webpage")</f>
        <v>Ofsted School Webpage</v>
      </c>
      <c r="B30">
        <v>1133991</v>
      </c>
      <c r="C30">
        <v>122918</v>
      </c>
      <c r="D30">
        <v>8916004</v>
      </c>
      <c r="E30" t="s">
        <v>319</v>
      </c>
      <c r="F30" t="s">
        <v>37</v>
      </c>
      <c r="G30" t="s">
        <v>209</v>
      </c>
      <c r="H30" t="s">
        <v>214</v>
      </c>
      <c r="I30" t="s">
        <v>214</v>
      </c>
      <c r="J30" t="s">
        <v>320</v>
      </c>
      <c r="K30" t="s">
        <v>321</v>
      </c>
      <c r="L30" t="s">
        <v>184</v>
      </c>
      <c r="M30" t="s">
        <v>185</v>
      </c>
      <c r="N30" t="s">
        <v>184</v>
      </c>
      <c r="O30" t="s">
        <v>2730</v>
      </c>
      <c r="P30" t="s">
        <v>186</v>
      </c>
      <c r="Q30">
        <v>10020943</v>
      </c>
      <c r="R30" s="120">
        <v>42997</v>
      </c>
      <c r="S30" s="120">
        <v>42999</v>
      </c>
      <c r="T30" s="120">
        <v>43019</v>
      </c>
      <c r="U30" t="s">
        <v>2730</v>
      </c>
      <c r="V30" t="s">
        <v>196</v>
      </c>
      <c r="W30" t="s">
        <v>2730</v>
      </c>
      <c r="X30" t="s">
        <v>197</v>
      </c>
      <c r="Y30">
        <v>3</v>
      </c>
      <c r="Z30">
        <v>3</v>
      </c>
      <c r="AA30">
        <v>2</v>
      </c>
      <c r="AB30">
        <v>2</v>
      </c>
      <c r="AC30">
        <v>2</v>
      </c>
      <c r="AD30">
        <v>2</v>
      </c>
      <c r="AE30" t="s">
        <v>2730</v>
      </c>
      <c r="AF30" t="s">
        <v>128</v>
      </c>
      <c r="AG30" t="s">
        <v>2730</v>
      </c>
      <c r="AH30" t="s">
        <v>2733</v>
      </c>
      <c r="AI30" t="s">
        <v>59</v>
      </c>
      <c r="AJ30" t="s">
        <v>59</v>
      </c>
      <c r="AK30" t="s">
        <v>59</v>
      </c>
      <c r="AL30" t="s">
        <v>59</v>
      </c>
      <c r="AM30" t="s">
        <v>59</v>
      </c>
      <c r="AN30" t="s">
        <v>60</v>
      </c>
      <c r="AO30" t="s">
        <v>59</v>
      </c>
      <c r="AP30" t="s">
        <v>59</v>
      </c>
      <c r="AQ30" t="s">
        <v>59</v>
      </c>
      <c r="AR30" t="s">
        <v>59</v>
      </c>
      <c r="AS30" t="s">
        <v>59</v>
      </c>
      <c r="AT30" t="s">
        <v>59</v>
      </c>
      <c r="AU30" t="s">
        <v>59</v>
      </c>
      <c r="AV30" t="s">
        <v>59</v>
      </c>
      <c r="AW30" t="s">
        <v>59</v>
      </c>
      <c r="AX30" t="s">
        <v>59</v>
      </c>
      <c r="AY30" t="s">
        <v>59</v>
      </c>
      <c r="AZ30" t="s">
        <v>59</v>
      </c>
      <c r="BA30" t="s">
        <v>59</v>
      </c>
      <c r="BB30" t="s">
        <v>59</v>
      </c>
      <c r="BC30" t="s">
        <v>191</v>
      </c>
      <c r="BD30" t="s">
        <v>191</v>
      </c>
      <c r="BE30" t="s">
        <v>191</v>
      </c>
      <c r="BF30" t="s">
        <v>191</v>
      </c>
      <c r="BG30" t="s">
        <v>59</v>
      </c>
      <c r="BH30" t="s">
        <v>191</v>
      </c>
      <c r="BI30" t="s">
        <v>59</v>
      </c>
      <c r="BJ30" t="s">
        <v>59</v>
      </c>
      <c r="BK30" t="s">
        <v>59</v>
      </c>
      <c r="BL30" t="s">
        <v>59</v>
      </c>
      <c r="BM30" t="s">
        <v>59</v>
      </c>
      <c r="BN30" t="s">
        <v>59</v>
      </c>
      <c r="BO30" t="s">
        <v>59</v>
      </c>
      <c r="BP30" t="s">
        <v>59</v>
      </c>
      <c r="BQ30" t="s">
        <v>59</v>
      </c>
      <c r="BR30" t="s">
        <v>59</v>
      </c>
      <c r="BS30" t="s">
        <v>59</v>
      </c>
      <c r="BT30" t="s">
        <v>59</v>
      </c>
      <c r="BU30" t="s">
        <v>59</v>
      </c>
      <c r="BV30" t="s">
        <v>59</v>
      </c>
      <c r="BW30" t="s">
        <v>59</v>
      </c>
      <c r="BX30" t="s">
        <v>59</v>
      </c>
      <c r="BY30" t="s">
        <v>59</v>
      </c>
      <c r="BZ30" t="s">
        <v>59</v>
      </c>
      <c r="CA30" t="s">
        <v>59</v>
      </c>
      <c r="CB30" t="s">
        <v>59</v>
      </c>
      <c r="CC30" t="s">
        <v>59</v>
      </c>
      <c r="CD30" t="s">
        <v>59</v>
      </c>
      <c r="CE30" t="s">
        <v>59</v>
      </c>
      <c r="CF30" t="s">
        <v>59</v>
      </c>
      <c r="CG30" t="s">
        <v>59</v>
      </c>
      <c r="CH30" t="s">
        <v>59</v>
      </c>
      <c r="CI30" t="s">
        <v>59</v>
      </c>
      <c r="CJ30" t="s">
        <v>59</v>
      </c>
      <c r="CK30" t="s">
        <v>59</v>
      </c>
      <c r="CL30" t="s">
        <v>59</v>
      </c>
      <c r="CM30" t="s">
        <v>59</v>
      </c>
      <c r="CN30" t="s">
        <v>59</v>
      </c>
      <c r="CO30" t="s">
        <v>191</v>
      </c>
      <c r="CP30" t="s">
        <v>191</v>
      </c>
      <c r="CQ30" t="s">
        <v>191</v>
      </c>
      <c r="CR30" t="s">
        <v>59</v>
      </c>
      <c r="CS30" t="s">
        <v>59</v>
      </c>
      <c r="CT30" t="s">
        <v>59</v>
      </c>
      <c r="CU30" t="s">
        <v>59</v>
      </c>
      <c r="CV30" t="s">
        <v>59</v>
      </c>
      <c r="CW30" t="s">
        <v>59</v>
      </c>
      <c r="CX30" t="s">
        <v>59</v>
      </c>
      <c r="CY30" t="s">
        <v>59</v>
      </c>
      <c r="CZ30" t="s">
        <v>59</v>
      </c>
      <c r="DA30" t="s">
        <v>59</v>
      </c>
      <c r="DB30" t="s">
        <v>59</v>
      </c>
      <c r="DC30" t="s">
        <v>59</v>
      </c>
      <c r="DD30" t="s">
        <v>59</v>
      </c>
      <c r="DE30" t="s">
        <v>59</v>
      </c>
      <c r="DF30" t="s">
        <v>59</v>
      </c>
      <c r="DG30" t="s">
        <v>59</v>
      </c>
      <c r="DH30" t="s">
        <v>59</v>
      </c>
      <c r="DI30" t="s">
        <v>59</v>
      </c>
      <c r="DJ30" t="s">
        <v>59</v>
      </c>
      <c r="DK30" t="s">
        <v>59</v>
      </c>
      <c r="DL30" t="s">
        <v>59</v>
      </c>
      <c r="DM30" t="s">
        <v>59</v>
      </c>
      <c r="DN30" t="s">
        <v>59</v>
      </c>
      <c r="DO30" t="s">
        <v>191</v>
      </c>
      <c r="DP30" t="s">
        <v>59</v>
      </c>
      <c r="DQ30" t="s">
        <v>59</v>
      </c>
      <c r="DR30" t="s">
        <v>59</v>
      </c>
      <c r="DS30" t="s">
        <v>59</v>
      </c>
      <c r="DT30" t="s">
        <v>59</v>
      </c>
      <c r="DU30" t="s">
        <v>59</v>
      </c>
      <c r="DV30" t="s">
        <v>59</v>
      </c>
      <c r="DW30" t="s">
        <v>59</v>
      </c>
      <c r="DX30" t="s">
        <v>59</v>
      </c>
      <c r="DY30" t="s">
        <v>59</v>
      </c>
      <c r="DZ30" t="s">
        <v>59</v>
      </c>
      <c r="EA30" t="s">
        <v>59</v>
      </c>
      <c r="EB30" t="s">
        <v>59</v>
      </c>
      <c r="EC30" t="s">
        <v>191</v>
      </c>
      <c r="ED30" t="s">
        <v>191</v>
      </c>
      <c r="EE30" t="s">
        <v>191</v>
      </c>
      <c r="EF30" t="s">
        <v>191</v>
      </c>
      <c r="EG30" t="s">
        <v>191</v>
      </c>
      <c r="EH30" t="s">
        <v>191</v>
      </c>
      <c r="EI30" t="s">
        <v>191</v>
      </c>
      <c r="EJ30" t="s">
        <v>191</v>
      </c>
      <c r="EK30" t="s">
        <v>191</v>
      </c>
      <c r="EL30" t="s">
        <v>191</v>
      </c>
      <c r="EM30" t="s">
        <v>191</v>
      </c>
      <c r="EN30" t="s">
        <v>59</v>
      </c>
      <c r="EO30" t="s">
        <v>59</v>
      </c>
      <c r="EP30" t="s">
        <v>59</v>
      </c>
      <c r="EQ30" t="s">
        <v>59</v>
      </c>
      <c r="ER30" t="s">
        <v>59</v>
      </c>
      <c r="ES30" t="s">
        <v>59</v>
      </c>
      <c r="ET30" t="s">
        <v>59</v>
      </c>
      <c r="EU30" t="s">
        <v>59</v>
      </c>
      <c r="EV30" t="s">
        <v>59</v>
      </c>
      <c r="EW30" t="s">
        <v>59</v>
      </c>
      <c r="EX30" t="s">
        <v>59</v>
      </c>
      <c r="EY30" t="s">
        <v>59</v>
      </c>
      <c r="EZ30" t="s">
        <v>59</v>
      </c>
      <c r="FA30" t="s">
        <v>59</v>
      </c>
      <c r="FB30" t="s">
        <v>59</v>
      </c>
      <c r="FC30" t="s">
        <v>59</v>
      </c>
      <c r="FD30" t="s">
        <v>59</v>
      </c>
      <c r="FE30" t="s">
        <v>59</v>
      </c>
      <c r="FF30" t="s">
        <v>191</v>
      </c>
      <c r="FG30" t="s">
        <v>59</v>
      </c>
      <c r="FH30" t="s">
        <v>191</v>
      </c>
      <c r="FI30" t="s">
        <v>191</v>
      </c>
      <c r="FJ30" t="s">
        <v>191</v>
      </c>
      <c r="FK30" t="s">
        <v>191</v>
      </c>
      <c r="FL30" t="s">
        <v>59</v>
      </c>
      <c r="FM30" t="s">
        <v>59</v>
      </c>
      <c r="FN30" t="s">
        <v>191</v>
      </c>
      <c r="FO30" t="s">
        <v>191</v>
      </c>
      <c r="FP30" t="s">
        <v>59</v>
      </c>
      <c r="FQ30" t="s">
        <v>59</v>
      </c>
      <c r="FR30" t="s">
        <v>59</v>
      </c>
      <c r="FS30" t="s">
        <v>191</v>
      </c>
      <c r="FT30" t="s">
        <v>59</v>
      </c>
      <c r="FU30" t="s">
        <v>59</v>
      </c>
      <c r="FV30" t="s">
        <v>59</v>
      </c>
      <c r="FW30" t="s">
        <v>59</v>
      </c>
      <c r="FX30" t="s">
        <v>59</v>
      </c>
      <c r="FY30" t="s">
        <v>59</v>
      </c>
      <c r="FZ30" t="s">
        <v>59</v>
      </c>
      <c r="GA30" t="s">
        <v>59</v>
      </c>
      <c r="GB30" t="s">
        <v>59</v>
      </c>
      <c r="GC30" t="s">
        <v>59</v>
      </c>
      <c r="GD30" t="s">
        <v>59</v>
      </c>
      <c r="GE30" t="s">
        <v>59</v>
      </c>
      <c r="GF30" t="s">
        <v>59</v>
      </c>
      <c r="GG30" t="s">
        <v>59</v>
      </c>
      <c r="GH30" t="s">
        <v>59</v>
      </c>
      <c r="GI30" t="s">
        <v>59</v>
      </c>
      <c r="GJ30" t="s">
        <v>59</v>
      </c>
      <c r="GK30" t="s">
        <v>191</v>
      </c>
      <c r="GL30" t="s">
        <v>60</v>
      </c>
      <c r="GM30" t="s">
        <v>59</v>
      </c>
      <c r="GN30" t="s">
        <v>59</v>
      </c>
      <c r="GO30" t="s">
        <v>60</v>
      </c>
      <c r="GP30" t="s">
        <v>59</v>
      </c>
      <c r="GQ30" t="s">
        <v>191</v>
      </c>
      <c r="GR30" t="s">
        <v>59</v>
      </c>
      <c r="GS30" t="s">
        <v>59</v>
      </c>
      <c r="GT30" t="s">
        <v>191</v>
      </c>
      <c r="GU30" t="s">
        <v>191</v>
      </c>
      <c r="GV30" t="s">
        <v>191</v>
      </c>
      <c r="GW30" t="s">
        <v>59</v>
      </c>
      <c r="GX30" t="s">
        <v>59</v>
      </c>
      <c r="GY30" t="s">
        <v>59</v>
      </c>
      <c r="GZ30" t="s">
        <v>59</v>
      </c>
      <c r="HA30" t="s">
        <v>191</v>
      </c>
      <c r="HB30" t="s">
        <v>191</v>
      </c>
      <c r="HC30" t="s">
        <v>59</v>
      </c>
      <c r="HD30" t="s">
        <v>59</v>
      </c>
      <c r="HE30" t="s">
        <v>59</v>
      </c>
      <c r="HF30" t="s">
        <v>59</v>
      </c>
      <c r="HG30" t="s">
        <v>59</v>
      </c>
      <c r="HH30" t="s">
        <v>59</v>
      </c>
      <c r="HI30" t="s">
        <v>59</v>
      </c>
      <c r="HJ30" t="s">
        <v>59</v>
      </c>
      <c r="HK30" t="s">
        <v>59</v>
      </c>
      <c r="HL30" t="s">
        <v>191</v>
      </c>
      <c r="HM30" t="s">
        <v>191</v>
      </c>
      <c r="HN30" t="s">
        <v>191</v>
      </c>
      <c r="HO30" t="s">
        <v>191</v>
      </c>
      <c r="HP30" t="s">
        <v>59</v>
      </c>
      <c r="HQ30" t="s">
        <v>59</v>
      </c>
      <c r="HR30" t="s">
        <v>59</v>
      </c>
      <c r="HS30" t="s">
        <v>59</v>
      </c>
      <c r="HT30" t="s">
        <v>59</v>
      </c>
      <c r="HU30" t="s">
        <v>59</v>
      </c>
      <c r="HV30" t="s">
        <v>59</v>
      </c>
      <c r="HW30" t="s">
        <v>59</v>
      </c>
      <c r="HX30" t="s">
        <v>59</v>
      </c>
      <c r="HY30" t="s">
        <v>59</v>
      </c>
      <c r="HZ30" t="s">
        <v>59</v>
      </c>
      <c r="IA30" t="s">
        <v>59</v>
      </c>
      <c r="IB30" t="s">
        <v>59</v>
      </c>
      <c r="IC30" t="s">
        <v>59</v>
      </c>
      <c r="ID30" t="s">
        <v>59</v>
      </c>
      <c r="IE30" t="s">
        <v>59</v>
      </c>
      <c r="IF30" t="s">
        <v>59</v>
      </c>
      <c r="IG30" t="s">
        <v>59</v>
      </c>
      <c r="IH30" t="s">
        <v>59</v>
      </c>
      <c r="II30" t="s">
        <v>59</v>
      </c>
      <c r="IJ30" t="s">
        <v>129</v>
      </c>
      <c r="IK30" t="s">
        <v>198</v>
      </c>
      <c r="IL30" t="s">
        <v>128</v>
      </c>
      <c r="IM30" t="s">
        <v>199</v>
      </c>
      <c r="IN30">
        <v>27</v>
      </c>
      <c r="IO30" t="s">
        <v>2730</v>
      </c>
      <c r="IP30">
        <v>5</v>
      </c>
      <c r="IQ30" t="s">
        <v>2730</v>
      </c>
      <c r="IR30">
        <v>15</v>
      </c>
      <c r="IS30" t="s">
        <v>2730</v>
      </c>
      <c r="IT30" t="s">
        <v>2730</v>
      </c>
      <c r="IU30" t="s">
        <v>2730</v>
      </c>
      <c r="IV30">
        <v>16</v>
      </c>
      <c r="IW30" t="s">
        <v>2730</v>
      </c>
      <c r="IX30">
        <v>3</v>
      </c>
      <c r="IY30" t="s">
        <v>2730</v>
      </c>
      <c r="IZ30">
        <v>42</v>
      </c>
      <c r="JA30" t="s">
        <v>2730</v>
      </c>
      <c r="JB30">
        <v>17</v>
      </c>
      <c r="JC30" t="s">
        <v>2730</v>
      </c>
      <c r="JD30">
        <v>22</v>
      </c>
      <c r="JE30" t="s">
        <v>2730</v>
      </c>
      <c r="JF30">
        <v>4</v>
      </c>
      <c r="JG30" t="s">
        <v>2730</v>
      </c>
      <c r="JH30">
        <v>18</v>
      </c>
      <c r="JI30" t="s">
        <v>2730</v>
      </c>
      <c r="JJ30">
        <v>10</v>
      </c>
      <c r="JK30">
        <v>2</v>
      </c>
      <c r="JL30">
        <v>16</v>
      </c>
      <c r="JM30" t="s">
        <v>2730</v>
      </c>
      <c r="JN30" t="s">
        <v>2730</v>
      </c>
      <c r="JO30">
        <v>4</v>
      </c>
      <c r="JP30" t="s">
        <v>2730</v>
      </c>
      <c r="JQ30" t="s">
        <v>2730</v>
      </c>
    </row>
    <row r="31" spans="1:277">
      <c r="A31" s="149" t="str">
        <f>HYPERLINK("http://www.ofsted.gov.uk/inspection-reports/find-inspection-report/provider/ELS/140330 ","Ofsted School Webpage")</f>
        <v>Ofsted School Webpage</v>
      </c>
      <c r="B31">
        <v>1134270</v>
      </c>
      <c r="C31">
        <v>140330</v>
      </c>
      <c r="D31">
        <v>8616011</v>
      </c>
      <c r="E31" t="s">
        <v>491</v>
      </c>
      <c r="F31" t="s">
        <v>37</v>
      </c>
      <c r="G31" t="s">
        <v>209</v>
      </c>
      <c r="H31" t="s">
        <v>193</v>
      </c>
      <c r="I31" t="s">
        <v>193</v>
      </c>
      <c r="J31" t="s">
        <v>492</v>
      </c>
      <c r="K31" t="s">
        <v>493</v>
      </c>
      <c r="L31" t="s">
        <v>184</v>
      </c>
      <c r="M31" t="s">
        <v>185</v>
      </c>
      <c r="N31" t="s">
        <v>184</v>
      </c>
      <c r="O31" t="s">
        <v>2730</v>
      </c>
      <c r="P31" t="s">
        <v>186</v>
      </c>
      <c r="Q31">
        <v>10038847</v>
      </c>
      <c r="R31" s="120">
        <v>43039</v>
      </c>
      <c r="S31" s="120">
        <v>43041</v>
      </c>
      <c r="T31" s="120">
        <v>43059</v>
      </c>
      <c r="U31" t="s">
        <v>2730</v>
      </c>
      <c r="V31" t="s">
        <v>196</v>
      </c>
      <c r="W31" t="s">
        <v>2730</v>
      </c>
      <c r="X31" t="s">
        <v>197</v>
      </c>
      <c r="Y31">
        <v>2</v>
      </c>
      <c r="Z31">
        <v>1</v>
      </c>
      <c r="AA31">
        <v>2</v>
      </c>
      <c r="AB31">
        <v>2</v>
      </c>
      <c r="AC31">
        <v>2</v>
      </c>
      <c r="AD31" t="s">
        <v>2730</v>
      </c>
      <c r="AE31" t="s">
        <v>2730</v>
      </c>
      <c r="AF31" t="s">
        <v>128</v>
      </c>
      <c r="AG31" t="s">
        <v>2730</v>
      </c>
      <c r="AH31" t="s">
        <v>2732</v>
      </c>
      <c r="AI31" t="s">
        <v>59</v>
      </c>
      <c r="AJ31" t="s">
        <v>59</v>
      </c>
      <c r="AK31" t="s">
        <v>59</v>
      </c>
      <c r="AL31" t="s">
        <v>59</v>
      </c>
      <c r="AM31" t="s">
        <v>59</v>
      </c>
      <c r="AN31" t="s">
        <v>59</v>
      </c>
      <c r="AO31" t="s">
        <v>59</v>
      </c>
      <c r="AP31" t="s">
        <v>59</v>
      </c>
      <c r="AQ31" t="s">
        <v>59</v>
      </c>
      <c r="AR31" t="s">
        <v>59</v>
      </c>
      <c r="AS31" t="s">
        <v>59</v>
      </c>
      <c r="AT31" t="s">
        <v>59</v>
      </c>
      <c r="AU31" t="s">
        <v>59</v>
      </c>
      <c r="AV31" t="s">
        <v>59</v>
      </c>
      <c r="AW31" t="s">
        <v>59</v>
      </c>
      <c r="AX31" t="s">
        <v>59</v>
      </c>
      <c r="AY31" t="s">
        <v>218</v>
      </c>
      <c r="AZ31" t="s">
        <v>59</v>
      </c>
      <c r="BA31" t="s">
        <v>59</v>
      </c>
      <c r="BB31" t="s">
        <v>59</v>
      </c>
      <c r="BC31" t="s">
        <v>59</v>
      </c>
      <c r="BD31" t="s">
        <v>59</v>
      </c>
      <c r="BE31" t="s">
        <v>59</v>
      </c>
      <c r="BF31" t="s">
        <v>59</v>
      </c>
      <c r="BG31" t="s">
        <v>218</v>
      </c>
      <c r="BH31" t="s">
        <v>218</v>
      </c>
      <c r="BI31" t="s">
        <v>59</v>
      </c>
      <c r="BJ31" t="s">
        <v>59</v>
      </c>
      <c r="BK31" t="s">
        <v>59</v>
      </c>
      <c r="BL31" t="s">
        <v>59</v>
      </c>
      <c r="BM31" t="s">
        <v>59</v>
      </c>
      <c r="BN31" t="s">
        <v>59</v>
      </c>
      <c r="BO31" t="s">
        <v>59</v>
      </c>
      <c r="BP31" t="s">
        <v>59</v>
      </c>
      <c r="BQ31" t="s">
        <v>59</v>
      </c>
      <c r="BR31" t="s">
        <v>59</v>
      </c>
      <c r="BS31" t="s">
        <v>59</v>
      </c>
      <c r="BT31" t="s">
        <v>59</v>
      </c>
      <c r="BU31" t="s">
        <v>59</v>
      </c>
      <c r="BV31" t="s">
        <v>59</v>
      </c>
      <c r="BW31" t="s">
        <v>59</v>
      </c>
      <c r="BX31" t="s">
        <v>59</v>
      </c>
      <c r="BY31" t="s">
        <v>59</v>
      </c>
      <c r="BZ31" t="s">
        <v>59</v>
      </c>
      <c r="CA31" t="s">
        <v>59</v>
      </c>
      <c r="CB31" t="s">
        <v>59</v>
      </c>
      <c r="CC31" t="s">
        <v>59</v>
      </c>
      <c r="CD31" t="s">
        <v>59</v>
      </c>
      <c r="CE31" t="s">
        <v>59</v>
      </c>
      <c r="CF31" t="s">
        <v>59</v>
      </c>
      <c r="CG31" t="s">
        <v>59</v>
      </c>
      <c r="CH31" t="s">
        <v>59</v>
      </c>
      <c r="CI31" t="s">
        <v>59</v>
      </c>
      <c r="CJ31" t="s">
        <v>59</v>
      </c>
      <c r="CK31" t="s">
        <v>59</v>
      </c>
      <c r="CL31" t="s">
        <v>59</v>
      </c>
      <c r="CM31" t="s">
        <v>59</v>
      </c>
      <c r="CN31" t="s">
        <v>59</v>
      </c>
      <c r="CO31" t="s">
        <v>59</v>
      </c>
      <c r="CP31" t="s">
        <v>218</v>
      </c>
      <c r="CQ31" t="s">
        <v>218</v>
      </c>
      <c r="CR31" t="s">
        <v>59</v>
      </c>
      <c r="CS31" t="s">
        <v>59</v>
      </c>
      <c r="CT31" t="s">
        <v>59</v>
      </c>
      <c r="CU31" t="s">
        <v>59</v>
      </c>
      <c r="CV31" t="s">
        <v>59</v>
      </c>
      <c r="CW31" t="s">
        <v>59</v>
      </c>
      <c r="CX31" t="s">
        <v>59</v>
      </c>
      <c r="CY31" t="s">
        <v>59</v>
      </c>
      <c r="CZ31" t="s">
        <v>59</v>
      </c>
      <c r="DA31" t="s">
        <v>59</v>
      </c>
      <c r="DB31" t="s">
        <v>59</v>
      </c>
      <c r="DC31" t="s">
        <v>59</v>
      </c>
      <c r="DD31" t="s">
        <v>59</v>
      </c>
      <c r="DE31" t="s">
        <v>59</v>
      </c>
      <c r="DF31" t="s">
        <v>59</v>
      </c>
      <c r="DG31" t="s">
        <v>59</v>
      </c>
      <c r="DH31" t="s">
        <v>59</v>
      </c>
      <c r="DI31" t="s">
        <v>59</v>
      </c>
      <c r="DJ31" t="s">
        <v>59</v>
      </c>
      <c r="DK31" t="s">
        <v>59</v>
      </c>
      <c r="DL31" t="s">
        <v>59</v>
      </c>
      <c r="DM31" t="s">
        <v>59</v>
      </c>
      <c r="DN31" t="s">
        <v>59</v>
      </c>
      <c r="DO31" t="s">
        <v>218</v>
      </c>
      <c r="DP31" t="s">
        <v>59</v>
      </c>
      <c r="DQ31" t="s">
        <v>59</v>
      </c>
      <c r="DR31" t="s">
        <v>59</v>
      </c>
      <c r="DS31" t="s">
        <v>59</v>
      </c>
      <c r="DT31" t="s">
        <v>59</v>
      </c>
      <c r="DU31" t="s">
        <v>59</v>
      </c>
      <c r="DV31" t="s">
        <v>59</v>
      </c>
      <c r="DW31" t="s">
        <v>59</v>
      </c>
      <c r="DX31" t="s">
        <v>59</v>
      </c>
      <c r="DY31" t="s">
        <v>59</v>
      </c>
      <c r="DZ31" t="s">
        <v>59</v>
      </c>
      <c r="EA31" t="s">
        <v>59</v>
      </c>
      <c r="EB31" t="s">
        <v>59</v>
      </c>
      <c r="EC31" t="s">
        <v>59</v>
      </c>
      <c r="ED31" t="s">
        <v>59</v>
      </c>
      <c r="EE31" t="s">
        <v>59</v>
      </c>
      <c r="EF31" t="s">
        <v>59</v>
      </c>
      <c r="EG31" t="s">
        <v>59</v>
      </c>
      <c r="EH31" t="s">
        <v>59</v>
      </c>
      <c r="EI31" t="s">
        <v>59</v>
      </c>
      <c r="EJ31" t="s">
        <v>59</v>
      </c>
      <c r="EK31" t="s">
        <v>59</v>
      </c>
      <c r="EL31" t="s">
        <v>59</v>
      </c>
      <c r="EM31" t="s">
        <v>59</v>
      </c>
      <c r="EN31" t="s">
        <v>59</v>
      </c>
      <c r="EO31" t="s">
        <v>59</v>
      </c>
      <c r="EP31" t="s">
        <v>59</v>
      </c>
      <c r="EQ31" t="s">
        <v>59</v>
      </c>
      <c r="ER31" t="s">
        <v>59</v>
      </c>
      <c r="ES31" t="s">
        <v>59</v>
      </c>
      <c r="ET31" t="s">
        <v>59</v>
      </c>
      <c r="EU31" t="s">
        <v>59</v>
      </c>
      <c r="EV31" t="s">
        <v>59</v>
      </c>
      <c r="EW31" t="s">
        <v>59</v>
      </c>
      <c r="EX31" t="s">
        <v>59</v>
      </c>
      <c r="EY31" t="s">
        <v>59</v>
      </c>
      <c r="EZ31" t="s">
        <v>59</v>
      </c>
      <c r="FA31" t="s">
        <v>59</v>
      </c>
      <c r="FB31" t="s">
        <v>59</v>
      </c>
      <c r="FC31" t="s">
        <v>59</v>
      </c>
      <c r="FD31" t="s">
        <v>59</v>
      </c>
      <c r="FE31" t="s">
        <v>59</v>
      </c>
      <c r="FF31" t="s">
        <v>59</v>
      </c>
      <c r="FG31" t="s">
        <v>59</v>
      </c>
      <c r="FH31" t="s">
        <v>59</v>
      </c>
      <c r="FI31" t="s">
        <v>59</v>
      </c>
      <c r="FJ31" t="s">
        <v>59</v>
      </c>
      <c r="FK31" t="s">
        <v>59</v>
      </c>
      <c r="FL31" t="s">
        <v>59</v>
      </c>
      <c r="FM31" t="s">
        <v>59</v>
      </c>
      <c r="FN31" t="s">
        <v>59</v>
      </c>
      <c r="FO31" t="s">
        <v>59</v>
      </c>
      <c r="FP31" t="s">
        <v>59</v>
      </c>
      <c r="FQ31" t="s">
        <v>59</v>
      </c>
      <c r="FR31" t="s">
        <v>59</v>
      </c>
      <c r="FS31" t="s">
        <v>218</v>
      </c>
      <c r="FT31" t="s">
        <v>59</v>
      </c>
      <c r="FU31" t="s">
        <v>59</v>
      </c>
      <c r="FV31" t="s">
        <v>59</v>
      </c>
      <c r="FW31" t="s">
        <v>59</v>
      </c>
      <c r="FX31" t="s">
        <v>59</v>
      </c>
      <c r="FY31" t="s">
        <v>59</v>
      </c>
      <c r="FZ31" t="s">
        <v>59</v>
      </c>
      <c r="GA31" t="s">
        <v>59</v>
      </c>
      <c r="GB31" t="s">
        <v>59</v>
      </c>
      <c r="GC31" t="s">
        <v>59</v>
      </c>
      <c r="GD31" t="s">
        <v>59</v>
      </c>
      <c r="GE31" t="s">
        <v>59</v>
      </c>
      <c r="GF31" t="s">
        <v>59</v>
      </c>
      <c r="GG31" t="s">
        <v>59</v>
      </c>
      <c r="GH31" t="s">
        <v>59</v>
      </c>
      <c r="GI31" t="s">
        <v>59</v>
      </c>
      <c r="GJ31" t="s">
        <v>59</v>
      </c>
      <c r="GK31" t="s">
        <v>218</v>
      </c>
      <c r="GL31" t="s">
        <v>59</v>
      </c>
      <c r="GM31" t="s">
        <v>59</v>
      </c>
      <c r="GN31" t="s">
        <v>59</v>
      </c>
      <c r="GO31" t="s">
        <v>59</v>
      </c>
      <c r="GP31" t="s">
        <v>59</v>
      </c>
      <c r="GQ31" t="s">
        <v>59</v>
      </c>
      <c r="GR31" t="s">
        <v>59</v>
      </c>
      <c r="GS31" t="s">
        <v>59</v>
      </c>
      <c r="GT31" t="s">
        <v>59</v>
      </c>
      <c r="GU31" t="s">
        <v>59</v>
      </c>
      <c r="GV31" t="s">
        <v>59</v>
      </c>
      <c r="GW31" t="s">
        <v>59</v>
      </c>
      <c r="GX31" t="s">
        <v>59</v>
      </c>
      <c r="GY31" t="s">
        <v>59</v>
      </c>
      <c r="GZ31" t="s">
        <v>59</v>
      </c>
      <c r="HA31" t="s">
        <v>218</v>
      </c>
      <c r="HB31" t="s">
        <v>218</v>
      </c>
      <c r="HC31" t="s">
        <v>59</v>
      </c>
      <c r="HD31" t="s">
        <v>59</v>
      </c>
      <c r="HE31" t="s">
        <v>59</v>
      </c>
      <c r="HF31" t="s">
        <v>59</v>
      </c>
      <c r="HG31" t="s">
        <v>59</v>
      </c>
      <c r="HH31" t="s">
        <v>59</v>
      </c>
      <c r="HI31" t="s">
        <v>59</v>
      </c>
      <c r="HJ31" t="s">
        <v>59</v>
      </c>
      <c r="HK31" t="s">
        <v>59</v>
      </c>
      <c r="HL31" t="s">
        <v>59</v>
      </c>
      <c r="HM31" t="s">
        <v>218</v>
      </c>
      <c r="HN31" t="s">
        <v>218</v>
      </c>
      <c r="HO31" t="s">
        <v>218</v>
      </c>
      <c r="HP31" t="s">
        <v>59</v>
      </c>
      <c r="HQ31" t="s">
        <v>59</v>
      </c>
      <c r="HR31" t="s">
        <v>59</v>
      </c>
      <c r="HS31" t="s">
        <v>59</v>
      </c>
      <c r="HT31" t="s">
        <v>59</v>
      </c>
      <c r="HU31" t="s">
        <v>59</v>
      </c>
      <c r="HV31" t="s">
        <v>59</v>
      </c>
      <c r="HW31" t="s">
        <v>59</v>
      </c>
      <c r="HX31" t="s">
        <v>59</v>
      </c>
      <c r="HY31" t="s">
        <v>59</v>
      </c>
      <c r="HZ31" t="s">
        <v>59</v>
      </c>
      <c r="IA31" t="s">
        <v>59</v>
      </c>
      <c r="IB31" t="s">
        <v>59</v>
      </c>
      <c r="IC31" t="s">
        <v>59</v>
      </c>
      <c r="ID31" t="s">
        <v>59</v>
      </c>
      <c r="IE31" t="s">
        <v>59</v>
      </c>
      <c r="IF31" t="s">
        <v>59</v>
      </c>
      <c r="IG31" t="s">
        <v>59</v>
      </c>
      <c r="IH31" t="s">
        <v>59</v>
      </c>
      <c r="II31" t="s">
        <v>59</v>
      </c>
      <c r="IJ31" t="s">
        <v>129</v>
      </c>
      <c r="IK31" t="s">
        <v>191</v>
      </c>
      <c r="IL31" t="s">
        <v>128</v>
      </c>
      <c r="IM31" t="s">
        <v>199</v>
      </c>
      <c r="IN31">
        <v>29</v>
      </c>
      <c r="IO31" t="s">
        <v>2730</v>
      </c>
      <c r="IP31" t="s">
        <v>2730</v>
      </c>
      <c r="IQ31" t="s">
        <v>2730</v>
      </c>
      <c r="IR31">
        <v>15</v>
      </c>
      <c r="IS31" t="s">
        <v>2730</v>
      </c>
      <c r="IT31" t="s">
        <v>2730</v>
      </c>
      <c r="IU31" t="s">
        <v>2730</v>
      </c>
      <c r="IV31">
        <v>17</v>
      </c>
      <c r="IW31" t="s">
        <v>2730</v>
      </c>
      <c r="IX31" t="s">
        <v>2730</v>
      </c>
      <c r="IY31" t="s">
        <v>2730</v>
      </c>
      <c r="IZ31">
        <v>58</v>
      </c>
      <c r="JA31" t="s">
        <v>2730</v>
      </c>
      <c r="JB31" t="s">
        <v>2730</v>
      </c>
      <c r="JC31" t="s">
        <v>2730</v>
      </c>
      <c r="JD31">
        <v>24</v>
      </c>
      <c r="JE31" t="s">
        <v>2730</v>
      </c>
      <c r="JF31" t="s">
        <v>2730</v>
      </c>
      <c r="JG31" t="s">
        <v>2730</v>
      </c>
      <c r="JH31">
        <v>25</v>
      </c>
      <c r="JI31" t="s">
        <v>2730</v>
      </c>
      <c r="JJ31" t="s">
        <v>2730</v>
      </c>
      <c r="JK31" t="s">
        <v>2730</v>
      </c>
      <c r="JL31">
        <v>16</v>
      </c>
      <c r="JM31" t="s">
        <v>2730</v>
      </c>
      <c r="JN31" t="s">
        <v>2730</v>
      </c>
      <c r="JO31">
        <v>4</v>
      </c>
      <c r="JP31" t="s">
        <v>2730</v>
      </c>
      <c r="JQ31" t="s">
        <v>2730</v>
      </c>
    </row>
    <row r="32" spans="1:277">
      <c r="A32" s="149" t="str">
        <f>HYPERLINK("http://www.ofsted.gov.uk/inspection-reports/find-inspection-report/provider/ELS/120335 ","Ofsted School Webpage")</f>
        <v>Ofsted School Webpage</v>
      </c>
      <c r="B32">
        <v>1134401</v>
      </c>
      <c r="C32">
        <v>120335</v>
      </c>
      <c r="D32">
        <v>8566007</v>
      </c>
      <c r="E32" t="s">
        <v>2057</v>
      </c>
      <c r="F32" t="s">
        <v>37</v>
      </c>
      <c r="G32" t="s">
        <v>209</v>
      </c>
      <c r="H32" t="s">
        <v>214</v>
      </c>
      <c r="I32" t="s">
        <v>214</v>
      </c>
      <c r="J32" t="s">
        <v>330</v>
      </c>
      <c r="K32" t="s">
        <v>2058</v>
      </c>
      <c r="L32" t="s">
        <v>304</v>
      </c>
      <c r="M32" t="s">
        <v>2730</v>
      </c>
      <c r="N32" t="s">
        <v>223</v>
      </c>
      <c r="O32" t="s">
        <v>2730</v>
      </c>
      <c r="P32" t="s">
        <v>186</v>
      </c>
      <c r="Q32">
        <v>10039180</v>
      </c>
      <c r="R32" s="120">
        <v>43060</v>
      </c>
      <c r="S32" s="120">
        <v>43062</v>
      </c>
      <c r="T32" s="120">
        <v>43081</v>
      </c>
      <c r="U32" t="s">
        <v>2730</v>
      </c>
      <c r="V32" t="s">
        <v>196</v>
      </c>
      <c r="W32" t="s">
        <v>2730</v>
      </c>
      <c r="X32" t="s">
        <v>197</v>
      </c>
      <c r="Y32">
        <v>2</v>
      </c>
      <c r="Z32">
        <v>2</v>
      </c>
      <c r="AA32">
        <v>2</v>
      </c>
      <c r="AB32">
        <v>2</v>
      </c>
      <c r="AC32">
        <v>2</v>
      </c>
      <c r="AD32">
        <v>2</v>
      </c>
      <c r="AE32" t="s">
        <v>2730</v>
      </c>
      <c r="AF32" t="s">
        <v>128</v>
      </c>
      <c r="AG32" t="s">
        <v>2730</v>
      </c>
      <c r="AH32" t="s">
        <v>2732</v>
      </c>
      <c r="AI32" t="s">
        <v>59</v>
      </c>
      <c r="AJ32" t="s">
        <v>59</v>
      </c>
      <c r="AK32" t="s">
        <v>59</v>
      </c>
      <c r="AL32" t="s">
        <v>59</v>
      </c>
      <c r="AM32" t="s">
        <v>59</v>
      </c>
      <c r="AN32" t="s">
        <v>59</v>
      </c>
      <c r="AO32" t="s">
        <v>59</v>
      </c>
      <c r="AP32" t="s">
        <v>59</v>
      </c>
      <c r="AQ32" t="s">
        <v>59</v>
      </c>
      <c r="AR32" t="s">
        <v>59</v>
      </c>
      <c r="AS32" t="s">
        <v>59</v>
      </c>
      <c r="AT32" t="s">
        <v>59</v>
      </c>
      <c r="AU32" t="s">
        <v>59</v>
      </c>
      <c r="AV32" t="s">
        <v>59</v>
      </c>
      <c r="AW32" t="s">
        <v>59</v>
      </c>
      <c r="AX32" t="s">
        <v>59</v>
      </c>
      <c r="AY32" t="s">
        <v>218</v>
      </c>
      <c r="AZ32" t="s">
        <v>59</v>
      </c>
      <c r="BA32" t="s">
        <v>59</v>
      </c>
      <c r="BB32" t="s">
        <v>59</v>
      </c>
      <c r="BC32" t="s">
        <v>218</v>
      </c>
      <c r="BD32" t="s">
        <v>218</v>
      </c>
      <c r="BE32" t="s">
        <v>218</v>
      </c>
      <c r="BF32" t="s">
        <v>218</v>
      </c>
      <c r="BG32" t="s">
        <v>59</v>
      </c>
      <c r="BH32" t="s">
        <v>218</v>
      </c>
      <c r="BI32" t="s">
        <v>59</v>
      </c>
      <c r="BJ32" t="s">
        <v>59</v>
      </c>
      <c r="BK32" t="s">
        <v>59</v>
      </c>
      <c r="BL32" t="s">
        <v>59</v>
      </c>
      <c r="BM32" t="s">
        <v>59</v>
      </c>
      <c r="BN32" t="s">
        <v>59</v>
      </c>
      <c r="BO32" t="s">
        <v>59</v>
      </c>
      <c r="BP32" t="s">
        <v>59</v>
      </c>
      <c r="BQ32" t="s">
        <v>59</v>
      </c>
      <c r="BR32" t="s">
        <v>59</v>
      </c>
      <c r="BS32" t="s">
        <v>59</v>
      </c>
      <c r="BT32" t="s">
        <v>59</v>
      </c>
      <c r="BU32" t="s">
        <v>59</v>
      </c>
      <c r="BV32" t="s">
        <v>59</v>
      </c>
      <c r="BW32" t="s">
        <v>59</v>
      </c>
      <c r="BX32" t="s">
        <v>59</v>
      </c>
      <c r="BY32" t="s">
        <v>59</v>
      </c>
      <c r="BZ32" t="s">
        <v>59</v>
      </c>
      <c r="CA32" t="s">
        <v>59</v>
      </c>
      <c r="CB32" t="s">
        <v>59</v>
      </c>
      <c r="CC32" t="s">
        <v>59</v>
      </c>
      <c r="CD32" t="s">
        <v>59</v>
      </c>
      <c r="CE32" t="s">
        <v>59</v>
      </c>
      <c r="CF32" t="s">
        <v>59</v>
      </c>
      <c r="CG32" t="s">
        <v>59</v>
      </c>
      <c r="CH32" t="s">
        <v>59</v>
      </c>
      <c r="CI32" t="s">
        <v>59</v>
      </c>
      <c r="CJ32" t="s">
        <v>59</v>
      </c>
      <c r="CK32" t="s">
        <v>59</v>
      </c>
      <c r="CL32" t="s">
        <v>59</v>
      </c>
      <c r="CM32" t="s">
        <v>59</v>
      </c>
      <c r="CN32" t="s">
        <v>59</v>
      </c>
      <c r="CO32" t="s">
        <v>218</v>
      </c>
      <c r="CP32" t="s">
        <v>218</v>
      </c>
      <c r="CQ32" t="s">
        <v>218</v>
      </c>
      <c r="CR32" t="s">
        <v>59</v>
      </c>
      <c r="CS32" t="s">
        <v>59</v>
      </c>
      <c r="CT32" t="s">
        <v>59</v>
      </c>
      <c r="CU32" t="s">
        <v>59</v>
      </c>
      <c r="CV32" t="s">
        <v>59</v>
      </c>
      <c r="CW32" t="s">
        <v>59</v>
      </c>
      <c r="CX32" t="s">
        <v>59</v>
      </c>
      <c r="CY32" t="s">
        <v>59</v>
      </c>
      <c r="CZ32" t="s">
        <v>59</v>
      </c>
      <c r="DA32" t="s">
        <v>59</v>
      </c>
      <c r="DB32" t="s">
        <v>59</v>
      </c>
      <c r="DC32" t="s">
        <v>59</v>
      </c>
      <c r="DD32" t="s">
        <v>59</v>
      </c>
      <c r="DE32" t="s">
        <v>59</v>
      </c>
      <c r="DF32" t="s">
        <v>59</v>
      </c>
      <c r="DG32" t="s">
        <v>59</v>
      </c>
      <c r="DH32" t="s">
        <v>59</v>
      </c>
      <c r="DI32" t="s">
        <v>59</v>
      </c>
      <c r="DJ32" t="s">
        <v>59</v>
      </c>
      <c r="DK32" t="s">
        <v>59</v>
      </c>
      <c r="DL32" t="s">
        <v>59</v>
      </c>
      <c r="DM32" t="s">
        <v>59</v>
      </c>
      <c r="DN32" t="s">
        <v>59</v>
      </c>
      <c r="DO32" t="s">
        <v>218</v>
      </c>
      <c r="DP32" t="s">
        <v>59</v>
      </c>
      <c r="DQ32" t="s">
        <v>218</v>
      </c>
      <c r="DR32" t="s">
        <v>218</v>
      </c>
      <c r="DS32" t="s">
        <v>218</v>
      </c>
      <c r="DT32" t="s">
        <v>218</v>
      </c>
      <c r="DU32" t="s">
        <v>218</v>
      </c>
      <c r="DV32" t="s">
        <v>218</v>
      </c>
      <c r="DW32" t="s">
        <v>218</v>
      </c>
      <c r="DX32" t="s">
        <v>218</v>
      </c>
      <c r="DY32" t="s">
        <v>218</v>
      </c>
      <c r="DZ32" t="s">
        <v>218</v>
      </c>
      <c r="EA32" t="s">
        <v>218</v>
      </c>
      <c r="EB32" t="s">
        <v>218</v>
      </c>
      <c r="EC32" t="s">
        <v>218</v>
      </c>
      <c r="ED32" t="s">
        <v>218</v>
      </c>
      <c r="EE32" t="s">
        <v>59</v>
      </c>
      <c r="EF32" t="s">
        <v>59</v>
      </c>
      <c r="EG32" t="s">
        <v>59</v>
      </c>
      <c r="EH32" t="s">
        <v>59</v>
      </c>
      <c r="EI32" t="s">
        <v>59</v>
      </c>
      <c r="EJ32" t="s">
        <v>59</v>
      </c>
      <c r="EK32" t="s">
        <v>59</v>
      </c>
      <c r="EL32" t="s">
        <v>59</v>
      </c>
      <c r="EM32" t="s">
        <v>59</v>
      </c>
      <c r="EN32" t="s">
        <v>59</v>
      </c>
      <c r="EO32" t="s">
        <v>59</v>
      </c>
      <c r="EP32" t="s">
        <v>59</v>
      </c>
      <c r="EQ32" t="s">
        <v>59</v>
      </c>
      <c r="ER32" t="s">
        <v>59</v>
      </c>
      <c r="ES32" t="s">
        <v>59</v>
      </c>
      <c r="ET32" t="s">
        <v>59</v>
      </c>
      <c r="EU32" t="s">
        <v>59</v>
      </c>
      <c r="EV32" t="s">
        <v>59</v>
      </c>
      <c r="EW32" t="s">
        <v>59</v>
      </c>
      <c r="EX32" t="s">
        <v>59</v>
      </c>
      <c r="EY32" t="s">
        <v>59</v>
      </c>
      <c r="EZ32" t="s">
        <v>59</v>
      </c>
      <c r="FA32" t="s">
        <v>59</v>
      </c>
      <c r="FB32" t="s">
        <v>218</v>
      </c>
      <c r="FC32" t="s">
        <v>218</v>
      </c>
      <c r="FD32" t="s">
        <v>218</v>
      </c>
      <c r="FE32" t="s">
        <v>218</v>
      </c>
      <c r="FF32" t="s">
        <v>218</v>
      </c>
      <c r="FG32" t="s">
        <v>218</v>
      </c>
      <c r="FH32" t="s">
        <v>59</v>
      </c>
      <c r="FI32" t="s">
        <v>59</v>
      </c>
      <c r="FJ32" t="s">
        <v>59</v>
      </c>
      <c r="FK32" t="s">
        <v>59</v>
      </c>
      <c r="FL32" t="s">
        <v>59</v>
      </c>
      <c r="FM32" t="s">
        <v>59</v>
      </c>
      <c r="FN32" t="s">
        <v>59</v>
      </c>
      <c r="FO32" t="s">
        <v>59</v>
      </c>
      <c r="FP32" t="s">
        <v>59</v>
      </c>
      <c r="FQ32" t="s">
        <v>59</v>
      </c>
      <c r="FR32" t="s">
        <v>59</v>
      </c>
      <c r="FS32" t="s">
        <v>59</v>
      </c>
      <c r="FT32" t="s">
        <v>59</v>
      </c>
      <c r="FU32" t="s">
        <v>59</v>
      </c>
      <c r="FV32" t="s">
        <v>59</v>
      </c>
      <c r="FW32" t="s">
        <v>59</v>
      </c>
      <c r="FX32" t="s">
        <v>59</v>
      </c>
      <c r="FY32" t="s">
        <v>59</v>
      </c>
      <c r="FZ32" t="s">
        <v>59</v>
      </c>
      <c r="GA32" t="s">
        <v>59</v>
      </c>
      <c r="GB32" t="s">
        <v>59</v>
      </c>
      <c r="GC32" t="s">
        <v>59</v>
      </c>
      <c r="GD32" t="s">
        <v>59</v>
      </c>
      <c r="GE32" t="s">
        <v>59</v>
      </c>
      <c r="GF32" t="s">
        <v>59</v>
      </c>
      <c r="GG32" t="s">
        <v>59</v>
      </c>
      <c r="GH32" t="s">
        <v>59</v>
      </c>
      <c r="GI32" t="s">
        <v>59</v>
      </c>
      <c r="GJ32" t="s">
        <v>59</v>
      </c>
      <c r="GK32" t="s">
        <v>218</v>
      </c>
      <c r="GL32" t="s">
        <v>59</v>
      </c>
      <c r="GM32" t="s">
        <v>59</v>
      </c>
      <c r="GN32" t="s">
        <v>59</v>
      </c>
      <c r="GO32" t="s">
        <v>59</v>
      </c>
      <c r="GP32" t="s">
        <v>59</v>
      </c>
      <c r="GQ32" t="s">
        <v>218</v>
      </c>
      <c r="GR32" t="s">
        <v>59</v>
      </c>
      <c r="GS32" t="s">
        <v>59</v>
      </c>
      <c r="GT32" t="s">
        <v>218</v>
      </c>
      <c r="GU32" t="s">
        <v>218</v>
      </c>
      <c r="GV32" t="s">
        <v>59</v>
      </c>
      <c r="GW32" t="s">
        <v>59</v>
      </c>
      <c r="GX32" t="s">
        <v>59</v>
      </c>
      <c r="GY32" t="s">
        <v>59</v>
      </c>
      <c r="GZ32" t="s">
        <v>59</v>
      </c>
      <c r="HA32" t="s">
        <v>59</v>
      </c>
      <c r="HB32" t="s">
        <v>59</v>
      </c>
      <c r="HC32" t="s">
        <v>59</v>
      </c>
      <c r="HD32" t="s">
        <v>59</v>
      </c>
      <c r="HE32" t="s">
        <v>59</v>
      </c>
      <c r="HF32" t="s">
        <v>59</v>
      </c>
      <c r="HG32" t="s">
        <v>59</v>
      </c>
      <c r="HH32" t="s">
        <v>59</v>
      </c>
      <c r="HI32" t="s">
        <v>59</v>
      </c>
      <c r="HJ32" t="s">
        <v>59</v>
      </c>
      <c r="HK32" t="s">
        <v>218</v>
      </c>
      <c r="HL32" t="s">
        <v>218</v>
      </c>
      <c r="HM32" t="s">
        <v>218</v>
      </c>
      <c r="HN32" t="s">
        <v>218</v>
      </c>
      <c r="HO32" t="s">
        <v>218</v>
      </c>
      <c r="HP32" t="s">
        <v>59</v>
      </c>
      <c r="HQ32" t="s">
        <v>59</v>
      </c>
      <c r="HR32" t="s">
        <v>59</v>
      </c>
      <c r="HS32" t="s">
        <v>59</v>
      </c>
      <c r="HT32" t="s">
        <v>59</v>
      </c>
      <c r="HU32" t="s">
        <v>59</v>
      </c>
      <c r="HV32" t="s">
        <v>59</v>
      </c>
      <c r="HW32" t="s">
        <v>59</v>
      </c>
      <c r="HX32" t="s">
        <v>59</v>
      </c>
      <c r="HY32" t="s">
        <v>59</v>
      </c>
      <c r="HZ32" t="s">
        <v>59</v>
      </c>
      <c r="IA32" t="s">
        <v>59</v>
      </c>
      <c r="IB32" t="s">
        <v>59</v>
      </c>
      <c r="IC32" t="s">
        <v>59</v>
      </c>
      <c r="ID32" t="s">
        <v>59</v>
      </c>
      <c r="IE32" t="s">
        <v>59</v>
      </c>
      <c r="IF32" t="s">
        <v>59</v>
      </c>
      <c r="IG32" t="s">
        <v>59</v>
      </c>
      <c r="IH32" t="s">
        <v>59</v>
      </c>
      <c r="II32" t="s">
        <v>59</v>
      </c>
      <c r="IJ32" t="s">
        <v>129</v>
      </c>
      <c r="IK32" t="s">
        <v>191</v>
      </c>
      <c r="IL32" t="s">
        <v>128</v>
      </c>
      <c r="IM32" t="s">
        <v>199</v>
      </c>
      <c r="IN32">
        <v>26</v>
      </c>
      <c r="IO32" t="s">
        <v>2730</v>
      </c>
      <c r="IP32" t="s">
        <v>2730</v>
      </c>
      <c r="IQ32" t="s">
        <v>2730</v>
      </c>
      <c r="IR32">
        <v>15</v>
      </c>
      <c r="IS32" t="s">
        <v>2730</v>
      </c>
      <c r="IT32" t="s">
        <v>2730</v>
      </c>
      <c r="IU32" t="s">
        <v>2730</v>
      </c>
      <c r="IV32">
        <v>16</v>
      </c>
      <c r="IW32" t="s">
        <v>2730</v>
      </c>
      <c r="IX32" t="s">
        <v>2730</v>
      </c>
      <c r="IY32" t="s">
        <v>2730</v>
      </c>
      <c r="IZ32">
        <v>38</v>
      </c>
      <c r="JA32" t="s">
        <v>2730</v>
      </c>
      <c r="JB32" t="s">
        <v>2730</v>
      </c>
      <c r="JC32" t="s">
        <v>2730</v>
      </c>
      <c r="JD32">
        <v>25</v>
      </c>
      <c r="JE32" t="s">
        <v>2730</v>
      </c>
      <c r="JF32" t="s">
        <v>2730</v>
      </c>
      <c r="JG32" t="s">
        <v>2730</v>
      </c>
      <c r="JH32">
        <v>22</v>
      </c>
      <c r="JI32" t="s">
        <v>2730</v>
      </c>
      <c r="JJ32" t="s">
        <v>2730</v>
      </c>
      <c r="JK32" t="s">
        <v>2730</v>
      </c>
      <c r="JL32">
        <v>16</v>
      </c>
      <c r="JM32" t="s">
        <v>2730</v>
      </c>
      <c r="JN32" t="s">
        <v>2730</v>
      </c>
      <c r="JO32">
        <v>4</v>
      </c>
      <c r="JP32" t="s">
        <v>2730</v>
      </c>
      <c r="JQ32" t="s">
        <v>2730</v>
      </c>
    </row>
    <row r="33" spans="1:277">
      <c r="A33" s="149" t="str">
        <f>HYPERLINK("http://www.ofsted.gov.uk/inspection-reports/find-inspection-report/provider/ELS/143037 ","Ofsted School Webpage")</f>
        <v>Ofsted School Webpage</v>
      </c>
      <c r="B33">
        <v>1241440</v>
      </c>
      <c r="C33">
        <v>143037</v>
      </c>
      <c r="D33">
        <v>3026008</v>
      </c>
      <c r="E33" t="s">
        <v>1995</v>
      </c>
      <c r="F33" t="s">
        <v>37</v>
      </c>
      <c r="G33" t="s">
        <v>209</v>
      </c>
      <c r="H33" t="s">
        <v>232</v>
      </c>
      <c r="I33" t="s">
        <v>232</v>
      </c>
      <c r="J33" t="s">
        <v>311</v>
      </c>
      <c r="K33" t="s">
        <v>1996</v>
      </c>
      <c r="L33" t="s">
        <v>184</v>
      </c>
      <c r="M33" t="s">
        <v>185</v>
      </c>
      <c r="N33" t="s">
        <v>413</v>
      </c>
      <c r="O33" t="s">
        <v>2730</v>
      </c>
      <c r="P33" t="s">
        <v>186</v>
      </c>
      <c r="Q33">
        <v>10026629</v>
      </c>
      <c r="R33" s="120">
        <v>43046</v>
      </c>
      <c r="S33" s="120">
        <v>43048</v>
      </c>
      <c r="T33" s="120">
        <v>43084</v>
      </c>
      <c r="U33" t="s">
        <v>2730</v>
      </c>
      <c r="V33" t="s">
        <v>249</v>
      </c>
      <c r="W33" t="s">
        <v>2730</v>
      </c>
      <c r="X33" t="s">
        <v>197</v>
      </c>
      <c r="Y33">
        <v>1</v>
      </c>
      <c r="Z33">
        <v>1</v>
      </c>
      <c r="AA33">
        <v>1</v>
      </c>
      <c r="AB33">
        <v>1</v>
      </c>
      <c r="AC33">
        <v>1</v>
      </c>
      <c r="AD33">
        <v>1</v>
      </c>
      <c r="AE33" t="s">
        <v>2730</v>
      </c>
      <c r="AF33" t="s">
        <v>128</v>
      </c>
      <c r="AG33" t="s">
        <v>2730</v>
      </c>
      <c r="AH33" t="s">
        <v>2732</v>
      </c>
      <c r="AI33" t="s">
        <v>59</v>
      </c>
      <c r="AJ33" t="s">
        <v>59</v>
      </c>
      <c r="AK33" t="s">
        <v>59</v>
      </c>
      <c r="AL33" t="s">
        <v>59</v>
      </c>
      <c r="AM33" t="s">
        <v>59</v>
      </c>
      <c r="AN33" t="s">
        <v>59</v>
      </c>
      <c r="AO33" t="s">
        <v>59</v>
      </c>
      <c r="AP33" t="s">
        <v>59</v>
      </c>
      <c r="AQ33" t="s">
        <v>59</v>
      </c>
      <c r="AR33" t="s">
        <v>59</v>
      </c>
      <c r="AS33" t="s">
        <v>59</v>
      </c>
      <c r="AT33" t="s">
        <v>59</v>
      </c>
      <c r="AU33" t="s">
        <v>59</v>
      </c>
      <c r="AV33" t="s">
        <v>59</v>
      </c>
      <c r="AW33" t="s">
        <v>59</v>
      </c>
      <c r="AX33" t="s">
        <v>59</v>
      </c>
      <c r="AY33" t="s">
        <v>191</v>
      </c>
      <c r="AZ33" t="s">
        <v>59</v>
      </c>
      <c r="BA33" t="s">
        <v>59</v>
      </c>
      <c r="BB33" t="s">
        <v>59</v>
      </c>
      <c r="BC33" t="s">
        <v>191</v>
      </c>
      <c r="BD33" t="s">
        <v>191</v>
      </c>
      <c r="BE33" t="s">
        <v>191</v>
      </c>
      <c r="BF33" t="s">
        <v>191</v>
      </c>
      <c r="BG33" t="s">
        <v>59</v>
      </c>
      <c r="BH33" t="s">
        <v>191</v>
      </c>
      <c r="BI33" t="s">
        <v>59</v>
      </c>
      <c r="BJ33" t="s">
        <v>59</v>
      </c>
      <c r="BK33" t="s">
        <v>59</v>
      </c>
      <c r="BL33" t="s">
        <v>59</v>
      </c>
      <c r="BM33" t="s">
        <v>59</v>
      </c>
      <c r="BN33" t="s">
        <v>59</v>
      </c>
      <c r="BO33" t="s">
        <v>59</v>
      </c>
      <c r="BP33" t="s">
        <v>59</v>
      </c>
      <c r="BQ33" t="s">
        <v>59</v>
      </c>
      <c r="BR33" t="s">
        <v>59</v>
      </c>
      <c r="BS33" t="s">
        <v>59</v>
      </c>
      <c r="BT33" t="s">
        <v>59</v>
      </c>
      <c r="BU33" t="s">
        <v>59</v>
      </c>
      <c r="BV33" t="s">
        <v>59</v>
      </c>
      <c r="BW33" t="s">
        <v>59</v>
      </c>
      <c r="BX33" t="s">
        <v>59</v>
      </c>
      <c r="BY33" t="s">
        <v>59</v>
      </c>
      <c r="BZ33" t="s">
        <v>59</v>
      </c>
      <c r="CA33" t="s">
        <v>59</v>
      </c>
      <c r="CB33" t="s">
        <v>59</v>
      </c>
      <c r="CC33" t="s">
        <v>59</v>
      </c>
      <c r="CD33" t="s">
        <v>59</v>
      </c>
      <c r="CE33" t="s">
        <v>59</v>
      </c>
      <c r="CF33" t="s">
        <v>59</v>
      </c>
      <c r="CG33" t="s">
        <v>59</v>
      </c>
      <c r="CH33" t="s">
        <v>59</v>
      </c>
      <c r="CI33" t="s">
        <v>59</v>
      </c>
      <c r="CJ33" t="s">
        <v>59</v>
      </c>
      <c r="CK33" t="s">
        <v>59</v>
      </c>
      <c r="CL33" t="s">
        <v>59</v>
      </c>
      <c r="CM33" t="s">
        <v>59</v>
      </c>
      <c r="CN33" t="s">
        <v>59</v>
      </c>
      <c r="CO33" t="s">
        <v>59</v>
      </c>
      <c r="CP33" t="s">
        <v>191</v>
      </c>
      <c r="CQ33" t="s">
        <v>191</v>
      </c>
      <c r="CR33" t="s">
        <v>59</v>
      </c>
      <c r="CS33" t="s">
        <v>59</v>
      </c>
      <c r="CT33" t="s">
        <v>59</v>
      </c>
      <c r="CU33" t="s">
        <v>59</v>
      </c>
      <c r="CV33" t="s">
        <v>59</v>
      </c>
      <c r="CW33" t="s">
        <v>59</v>
      </c>
      <c r="CX33" t="s">
        <v>59</v>
      </c>
      <c r="CY33" t="s">
        <v>59</v>
      </c>
      <c r="CZ33" t="s">
        <v>59</v>
      </c>
      <c r="DA33" t="s">
        <v>59</v>
      </c>
      <c r="DB33" t="s">
        <v>59</v>
      </c>
      <c r="DC33" t="s">
        <v>59</v>
      </c>
      <c r="DD33" t="s">
        <v>59</v>
      </c>
      <c r="DE33" t="s">
        <v>59</v>
      </c>
      <c r="DF33" t="s">
        <v>59</v>
      </c>
      <c r="DG33" t="s">
        <v>59</v>
      </c>
      <c r="DH33" t="s">
        <v>59</v>
      </c>
      <c r="DI33" t="s">
        <v>59</v>
      </c>
      <c r="DJ33" t="s">
        <v>59</v>
      </c>
      <c r="DK33" t="s">
        <v>59</v>
      </c>
      <c r="DL33" t="s">
        <v>59</v>
      </c>
      <c r="DM33" t="s">
        <v>59</v>
      </c>
      <c r="DN33" t="s">
        <v>59</v>
      </c>
      <c r="DO33" t="s">
        <v>191</v>
      </c>
      <c r="DP33" t="s">
        <v>59</v>
      </c>
      <c r="DQ33" t="s">
        <v>59</v>
      </c>
      <c r="DR33" t="s">
        <v>59</v>
      </c>
      <c r="DS33" t="s">
        <v>59</v>
      </c>
      <c r="DT33" t="s">
        <v>59</v>
      </c>
      <c r="DU33" t="s">
        <v>59</v>
      </c>
      <c r="DV33" t="s">
        <v>59</v>
      </c>
      <c r="DW33" t="s">
        <v>59</v>
      </c>
      <c r="DX33" t="s">
        <v>59</v>
      </c>
      <c r="DY33" t="s">
        <v>59</v>
      </c>
      <c r="DZ33" t="s">
        <v>59</v>
      </c>
      <c r="EA33" t="s">
        <v>59</v>
      </c>
      <c r="EB33" t="s">
        <v>59</v>
      </c>
      <c r="EC33" t="s">
        <v>191</v>
      </c>
      <c r="ED33" t="s">
        <v>59</v>
      </c>
      <c r="EE33" t="s">
        <v>59</v>
      </c>
      <c r="EF33" t="s">
        <v>59</v>
      </c>
      <c r="EG33" t="s">
        <v>59</v>
      </c>
      <c r="EH33" t="s">
        <v>59</v>
      </c>
      <c r="EI33" t="s">
        <v>59</v>
      </c>
      <c r="EJ33" t="s">
        <v>59</v>
      </c>
      <c r="EK33" t="s">
        <v>59</v>
      </c>
      <c r="EL33" t="s">
        <v>59</v>
      </c>
      <c r="EM33" t="s">
        <v>59</v>
      </c>
      <c r="EN33" t="s">
        <v>59</v>
      </c>
      <c r="EO33" t="s">
        <v>59</v>
      </c>
      <c r="EP33" t="s">
        <v>59</v>
      </c>
      <c r="EQ33" t="s">
        <v>59</v>
      </c>
      <c r="ER33" t="s">
        <v>59</v>
      </c>
      <c r="ES33" t="s">
        <v>59</v>
      </c>
      <c r="ET33" t="s">
        <v>59</v>
      </c>
      <c r="EU33" t="s">
        <v>59</v>
      </c>
      <c r="EV33" t="s">
        <v>59</v>
      </c>
      <c r="EW33" t="s">
        <v>59</v>
      </c>
      <c r="EX33" t="s">
        <v>59</v>
      </c>
      <c r="EY33" t="s">
        <v>59</v>
      </c>
      <c r="EZ33" t="s">
        <v>59</v>
      </c>
      <c r="FA33" t="s">
        <v>191</v>
      </c>
      <c r="FB33" t="s">
        <v>191</v>
      </c>
      <c r="FC33" t="s">
        <v>191</v>
      </c>
      <c r="FD33" t="s">
        <v>191</v>
      </c>
      <c r="FE33" t="s">
        <v>191</v>
      </c>
      <c r="FF33" t="s">
        <v>191</v>
      </c>
      <c r="FG33" t="s">
        <v>191</v>
      </c>
      <c r="FH33" t="s">
        <v>59</v>
      </c>
      <c r="FI33" t="s">
        <v>191</v>
      </c>
      <c r="FJ33" t="s">
        <v>191</v>
      </c>
      <c r="FK33" t="s">
        <v>191</v>
      </c>
      <c r="FL33" t="s">
        <v>59</v>
      </c>
      <c r="FM33" t="s">
        <v>59</v>
      </c>
      <c r="FN33" t="s">
        <v>191</v>
      </c>
      <c r="FO33" t="s">
        <v>191</v>
      </c>
      <c r="FP33" t="s">
        <v>191</v>
      </c>
      <c r="FQ33" t="s">
        <v>59</v>
      </c>
      <c r="FR33" t="s">
        <v>59</v>
      </c>
      <c r="FS33" t="s">
        <v>191</v>
      </c>
      <c r="FT33" t="s">
        <v>59</v>
      </c>
      <c r="FU33" t="s">
        <v>59</v>
      </c>
      <c r="FV33" t="s">
        <v>59</v>
      </c>
      <c r="FW33" t="s">
        <v>59</v>
      </c>
      <c r="FX33" t="s">
        <v>59</v>
      </c>
      <c r="FY33" t="s">
        <v>59</v>
      </c>
      <c r="FZ33" t="s">
        <v>59</v>
      </c>
      <c r="GA33" t="s">
        <v>59</v>
      </c>
      <c r="GB33" t="s">
        <v>59</v>
      </c>
      <c r="GC33" t="s">
        <v>59</v>
      </c>
      <c r="GD33" t="s">
        <v>59</v>
      </c>
      <c r="GE33" t="s">
        <v>59</v>
      </c>
      <c r="GF33" t="s">
        <v>59</v>
      </c>
      <c r="GG33" t="s">
        <v>59</v>
      </c>
      <c r="GH33" t="s">
        <v>59</v>
      </c>
      <c r="GI33" t="s">
        <v>59</v>
      </c>
      <c r="GJ33" t="s">
        <v>59</v>
      </c>
      <c r="GK33" t="s">
        <v>191</v>
      </c>
      <c r="GL33" t="s">
        <v>59</v>
      </c>
      <c r="GM33" t="s">
        <v>59</v>
      </c>
      <c r="GN33" t="s">
        <v>59</v>
      </c>
      <c r="GO33" t="s">
        <v>59</v>
      </c>
      <c r="GP33" t="s">
        <v>59</v>
      </c>
      <c r="GQ33" t="s">
        <v>191</v>
      </c>
      <c r="GR33" t="s">
        <v>59</v>
      </c>
      <c r="GS33" t="s">
        <v>59</v>
      </c>
      <c r="GT33" t="s">
        <v>191</v>
      </c>
      <c r="GU33" t="s">
        <v>191</v>
      </c>
      <c r="GV33" t="s">
        <v>59</v>
      </c>
      <c r="GW33" t="s">
        <v>59</v>
      </c>
      <c r="GX33" t="s">
        <v>59</v>
      </c>
      <c r="GY33" t="s">
        <v>59</v>
      </c>
      <c r="GZ33" t="s">
        <v>191</v>
      </c>
      <c r="HA33" t="s">
        <v>59</v>
      </c>
      <c r="HB33" t="s">
        <v>191</v>
      </c>
      <c r="HC33" t="s">
        <v>203</v>
      </c>
      <c r="HD33" t="s">
        <v>59</v>
      </c>
      <c r="HE33" t="s">
        <v>59</v>
      </c>
      <c r="HF33" t="s">
        <v>191</v>
      </c>
      <c r="HG33" t="s">
        <v>59</v>
      </c>
      <c r="HH33" t="s">
        <v>59</v>
      </c>
      <c r="HI33" t="s">
        <v>59</v>
      </c>
      <c r="HJ33" t="s">
        <v>59</v>
      </c>
      <c r="HK33" t="s">
        <v>59</v>
      </c>
      <c r="HL33" t="s">
        <v>59</v>
      </c>
      <c r="HM33" t="s">
        <v>191</v>
      </c>
      <c r="HN33" t="s">
        <v>191</v>
      </c>
      <c r="HO33" t="s">
        <v>191</v>
      </c>
      <c r="HP33" t="s">
        <v>59</v>
      </c>
      <c r="HQ33" t="s">
        <v>59</v>
      </c>
      <c r="HR33" t="s">
        <v>59</v>
      </c>
      <c r="HS33" t="s">
        <v>59</v>
      </c>
      <c r="HT33" t="s">
        <v>59</v>
      </c>
      <c r="HU33" t="s">
        <v>59</v>
      </c>
      <c r="HV33" t="s">
        <v>59</v>
      </c>
      <c r="HW33" t="s">
        <v>59</v>
      </c>
      <c r="HX33" t="s">
        <v>59</v>
      </c>
      <c r="HY33" t="s">
        <v>59</v>
      </c>
      <c r="HZ33" t="s">
        <v>59</v>
      </c>
      <c r="IA33" t="s">
        <v>59</v>
      </c>
      <c r="IB33" t="s">
        <v>59</v>
      </c>
      <c r="IC33" t="s">
        <v>203</v>
      </c>
      <c r="ID33" t="s">
        <v>59</v>
      </c>
      <c r="IE33" t="s">
        <v>59</v>
      </c>
      <c r="IF33" t="s">
        <v>59</v>
      </c>
      <c r="IG33" t="s">
        <v>59</v>
      </c>
      <c r="IH33" t="s">
        <v>59</v>
      </c>
      <c r="II33" t="s">
        <v>59</v>
      </c>
      <c r="IJ33" t="s">
        <v>129</v>
      </c>
      <c r="IK33" t="s">
        <v>198</v>
      </c>
      <c r="IL33" t="s">
        <v>128</v>
      </c>
      <c r="IM33" t="s">
        <v>199</v>
      </c>
      <c r="IN33">
        <v>26</v>
      </c>
      <c r="IO33" t="s">
        <v>2730</v>
      </c>
      <c r="IP33">
        <v>6</v>
      </c>
      <c r="IQ33" t="s">
        <v>2730</v>
      </c>
      <c r="IR33">
        <v>15</v>
      </c>
      <c r="IS33" t="s">
        <v>2730</v>
      </c>
      <c r="IT33" t="s">
        <v>2730</v>
      </c>
      <c r="IU33" t="s">
        <v>2730</v>
      </c>
      <c r="IV33">
        <v>17</v>
      </c>
      <c r="IW33" t="s">
        <v>2730</v>
      </c>
      <c r="IX33">
        <v>2</v>
      </c>
      <c r="IY33" t="s">
        <v>2730</v>
      </c>
      <c r="IZ33">
        <v>47</v>
      </c>
      <c r="JA33" t="s">
        <v>2730</v>
      </c>
      <c r="JB33">
        <v>12</v>
      </c>
      <c r="JC33" t="s">
        <v>2730</v>
      </c>
      <c r="JD33">
        <v>21</v>
      </c>
      <c r="JE33" t="s">
        <v>2730</v>
      </c>
      <c r="JF33">
        <v>5</v>
      </c>
      <c r="JG33" t="s">
        <v>2730</v>
      </c>
      <c r="JH33">
        <v>20</v>
      </c>
      <c r="JI33">
        <v>1</v>
      </c>
      <c r="JJ33">
        <v>9</v>
      </c>
      <c r="JK33" t="s">
        <v>2730</v>
      </c>
      <c r="JL33">
        <v>15</v>
      </c>
      <c r="JM33">
        <v>1</v>
      </c>
      <c r="JN33" t="s">
        <v>2730</v>
      </c>
      <c r="JO33">
        <v>4</v>
      </c>
      <c r="JP33" t="s">
        <v>2730</v>
      </c>
      <c r="JQ33" t="s">
        <v>2730</v>
      </c>
    </row>
    <row r="34" spans="1:277">
      <c r="A34" s="149" t="str">
        <f>HYPERLINK("http://www.ofsted.gov.uk/inspection-reports/find-inspection-report/provider/ELS/143406 ","Ofsted School Webpage")</f>
        <v>Ofsted School Webpage</v>
      </c>
      <c r="B34">
        <v>1244257</v>
      </c>
      <c r="C34">
        <v>143406</v>
      </c>
      <c r="D34">
        <v>3176005</v>
      </c>
      <c r="E34" t="s">
        <v>804</v>
      </c>
      <c r="F34" t="s">
        <v>38</v>
      </c>
      <c r="G34" t="s">
        <v>180</v>
      </c>
      <c r="H34" t="s">
        <v>232</v>
      </c>
      <c r="I34" t="s">
        <v>232</v>
      </c>
      <c r="J34" t="s">
        <v>805</v>
      </c>
      <c r="K34" t="s">
        <v>806</v>
      </c>
      <c r="L34" t="s">
        <v>184</v>
      </c>
      <c r="M34" t="s">
        <v>185</v>
      </c>
      <c r="N34" t="s">
        <v>184</v>
      </c>
      <c r="O34" t="s">
        <v>2730</v>
      </c>
      <c r="P34" t="s">
        <v>186</v>
      </c>
      <c r="Q34">
        <v>10035820</v>
      </c>
      <c r="R34" s="120">
        <v>43018</v>
      </c>
      <c r="S34" s="120">
        <v>43020</v>
      </c>
      <c r="T34" s="120">
        <v>43077</v>
      </c>
      <c r="U34" t="s">
        <v>2730</v>
      </c>
      <c r="V34" t="s">
        <v>249</v>
      </c>
      <c r="W34" t="s">
        <v>2730</v>
      </c>
      <c r="X34" t="s">
        <v>197</v>
      </c>
      <c r="Y34">
        <v>4</v>
      </c>
      <c r="Z34">
        <v>4</v>
      </c>
      <c r="AA34">
        <v>4</v>
      </c>
      <c r="AB34">
        <v>0</v>
      </c>
      <c r="AC34">
        <v>0</v>
      </c>
      <c r="AD34" t="s">
        <v>2730</v>
      </c>
      <c r="AE34" t="s">
        <v>2730</v>
      </c>
      <c r="AF34" t="s">
        <v>129</v>
      </c>
      <c r="AG34" t="s">
        <v>2730</v>
      </c>
      <c r="AH34" t="s">
        <v>2733</v>
      </c>
      <c r="AI34" t="s">
        <v>59</v>
      </c>
      <c r="AJ34" t="s">
        <v>59</v>
      </c>
      <c r="AK34" t="s">
        <v>60</v>
      </c>
      <c r="AL34" t="s">
        <v>60</v>
      </c>
      <c r="AM34" t="s">
        <v>59</v>
      </c>
      <c r="AN34" t="s">
        <v>59</v>
      </c>
      <c r="AO34" t="s">
        <v>59</v>
      </c>
      <c r="AP34" t="s">
        <v>60</v>
      </c>
      <c r="AQ34" t="s">
        <v>59</v>
      </c>
      <c r="AR34" t="s">
        <v>59</v>
      </c>
      <c r="AS34" t="s">
        <v>59</v>
      </c>
      <c r="AT34" t="s">
        <v>59</v>
      </c>
      <c r="AU34" t="s">
        <v>59</v>
      </c>
      <c r="AV34" t="s">
        <v>59</v>
      </c>
      <c r="AW34" t="s">
        <v>59</v>
      </c>
      <c r="AX34" t="s">
        <v>59</v>
      </c>
      <c r="AY34" t="s">
        <v>218</v>
      </c>
      <c r="AZ34" t="s">
        <v>59</v>
      </c>
      <c r="BA34" t="s">
        <v>59</v>
      </c>
      <c r="BB34" t="s">
        <v>59</v>
      </c>
      <c r="BC34" t="s">
        <v>59</v>
      </c>
      <c r="BD34" t="s">
        <v>59</v>
      </c>
      <c r="BE34" t="s">
        <v>59</v>
      </c>
      <c r="BF34" t="s">
        <v>59</v>
      </c>
      <c r="BG34" t="s">
        <v>218</v>
      </c>
      <c r="BH34" t="s">
        <v>59</v>
      </c>
      <c r="BI34" t="s">
        <v>59</v>
      </c>
      <c r="BJ34" t="s">
        <v>59</v>
      </c>
      <c r="BK34" t="s">
        <v>59</v>
      </c>
      <c r="BL34" t="s">
        <v>59</v>
      </c>
      <c r="BM34" t="s">
        <v>59</v>
      </c>
      <c r="BN34" t="s">
        <v>59</v>
      </c>
      <c r="BO34" t="s">
        <v>59</v>
      </c>
      <c r="BP34" t="s">
        <v>59</v>
      </c>
      <c r="BQ34" t="s">
        <v>59</v>
      </c>
      <c r="BR34" t="s">
        <v>59</v>
      </c>
      <c r="BS34" t="s">
        <v>59</v>
      </c>
      <c r="BT34" t="s">
        <v>59</v>
      </c>
      <c r="BU34" t="s">
        <v>59</v>
      </c>
      <c r="BV34" t="s">
        <v>59</v>
      </c>
      <c r="BW34" t="s">
        <v>59</v>
      </c>
      <c r="BX34" t="s">
        <v>59</v>
      </c>
      <c r="BY34" t="s">
        <v>59</v>
      </c>
      <c r="BZ34" t="s">
        <v>59</v>
      </c>
      <c r="CA34" t="s">
        <v>59</v>
      </c>
      <c r="CB34" t="s">
        <v>59</v>
      </c>
      <c r="CC34" t="s">
        <v>59</v>
      </c>
      <c r="CD34" t="s">
        <v>59</v>
      </c>
      <c r="CE34" t="s">
        <v>59</v>
      </c>
      <c r="CF34" t="s">
        <v>59</v>
      </c>
      <c r="CG34" t="s">
        <v>59</v>
      </c>
      <c r="CH34" t="s">
        <v>59</v>
      </c>
      <c r="CI34" t="s">
        <v>59</v>
      </c>
      <c r="CJ34" t="s">
        <v>59</v>
      </c>
      <c r="CK34" t="s">
        <v>59</v>
      </c>
      <c r="CL34" t="s">
        <v>60</v>
      </c>
      <c r="CM34" t="s">
        <v>60</v>
      </c>
      <c r="CN34" t="s">
        <v>60</v>
      </c>
      <c r="CO34" t="s">
        <v>218</v>
      </c>
      <c r="CP34" t="s">
        <v>218</v>
      </c>
      <c r="CQ34" t="s">
        <v>218</v>
      </c>
      <c r="CR34" t="s">
        <v>59</v>
      </c>
      <c r="CS34" t="s">
        <v>59</v>
      </c>
      <c r="CT34" t="s">
        <v>59</v>
      </c>
      <c r="CU34" t="s">
        <v>59</v>
      </c>
      <c r="CV34" t="s">
        <v>59</v>
      </c>
      <c r="CW34" t="s">
        <v>59</v>
      </c>
      <c r="CX34" t="s">
        <v>59</v>
      </c>
      <c r="CY34" t="s">
        <v>59</v>
      </c>
      <c r="CZ34" t="s">
        <v>59</v>
      </c>
      <c r="DA34" t="s">
        <v>59</v>
      </c>
      <c r="DB34" t="s">
        <v>59</v>
      </c>
      <c r="DC34" t="s">
        <v>59</v>
      </c>
      <c r="DD34" t="s">
        <v>59</v>
      </c>
      <c r="DE34" t="s">
        <v>60</v>
      </c>
      <c r="DF34" t="s">
        <v>59</v>
      </c>
      <c r="DG34" t="s">
        <v>60</v>
      </c>
      <c r="DH34" t="s">
        <v>59</v>
      </c>
      <c r="DI34" t="s">
        <v>59</v>
      </c>
      <c r="DJ34" t="s">
        <v>59</v>
      </c>
      <c r="DK34" t="s">
        <v>59</v>
      </c>
      <c r="DL34" t="s">
        <v>59</v>
      </c>
      <c r="DM34" t="s">
        <v>59</v>
      </c>
      <c r="DN34" t="s">
        <v>59</v>
      </c>
      <c r="DO34" t="s">
        <v>218</v>
      </c>
      <c r="DP34" t="s">
        <v>59</v>
      </c>
      <c r="DQ34" t="s">
        <v>218</v>
      </c>
      <c r="DR34" t="s">
        <v>218</v>
      </c>
      <c r="DS34" t="s">
        <v>218</v>
      </c>
      <c r="DT34" t="s">
        <v>218</v>
      </c>
      <c r="DU34" t="s">
        <v>218</v>
      </c>
      <c r="DV34" t="s">
        <v>218</v>
      </c>
      <c r="DW34" t="s">
        <v>218</v>
      </c>
      <c r="DX34" t="s">
        <v>218</v>
      </c>
      <c r="DY34" t="s">
        <v>218</v>
      </c>
      <c r="DZ34" t="s">
        <v>218</v>
      </c>
      <c r="EA34" t="s">
        <v>218</v>
      </c>
      <c r="EB34" t="s">
        <v>218</v>
      </c>
      <c r="EC34" t="s">
        <v>218</v>
      </c>
      <c r="ED34" t="s">
        <v>218</v>
      </c>
      <c r="EE34" t="s">
        <v>218</v>
      </c>
      <c r="EF34" t="s">
        <v>218</v>
      </c>
      <c r="EG34" t="s">
        <v>218</v>
      </c>
      <c r="EH34" t="s">
        <v>218</v>
      </c>
      <c r="EI34" t="s">
        <v>218</v>
      </c>
      <c r="EJ34" t="s">
        <v>218</v>
      </c>
      <c r="EK34" t="s">
        <v>218</v>
      </c>
      <c r="EL34" t="s">
        <v>218</v>
      </c>
      <c r="EM34" t="s">
        <v>218</v>
      </c>
      <c r="EN34" t="s">
        <v>60</v>
      </c>
      <c r="EO34" t="s">
        <v>59</v>
      </c>
      <c r="EP34" t="s">
        <v>60</v>
      </c>
      <c r="EQ34" t="s">
        <v>60</v>
      </c>
      <c r="ER34" t="s">
        <v>59</v>
      </c>
      <c r="ES34" t="s">
        <v>59</v>
      </c>
      <c r="ET34" t="s">
        <v>60</v>
      </c>
      <c r="EU34" t="s">
        <v>59</v>
      </c>
      <c r="EV34" t="s">
        <v>59</v>
      </c>
      <c r="EW34" t="s">
        <v>59</v>
      </c>
      <c r="EX34" t="s">
        <v>59</v>
      </c>
      <c r="EY34" t="s">
        <v>59</v>
      </c>
      <c r="EZ34" t="s">
        <v>59</v>
      </c>
      <c r="FA34" t="s">
        <v>218</v>
      </c>
      <c r="FB34" t="s">
        <v>218</v>
      </c>
      <c r="FC34" t="s">
        <v>218</v>
      </c>
      <c r="FD34" t="s">
        <v>218</v>
      </c>
      <c r="FE34" t="s">
        <v>218</v>
      </c>
      <c r="FF34" t="s">
        <v>218</v>
      </c>
      <c r="FG34" t="s">
        <v>218</v>
      </c>
      <c r="FH34" t="s">
        <v>218</v>
      </c>
      <c r="FI34" t="s">
        <v>218</v>
      </c>
      <c r="FJ34" t="s">
        <v>191</v>
      </c>
      <c r="FK34" t="s">
        <v>218</v>
      </c>
      <c r="FL34" t="s">
        <v>59</v>
      </c>
      <c r="FM34" t="s">
        <v>59</v>
      </c>
      <c r="FN34" t="s">
        <v>59</v>
      </c>
      <c r="FO34" t="s">
        <v>59</v>
      </c>
      <c r="FP34" t="s">
        <v>59</v>
      </c>
      <c r="FQ34" t="s">
        <v>59</v>
      </c>
      <c r="FR34" t="s">
        <v>59</v>
      </c>
      <c r="FS34" t="s">
        <v>218</v>
      </c>
      <c r="FT34" t="s">
        <v>59</v>
      </c>
      <c r="FU34" t="s">
        <v>59</v>
      </c>
      <c r="FV34" t="s">
        <v>59</v>
      </c>
      <c r="FW34" t="s">
        <v>59</v>
      </c>
      <c r="FX34" t="s">
        <v>59</v>
      </c>
      <c r="FY34" t="s">
        <v>59</v>
      </c>
      <c r="FZ34" t="s">
        <v>59</v>
      </c>
      <c r="GA34" t="s">
        <v>59</v>
      </c>
      <c r="GB34" t="s">
        <v>59</v>
      </c>
      <c r="GC34" t="s">
        <v>59</v>
      </c>
      <c r="GD34" t="s">
        <v>59</v>
      </c>
      <c r="GE34" t="s">
        <v>59</v>
      </c>
      <c r="GF34" t="s">
        <v>59</v>
      </c>
      <c r="GG34" t="s">
        <v>59</v>
      </c>
      <c r="GH34" t="s">
        <v>59</v>
      </c>
      <c r="GI34" t="s">
        <v>59</v>
      </c>
      <c r="GJ34" t="s">
        <v>59</v>
      </c>
      <c r="GK34" t="s">
        <v>218</v>
      </c>
      <c r="GL34" t="s">
        <v>59</v>
      </c>
      <c r="GM34" t="s">
        <v>59</v>
      </c>
      <c r="GN34" t="s">
        <v>59</v>
      </c>
      <c r="GO34" t="s">
        <v>59</v>
      </c>
      <c r="GP34" t="s">
        <v>218</v>
      </c>
      <c r="GQ34" t="s">
        <v>218</v>
      </c>
      <c r="GR34" t="s">
        <v>218</v>
      </c>
      <c r="GS34" t="s">
        <v>59</v>
      </c>
      <c r="GT34" t="s">
        <v>59</v>
      </c>
      <c r="GU34" t="s">
        <v>218</v>
      </c>
      <c r="GV34" t="s">
        <v>59</v>
      </c>
      <c r="GW34" t="s">
        <v>59</v>
      </c>
      <c r="GX34" t="s">
        <v>59</v>
      </c>
      <c r="GY34" t="s">
        <v>59</v>
      </c>
      <c r="GZ34" t="s">
        <v>218</v>
      </c>
      <c r="HA34" t="s">
        <v>59</v>
      </c>
      <c r="HB34" t="s">
        <v>59</v>
      </c>
      <c r="HC34" t="s">
        <v>59</v>
      </c>
      <c r="HD34" t="s">
        <v>59</v>
      </c>
      <c r="HE34" t="s">
        <v>59</v>
      </c>
      <c r="HF34" t="s">
        <v>59</v>
      </c>
      <c r="HG34" t="s">
        <v>59</v>
      </c>
      <c r="HH34" t="s">
        <v>59</v>
      </c>
      <c r="HI34" t="s">
        <v>218</v>
      </c>
      <c r="HJ34" t="s">
        <v>59</v>
      </c>
      <c r="HK34" t="s">
        <v>218</v>
      </c>
      <c r="HL34" t="s">
        <v>218</v>
      </c>
      <c r="HM34" t="s">
        <v>218</v>
      </c>
      <c r="HN34" t="s">
        <v>218</v>
      </c>
      <c r="HO34" t="s">
        <v>218</v>
      </c>
      <c r="HP34" t="s">
        <v>59</v>
      </c>
      <c r="HQ34" t="s">
        <v>59</v>
      </c>
      <c r="HR34" t="s">
        <v>59</v>
      </c>
      <c r="HS34" t="s">
        <v>59</v>
      </c>
      <c r="HT34" t="s">
        <v>59</v>
      </c>
      <c r="HU34" t="s">
        <v>59</v>
      </c>
      <c r="HV34" t="s">
        <v>59</v>
      </c>
      <c r="HW34" t="s">
        <v>59</v>
      </c>
      <c r="HX34" t="s">
        <v>59</v>
      </c>
      <c r="HY34" t="s">
        <v>59</v>
      </c>
      <c r="HZ34" t="s">
        <v>59</v>
      </c>
      <c r="IA34" t="s">
        <v>59</v>
      </c>
      <c r="IB34" t="s">
        <v>59</v>
      </c>
      <c r="IC34" t="s">
        <v>59</v>
      </c>
      <c r="ID34" t="s">
        <v>59</v>
      </c>
      <c r="IE34" t="s">
        <v>59</v>
      </c>
      <c r="IF34" t="s">
        <v>60</v>
      </c>
      <c r="IG34" t="s">
        <v>60</v>
      </c>
      <c r="IH34" t="s">
        <v>60</v>
      </c>
      <c r="II34" t="s">
        <v>60</v>
      </c>
      <c r="IJ34" t="s">
        <v>129</v>
      </c>
      <c r="IK34" t="s">
        <v>191</v>
      </c>
      <c r="IL34" t="s">
        <v>128</v>
      </c>
      <c r="IM34" t="s">
        <v>199</v>
      </c>
      <c r="IN34">
        <v>30</v>
      </c>
      <c r="IO34" t="s">
        <v>2730</v>
      </c>
      <c r="IP34" t="s">
        <v>2730</v>
      </c>
      <c r="IQ34" t="s">
        <v>2730</v>
      </c>
      <c r="IR34">
        <v>15</v>
      </c>
      <c r="IS34" t="s">
        <v>2730</v>
      </c>
      <c r="IT34" t="s">
        <v>2730</v>
      </c>
      <c r="IU34" t="s">
        <v>2730</v>
      </c>
      <c r="IV34">
        <v>13</v>
      </c>
      <c r="IW34" t="s">
        <v>2730</v>
      </c>
      <c r="IX34" t="s">
        <v>2730</v>
      </c>
      <c r="IY34">
        <v>3</v>
      </c>
      <c r="IZ34">
        <v>18</v>
      </c>
      <c r="JA34" t="s">
        <v>2730</v>
      </c>
      <c r="JB34">
        <v>1</v>
      </c>
      <c r="JC34">
        <v>6</v>
      </c>
      <c r="JD34">
        <v>24</v>
      </c>
      <c r="JE34" t="s">
        <v>2730</v>
      </c>
      <c r="JF34" t="s">
        <v>2730</v>
      </c>
      <c r="JG34" t="s">
        <v>2730</v>
      </c>
      <c r="JH34">
        <v>19</v>
      </c>
      <c r="JI34" t="s">
        <v>2730</v>
      </c>
      <c r="JJ34" t="s">
        <v>2730</v>
      </c>
      <c r="JK34" t="s">
        <v>2730</v>
      </c>
      <c r="JL34">
        <v>16</v>
      </c>
      <c r="JM34" t="s">
        <v>2730</v>
      </c>
      <c r="JN34" t="s">
        <v>2730</v>
      </c>
      <c r="JO34" t="s">
        <v>2730</v>
      </c>
      <c r="JP34" t="s">
        <v>2730</v>
      </c>
      <c r="JQ34">
        <v>4</v>
      </c>
    </row>
    <row r="35" spans="1:277">
      <c r="A35" s="149" t="str">
        <f>HYPERLINK("http://www.ofsted.gov.uk/inspection-reports/find-inspection-report/provider/ELS/136069 ","Ofsted School Webpage")</f>
        <v>Ofsted School Webpage</v>
      </c>
      <c r="B35">
        <v>1132334</v>
      </c>
      <c r="C35">
        <v>136069</v>
      </c>
      <c r="D35">
        <v>8886056</v>
      </c>
      <c r="E35" t="s">
        <v>392</v>
      </c>
      <c r="F35" t="s">
        <v>38</v>
      </c>
      <c r="G35" t="s">
        <v>180</v>
      </c>
      <c r="H35" t="s">
        <v>205</v>
      </c>
      <c r="I35" t="s">
        <v>205</v>
      </c>
      <c r="J35" t="s">
        <v>206</v>
      </c>
      <c r="K35" t="s">
        <v>393</v>
      </c>
      <c r="L35" t="s">
        <v>184</v>
      </c>
      <c r="M35" t="s">
        <v>185</v>
      </c>
      <c r="N35" t="s">
        <v>184</v>
      </c>
      <c r="O35" t="s">
        <v>2730</v>
      </c>
      <c r="P35" t="s">
        <v>186</v>
      </c>
      <c r="Q35">
        <v>10038930</v>
      </c>
      <c r="R35" s="120">
        <v>42990</v>
      </c>
      <c r="S35" s="120">
        <v>42992</v>
      </c>
      <c r="T35" s="120">
        <v>43014</v>
      </c>
      <c r="U35" t="s">
        <v>2730</v>
      </c>
      <c r="V35" t="s">
        <v>196</v>
      </c>
      <c r="W35" t="s">
        <v>2730</v>
      </c>
      <c r="X35" t="s">
        <v>197</v>
      </c>
      <c r="Y35">
        <v>3</v>
      </c>
      <c r="Z35">
        <v>3</v>
      </c>
      <c r="AA35">
        <v>2</v>
      </c>
      <c r="AB35">
        <v>3</v>
      </c>
      <c r="AC35">
        <v>3</v>
      </c>
      <c r="AD35" t="s">
        <v>2730</v>
      </c>
      <c r="AE35">
        <v>3</v>
      </c>
      <c r="AF35" t="s">
        <v>128</v>
      </c>
      <c r="AG35" t="s">
        <v>2730</v>
      </c>
      <c r="AH35" t="s">
        <v>2732</v>
      </c>
      <c r="AI35" t="s">
        <v>59</v>
      </c>
      <c r="AJ35" t="s">
        <v>59</v>
      </c>
      <c r="AK35" t="s">
        <v>59</v>
      </c>
      <c r="AL35" t="s">
        <v>59</v>
      </c>
      <c r="AM35" t="s">
        <v>59</v>
      </c>
      <c r="AN35" t="s">
        <v>59</v>
      </c>
      <c r="AO35" t="s">
        <v>59</v>
      </c>
      <c r="AP35" t="s">
        <v>59</v>
      </c>
      <c r="AQ35" t="s">
        <v>59</v>
      </c>
      <c r="AR35" t="s">
        <v>59</v>
      </c>
      <c r="AS35" t="s">
        <v>59</v>
      </c>
      <c r="AT35" t="s">
        <v>59</v>
      </c>
      <c r="AU35" t="s">
        <v>59</v>
      </c>
      <c r="AV35" t="s">
        <v>59</v>
      </c>
      <c r="AW35" t="s">
        <v>59</v>
      </c>
      <c r="AX35" t="s">
        <v>203</v>
      </c>
      <c r="AY35" t="s">
        <v>59</v>
      </c>
      <c r="AZ35" t="s">
        <v>59</v>
      </c>
      <c r="BA35" t="s">
        <v>59</v>
      </c>
      <c r="BB35" t="s">
        <v>59</v>
      </c>
      <c r="BC35" t="s">
        <v>59</v>
      </c>
      <c r="BD35" t="s">
        <v>59</v>
      </c>
      <c r="BE35" t="s">
        <v>59</v>
      </c>
      <c r="BF35" t="s">
        <v>59</v>
      </c>
      <c r="BG35" t="s">
        <v>59</v>
      </c>
      <c r="BH35" t="s">
        <v>59</v>
      </c>
      <c r="BI35" t="s">
        <v>59</v>
      </c>
      <c r="BJ35" t="s">
        <v>59</v>
      </c>
      <c r="BK35" t="s">
        <v>59</v>
      </c>
      <c r="BL35" t="s">
        <v>59</v>
      </c>
      <c r="BM35" t="s">
        <v>59</v>
      </c>
      <c r="BN35" t="s">
        <v>59</v>
      </c>
      <c r="BO35" t="s">
        <v>59</v>
      </c>
      <c r="BP35" t="s">
        <v>59</v>
      </c>
      <c r="BQ35" t="s">
        <v>59</v>
      </c>
      <c r="BR35" t="s">
        <v>59</v>
      </c>
      <c r="BS35" t="s">
        <v>59</v>
      </c>
      <c r="BT35" t="s">
        <v>59</v>
      </c>
      <c r="BU35" t="s">
        <v>59</v>
      </c>
      <c r="BV35" t="s">
        <v>59</v>
      </c>
      <c r="BW35" t="s">
        <v>59</v>
      </c>
      <c r="BX35" t="s">
        <v>59</v>
      </c>
      <c r="BY35" t="s">
        <v>59</v>
      </c>
      <c r="BZ35" t="s">
        <v>59</v>
      </c>
      <c r="CA35" t="s">
        <v>59</v>
      </c>
      <c r="CB35" t="s">
        <v>59</v>
      </c>
      <c r="CC35" t="s">
        <v>59</v>
      </c>
      <c r="CD35" t="s">
        <v>59</v>
      </c>
      <c r="CE35" t="s">
        <v>59</v>
      </c>
      <c r="CF35" t="s">
        <v>59</v>
      </c>
      <c r="CG35" t="s">
        <v>59</v>
      </c>
      <c r="CH35" t="s">
        <v>59</v>
      </c>
      <c r="CI35" t="s">
        <v>59</v>
      </c>
      <c r="CJ35" t="s">
        <v>59</v>
      </c>
      <c r="CK35" t="s">
        <v>59</v>
      </c>
      <c r="CL35" t="s">
        <v>59</v>
      </c>
      <c r="CM35" t="s">
        <v>59</v>
      </c>
      <c r="CN35" t="s">
        <v>203</v>
      </c>
      <c r="CO35" t="s">
        <v>59</v>
      </c>
      <c r="CP35" t="s">
        <v>59</v>
      </c>
      <c r="CQ35" t="s">
        <v>59</v>
      </c>
      <c r="CR35" t="s">
        <v>59</v>
      </c>
      <c r="CS35" t="s">
        <v>59</v>
      </c>
      <c r="CT35" t="s">
        <v>59</v>
      </c>
      <c r="CU35" t="s">
        <v>59</v>
      </c>
      <c r="CV35" t="s">
        <v>59</v>
      </c>
      <c r="CW35" t="s">
        <v>59</v>
      </c>
      <c r="CX35" t="s">
        <v>59</v>
      </c>
      <c r="CY35" t="s">
        <v>59</v>
      </c>
      <c r="CZ35" t="s">
        <v>59</v>
      </c>
      <c r="DA35" t="s">
        <v>59</v>
      </c>
      <c r="DB35" t="s">
        <v>59</v>
      </c>
      <c r="DC35" t="s">
        <v>59</v>
      </c>
      <c r="DD35" t="s">
        <v>59</v>
      </c>
      <c r="DE35" t="s">
        <v>59</v>
      </c>
      <c r="DF35" t="s">
        <v>59</v>
      </c>
      <c r="DG35" t="s">
        <v>59</v>
      </c>
      <c r="DH35" t="s">
        <v>59</v>
      </c>
      <c r="DI35" t="s">
        <v>59</v>
      </c>
      <c r="DJ35" t="s">
        <v>59</v>
      </c>
      <c r="DK35" t="s">
        <v>59</v>
      </c>
      <c r="DL35" t="s">
        <v>59</v>
      </c>
      <c r="DM35" t="s">
        <v>59</v>
      </c>
      <c r="DN35" t="s">
        <v>59</v>
      </c>
      <c r="DO35" t="s">
        <v>59</v>
      </c>
      <c r="DP35" t="s">
        <v>59</v>
      </c>
      <c r="DQ35" t="s">
        <v>59</v>
      </c>
      <c r="DR35" t="s">
        <v>59</v>
      </c>
      <c r="DS35" t="s">
        <v>59</v>
      </c>
      <c r="DT35" t="s">
        <v>59</v>
      </c>
      <c r="DU35" t="s">
        <v>59</v>
      </c>
      <c r="DV35" t="s">
        <v>59</v>
      </c>
      <c r="DW35" t="s">
        <v>59</v>
      </c>
      <c r="DX35" t="s">
        <v>59</v>
      </c>
      <c r="DY35" t="s">
        <v>59</v>
      </c>
      <c r="DZ35" t="s">
        <v>59</v>
      </c>
      <c r="EA35" t="s">
        <v>59</v>
      </c>
      <c r="EB35" t="s">
        <v>59</v>
      </c>
      <c r="EC35" t="s">
        <v>59</v>
      </c>
      <c r="ED35" t="s">
        <v>59</v>
      </c>
      <c r="EE35" t="s">
        <v>59</v>
      </c>
      <c r="EF35" t="s">
        <v>59</v>
      </c>
      <c r="EG35" t="s">
        <v>59</v>
      </c>
      <c r="EH35" t="s">
        <v>59</v>
      </c>
      <c r="EI35" t="s">
        <v>59</v>
      </c>
      <c r="EJ35" t="s">
        <v>59</v>
      </c>
      <c r="EK35" t="s">
        <v>59</v>
      </c>
      <c r="EL35" t="s">
        <v>59</v>
      </c>
      <c r="EM35" t="s">
        <v>59</v>
      </c>
      <c r="EN35" t="s">
        <v>59</v>
      </c>
      <c r="EO35" t="s">
        <v>59</v>
      </c>
      <c r="EP35" t="s">
        <v>59</v>
      </c>
      <c r="EQ35" t="s">
        <v>59</v>
      </c>
      <c r="ER35" t="s">
        <v>59</v>
      </c>
      <c r="ES35" t="s">
        <v>59</v>
      </c>
      <c r="ET35" t="s">
        <v>59</v>
      </c>
      <c r="EU35" t="s">
        <v>59</v>
      </c>
      <c r="EV35" t="s">
        <v>59</v>
      </c>
      <c r="EW35" t="s">
        <v>59</v>
      </c>
      <c r="EX35" t="s">
        <v>59</v>
      </c>
      <c r="EY35" t="s">
        <v>59</v>
      </c>
      <c r="EZ35" t="s">
        <v>59</v>
      </c>
      <c r="FA35" t="s">
        <v>59</v>
      </c>
      <c r="FB35" t="s">
        <v>59</v>
      </c>
      <c r="FC35" t="s">
        <v>59</v>
      </c>
      <c r="FD35" t="s">
        <v>59</v>
      </c>
      <c r="FE35" t="s">
        <v>59</v>
      </c>
      <c r="FF35" t="s">
        <v>59</v>
      </c>
      <c r="FG35" t="s">
        <v>59</v>
      </c>
      <c r="FH35" t="s">
        <v>59</v>
      </c>
      <c r="FI35" t="s">
        <v>59</v>
      </c>
      <c r="FJ35" t="s">
        <v>59</v>
      </c>
      <c r="FK35" t="s">
        <v>59</v>
      </c>
      <c r="FL35" t="s">
        <v>59</v>
      </c>
      <c r="FM35" t="s">
        <v>59</v>
      </c>
      <c r="FN35" t="s">
        <v>59</v>
      </c>
      <c r="FO35" t="s">
        <v>59</v>
      </c>
      <c r="FP35" t="s">
        <v>59</v>
      </c>
      <c r="FQ35" t="s">
        <v>59</v>
      </c>
      <c r="FR35" t="s">
        <v>59</v>
      </c>
      <c r="FS35" t="s">
        <v>59</v>
      </c>
      <c r="FT35" t="s">
        <v>59</v>
      </c>
      <c r="FU35" t="s">
        <v>59</v>
      </c>
      <c r="FV35" t="s">
        <v>59</v>
      </c>
      <c r="FW35" t="s">
        <v>59</v>
      </c>
      <c r="FX35" t="s">
        <v>59</v>
      </c>
      <c r="FY35" t="s">
        <v>59</v>
      </c>
      <c r="FZ35" t="s">
        <v>59</v>
      </c>
      <c r="GA35" t="s">
        <v>59</v>
      </c>
      <c r="GB35" t="s">
        <v>59</v>
      </c>
      <c r="GC35" t="s">
        <v>59</v>
      </c>
      <c r="GD35" t="s">
        <v>59</v>
      </c>
      <c r="GE35" t="s">
        <v>203</v>
      </c>
      <c r="GF35" t="s">
        <v>59</v>
      </c>
      <c r="GG35" t="s">
        <v>59</v>
      </c>
      <c r="GH35" t="s">
        <v>59</v>
      </c>
      <c r="GI35" t="s">
        <v>59</v>
      </c>
      <c r="GJ35" t="s">
        <v>59</v>
      </c>
      <c r="GK35" t="s">
        <v>59</v>
      </c>
      <c r="GL35" t="s">
        <v>59</v>
      </c>
      <c r="GM35" t="s">
        <v>59</v>
      </c>
      <c r="GN35" t="s">
        <v>59</v>
      </c>
      <c r="GO35" t="s">
        <v>59</v>
      </c>
      <c r="GP35" t="s">
        <v>59</v>
      </c>
      <c r="GQ35" t="s">
        <v>59</v>
      </c>
      <c r="GR35" t="s">
        <v>59</v>
      </c>
      <c r="GS35" t="s">
        <v>59</v>
      </c>
      <c r="GT35" t="s">
        <v>59</v>
      </c>
      <c r="GU35" t="s">
        <v>59</v>
      </c>
      <c r="GV35" t="s">
        <v>59</v>
      </c>
      <c r="GW35" t="s">
        <v>59</v>
      </c>
      <c r="GX35" t="s">
        <v>59</v>
      </c>
      <c r="GY35" t="s">
        <v>59</v>
      </c>
      <c r="GZ35" t="s">
        <v>59</v>
      </c>
      <c r="HA35" t="s">
        <v>59</v>
      </c>
      <c r="HB35" t="s">
        <v>59</v>
      </c>
      <c r="HC35" t="s">
        <v>59</v>
      </c>
      <c r="HD35" t="s">
        <v>59</v>
      </c>
      <c r="HE35" t="s">
        <v>59</v>
      </c>
      <c r="HF35" t="s">
        <v>59</v>
      </c>
      <c r="HG35" t="s">
        <v>59</v>
      </c>
      <c r="HH35" t="s">
        <v>59</v>
      </c>
      <c r="HI35" t="s">
        <v>59</v>
      </c>
      <c r="HJ35" t="s">
        <v>59</v>
      </c>
      <c r="HK35" t="s">
        <v>59</v>
      </c>
      <c r="HL35" t="s">
        <v>59</v>
      </c>
      <c r="HM35" t="s">
        <v>59</v>
      </c>
      <c r="HN35" t="s">
        <v>59</v>
      </c>
      <c r="HO35" t="s">
        <v>59</v>
      </c>
      <c r="HP35" t="s">
        <v>59</v>
      </c>
      <c r="HQ35" t="s">
        <v>59</v>
      </c>
      <c r="HR35" t="s">
        <v>59</v>
      </c>
      <c r="HS35" t="s">
        <v>59</v>
      </c>
      <c r="HT35" t="s">
        <v>59</v>
      </c>
      <c r="HU35" t="s">
        <v>59</v>
      </c>
      <c r="HV35" t="s">
        <v>59</v>
      </c>
      <c r="HW35" t="s">
        <v>59</v>
      </c>
      <c r="HX35" t="s">
        <v>59</v>
      </c>
      <c r="HY35" t="s">
        <v>59</v>
      </c>
      <c r="HZ35" t="s">
        <v>59</v>
      </c>
      <c r="IA35" t="s">
        <v>59</v>
      </c>
      <c r="IB35" t="s">
        <v>59</v>
      </c>
      <c r="IC35" t="s">
        <v>59</v>
      </c>
      <c r="ID35" t="s">
        <v>59</v>
      </c>
      <c r="IE35" t="s">
        <v>59</v>
      </c>
      <c r="IF35" t="s">
        <v>59</v>
      </c>
      <c r="IG35" t="s">
        <v>59</v>
      </c>
      <c r="IH35" t="s">
        <v>59</v>
      </c>
      <c r="II35" t="s">
        <v>59</v>
      </c>
      <c r="IJ35" t="s">
        <v>129</v>
      </c>
      <c r="IK35" t="s">
        <v>198</v>
      </c>
      <c r="IL35" t="s">
        <v>128</v>
      </c>
      <c r="IM35" t="s">
        <v>199</v>
      </c>
      <c r="IN35">
        <v>31</v>
      </c>
      <c r="IO35">
        <v>1</v>
      </c>
      <c r="IP35" t="s">
        <v>2730</v>
      </c>
      <c r="IQ35" t="s">
        <v>2730</v>
      </c>
      <c r="IR35">
        <v>15</v>
      </c>
      <c r="IS35" t="s">
        <v>2730</v>
      </c>
      <c r="IT35" t="s">
        <v>2730</v>
      </c>
      <c r="IU35" t="s">
        <v>2730</v>
      </c>
      <c r="IV35">
        <v>18</v>
      </c>
      <c r="IW35">
        <v>1</v>
      </c>
      <c r="IX35" t="s">
        <v>2730</v>
      </c>
      <c r="IY35" t="s">
        <v>2730</v>
      </c>
      <c r="IZ35">
        <v>59</v>
      </c>
      <c r="JA35" t="s">
        <v>2730</v>
      </c>
      <c r="JB35" t="s">
        <v>2730</v>
      </c>
      <c r="JC35" t="s">
        <v>2730</v>
      </c>
      <c r="JD35">
        <v>25</v>
      </c>
      <c r="JE35">
        <v>1</v>
      </c>
      <c r="JF35" t="s">
        <v>2730</v>
      </c>
      <c r="JG35" t="s">
        <v>2730</v>
      </c>
      <c r="JH35">
        <v>30</v>
      </c>
      <c r="JI35" t="s">
        <v>2730</v>
      </c>
      <c r="JJ35" t="s">
        <v>2730</v>
      </c>
      <c r="JK35" t="s">
        <v>2730</v>
      </c>
      <c r="JL35">
        <v>16</v>
      </c>
      <c r="JM35" t="s">
        <v>2730</v>
      </c>
      <c r="JN35" t="s">
        <v>2730</v>
      </c>
      <c r="JO35">
        <v>4</v>
      </c>
      <c r="JP35" t="s">
        <v>2730</v>
      </c>
      <c r="JQ35" t="s">
        <v>2730</v>
      </c>
    </row>
    <row r="36" spans="1:277">
      <c r="A36" s="149" t="str">
        <f>HYPERLINK("http://www.ofsted.gov.uk/inspection-reports/find-inspection-report/provider/ELS/124488 ","Ofsted School Webpage")</f>
        <v>Ofsted School Webpage</v>
      </c>
      <c r="B36">
        <v>1132308</v>
      </c>
      <c r="C36">
        <v>124488</v>
      </c>
      <c r="D36">
        <v>8606022</v>
      </c>
      <c r="E36" t="s">
        <v>313</v>
      </c>
      <c r="F36" t="s">
        <v>38</v>
      </c>
      <c r="G36" t="s">
        <v>180</v>
      </c>
      <c r="H36" t="s">
        <v>193</v>
      </c>
      <c r="I36" t="s">
        <v>193</v>
      </c>
      <c r="J36" t="s">
        <v>314</v>
      </c>
      <c r="K36" t="s">
        <v>315</v>
      </c>
      <c r="L36" t="s">
        <v>184</v>
      </c>
      <c r="M36" t="s">
        <v>185</v>
      </c>
      <c r="N36" t="s">
        <v>184</v>
      </c>
      <c r="O36" t="s">
        <v>2730</v>
      </c>
      <c r="P36" t="s">
        <v>186</v>
      </c>
      <c r="Q36">
        <v>10026104</v>
      </c>
      <c r="R36" s="120">
        <v>43039</v>
      </c>
      <c r="S36" s="120">
        <v>43041</v>
      </c>
      <c r="T36" s="120">
        <v>43063</v>
      </c>
      <c r="U36" t="s">
        <v>2730</v>
      </c>
      <c r="V36" t="s">
        <v>196</v>
      </c>
      <c r="W36" t="s">
        <v>2730</v>
      </c>
      <c r="X36" t="s">
        <v>197</v>
      </c>
      <c r="Y36">
        <v>1</v>
      </c>
      <c r="Z36">
        <v>1</v>
      </c>
      <c r="AA36">
        <v>1</v>
      </c>
      <c r="AB36">
        <v>1</v>
      </c>
      <c r="AC36">
        <v>1</v>
      </c>
      <c r="AD36" t="s">
        <v>2730</v>
      </c>
      <c r="AE36" t="s">
        <v>2730</v>
      </c>
      <c r="AF36" t="s">
        <v>128</v>
      </c>
      <c r="AG36" t="s">
        <v>2730</v>
      </c>
      <c r="AH36" t="s">
        <v>2732</v>
      </c>
      <c r="AI36" t="s">
        <v>59</v>
      </c>
      <c r="AJ36" t="s">
        <v>59</v>
      </c>
      <c r="AK36" t="s">
        <v>59</v>
      </c>
      <c r="AL36" t="s">
        <v>59</v>
      </c>
      <c r="AM36" t="s">
        <v>59</v>
      </c>
      <c r="AN36" t="s">
        <v>59</v>
      </c>
      <c r="AO36" t="s">
        <v>59</v>
      </c>
      <c r="AP36" t="s">
        <v>59</v>
      </c>
      <c r="AQ36" t="s">
        <v>59</v>
      </c>
      <c r="AR36" t="s">
        <v>59</v>
      </c>
      <c r="AS36" t="s">
        <v>59</v>
      </c>
      <c r="AT36" t="s">
        <v>59</v>
      </c>
      <c r="AU36" t="s">
        <v>59</v>
      </c>
      <c r="AV36" t="s">
        <v>59</v>
      </c>
      <c r="AW36" t="s">
        <v>59</v>
      </c>
      <c r="AX36" t="s">
        <v>59</v>
      </c>
      <c r="AY36" t="s">
        <v>218</v>
      </c>
      <c r="AZ36" t="s">
        <v>59</v>
      </c>
      <c r="BA36" t="s">
        <v>59</v>
      </c>
      <c r="BB36" t="s">
        <v>59</v>
      </c>
      <c r="BC36" t="s">
        <v>59</v>
      </c>
      <c r="BD36" t="s">
        <v>59</v>
      </c>
      <c r="BE36" t="s">
        <v>59</v>
      </c>
      <c r="BF36" t="s">
        <v>59</v>
      </c>
      <c r="BG36" t="s">
        <v>218</v>
      </c>
      <c r="BH36" t="s">
        <v>59</v>
      </c>
      <c r="BI36" t="s">
        <v>59</v>
      </c>
      <c r="BJ36" t="s">
        <v>59</v>
      </c>
      <c r="BK36" t="s">
        <v>59</v>
      </c>
      <c r="BL36" t="s">
        <v>59</v>
      </c>
      <c r="BM36" t="s">
        <v>59</v>
      </c>
      <c r="BN36" t="s">
        <v>59</v>
      </c>
      <c r="BO36" t="s">
        <v>59</v>
      </c>
      <c r="BP36" t="s">
        <v>59</v>
      </c>
      <c r="BQ36" t="s">
        <v>59</v>
      </c>
      <c r="BR36" t="s">
        <v>59</v>
      </c>
      <c r="BS36" t="s">
        <v>59</v>
      </c>
      <c r="BT36" t="s">
        <v>59</v>
      </c>
      <c r="BU36" t="s">
        <v>59</v>
      </c>
      <c r="BV36" t="s">
        <v>59</v>
      </c>
      <c r="BW36" t="s">
        <v>59</v>
      </c>
      <c r="BX36" t="s">
        <v>59</v>
      </c>
      <c r="BY36" t="s">
        <v>59</v>
      </c>
      <c r="BZ36" t="s">
        <v>59</v>
      </c>
      <c r="CA36" t="s">
        <v>59</v>
      </c>
      <c r="CB36" t="s">
        <v>59</v>
      </c>
      <c r="CC36" t="s">
        <v>59</v>
      </c>
      <c r="CD36" t="s">
        <v>59</v>
      </c>
      <c r="CE36" t="s">
        <v>59</v>
      </c>
      <c r="CF36" t="s">
        <v>59</v>
      </c>
      <c r="CG36" t="s">
        <v>59</v>
      </c>
      <c r="CH36" t="s">
        <v>59</v>
      </c>
      <c r="CI36" t="s">
        <v>59</v>
      </c>
      <c r="CJ36" t="s">
        <v>59</v>
      </c>
      <c r="CK36" t="s">
        <v>59</v>
      </c>
      <c r="CL36" t="s">
        <v>59</v>
      </c>
      <c r="CM36" t="s">
        <v>59</v>
      </c>
      <c r="CN36" t="s">
        <v>59</v>
      </c>
      <c r="CO36" t="s">
        <v>218</v>
      </c>
      <c r="CP36" t="s">
        <v>218</v>
      </c>
      <c r="CQ36" t="s">
        <v>218</v>
      </c>
      <c r="CR36" t="s">
        <v>59</v>
      </c>
      <c r="CS36" t="s">
        <v>59</v>
      </c>
      <c r="CT36" t="s">
        <v>59</v>
      </c>
      <c r="CU36" t="s">
        <v>59</v>
      </c>
      <c r="CV36" t="s">
        <v>59</v>
      </c>
      <c r="CW36" t="s">
        <v>59</v>
      </c>
      <c r="CX36" t="s">
        <v>59</v>
      </c>
      <c r="CY36" t="s">
        <v>59</v>
      </c>
      <c r="CZ36" t="s">
        <v>59</v>
      </c>
      <c r="DA36" t="s">
        <v>59</v>
      </c>
      <c r="DB36" t="s">
        <v>59</v>
      </c>
      <c r="DC36" t="s">
        <v>59</v>
      </c>
      <c r="DD36" t="s">
        <v>59</v>
      </c>
      <c r="DE36" t="s">
        <v>59</v>
      </c>
      <c r="DF36" t="s">
        <v>59</v>
      </c>
      <c r="DG36" t="s">
        <v>59</v>
      </c>
      <c r="DH36" t="s">
        <v>59</v>
      </c>
      <c r="DI36" t="s">
        <v>59</v>
      </c>
      <c r="DJ36" t="s">
        <v>59</v>
      </c>
      <c r="DK36" t="s">
        <v>59</v>
      </c>
      <c r="DL36" t="s">
        <v>59</v>
      </c>
      <c r="DM36" t="s">
        <v>59</v>
      </c>
      <c r="DN36" t="s">
        <v>59</v>
      </c>
      <c r="DO36" t="s">
        <v>59</v>
      </c>
      <c r="DP36" t="s">
        <v>59</v>
      </c>
      <c r="DQ36" t="s">
        <v>218</v>
      </c>
      <c r="DR36" t="s">
        <v>218</v>
      </c>
      <c r="DS36" t="s">
        <v>218</v>
      </c>
      <c r="DT36" t="s">
        <v>218</v>
      </c>
      <c r="DU36" t="s">
        <v>218</v>
      </c>
      <c r="DV36" t="s">
        <v>218</v>
      </c>
      <c r="DW36" t="s">
        <v>218</v>
      </c>
      <c r="DX36" t="s">
        <v>218</v>
      </c>
      <c r="DY36" t="s">
        <v>218</v>
      </c>
      <c r="DZ36" t="s">
        <v>218</v>
      </c>
      <c r="EA36" t="s">
        <v>218</v>
      </c>
      <c r="EB36" t="s">
        <v>218</v>
      </c>
      <c r="EC36" t="s">
        <v>218</v>
      </c>
      <c r="ED36" t="s">
        <v>218</v>
      </c>
      <c r="EE36" t="s">
        <v>59</v>
      </c>
      <c r="EF36" t="s">
        <v>59</v>
      </c>
      <c r="EG36" t="s">
        <v>59</v>
      </c>
      <c r="EH36" t="s">
        <v>59</v>
      </c>
      <c r="EI36" t="s">
        <v>59</v>
      </c>
      <c r="EJ36" t="s">
        <v>59</v>
      </c>
      <c r="EK36" t="s">
        <v>59</v>
      </c>
      <c r="EL36" t="s">
        <v>59</v>
      </c>
      <c r="EM36" t="s">
        <v>59</v>
      </c>
      <c r="EN36" t="s">
        <v>59</v>
      </c>
      <c r="EO36" t="s">
        <v>59</v>
      </c>
      <c r="EP36" t="s">
        <v>59</v>
      </c>
      <c r="EQ36" t="s">
        <v>59</v>
      </c>
      <c r="ER36" t="s">
        <v>59</v>
      </c>
      <c r="ES36" t="s">
        <v>59</v>
      </c>
      <c r="ET36" t="s">
        <v>59</v>
      </c>
      <c r="EU36" t="s">
        <v>59</v>
      </c>
      <c r="EV36" t="s">
        <v>59</v>
      </c>
      <c r="EW36" t="s">
        <v>59</v>
      </c>
      <c r="EX36" t="s">
        <v>59</v>
      </c>
      <c r="EY36" t="s">
        <v>59</v>
      </c>
      <c r="EZ36" t="s">
        <v>59</v>
      </c>
      <c r="FA36" t="s">
        <v>59</v>
      </c>
      <c r="FB36" t="s">
        <v>59</v>
      </c>
      <c r="FC36" t="s">
        <v>59</v>
      </c>
      <c r="FD36" t="s">
        <v>59</v>
      </c>
      <c r="FE36" t="s">
        <v>59</v>
      </c>
      <c r="FF36" t="s">
        <v>59</v>
      </c>
      <c r="FG36" t="s">
        <v>59</v>
      </c>
      <c r="FH36" t="s">
        <v>59</v>
      </c>
      <c r="FI36" t="s">
        <v>59</v>
      </c>
      <c r="FJ36" t="s">
        <v>59</v>
      </c>
      <c r="FK36" t="s">
        <v>59</v>
      </c>
      <c r="FL36" t="s">
        <v>59</v>
      </c>
      <c r="FM36" t="s">
        <v>59</v>
      </c>
      <c r="FN36" t="s">
        <v>59</v>
      </c>
      <c r="FO36" t="s">
        <v>59</v>
      </c>
      <c r="FP36" t="s">
        <v>59</v>
      </c>
      <c r="FQ36" t="s">
        <v>59</v>
      </c>
      <c r="FR36" t="s">
        <v>59</v>
      </c>
      <c r="FS36" t="s">
        <v>59</v>
      </c>
      <c r="FT36" t="s">
        <v>59</v>
      </c>
      <c r="FU36" t="s">
        <v>59</v>
      </c>
      <c r="FV36" t="s">
        <v>59</v>
      </c>
      <c r="FW36" t="s">
        <v>59</v>
      </c>
      <c r="FX36" t="s">
        <v>59</v>
      </c>
      <c r="FY36" t="s">
        <v>59</v>
      </c>
      <c r="FZ36" t="s">
        <v>59</v>
      </c>
      <c r="GA36" t="s">
        <v>59</v>
      </c>
      <c r="GB36" t="s">
        <v>59</v>
      </c>
      <c r="GC36" t="s">
        <v>59</v>
      </c>
      <c r="GD36" t="s">
        <v>59</v>
      </c>
      <c r="GE36" t="s">
        <v>59</v>
      </c>
      <c r="GF36" t="s">
        <v>59</v>
      </c>
      <c r="GG36" t="s">
        <v>59</v>
      </c>
      <c r="GH36" t="s">
        <v>59</v>
      </c>
      <c r="GI36" t="s">
        <v>59</v>
      </c>
      <c r="GJ36" t="s">
        <v>59</v>
      </c>
      <c r="GK36" t="s">
        <v>218</v>
      </c>
      <c r="GL36" t="s">
        <v>59</v>
      </c>
      <c r="GM36" t="s">
        <v>59</v>
      </c>
      <c r="GN36" t="s">
        <v>59</v>
      </c>
      <c r="GO36" t="s">
        <v>59</v>
      </c>
      <c r="GP36" t="s">
        <v>59</v>
      </c>
      <c r="GQ36" t="s">
        <v>218</v>
      </c>
      <c r="GR36" t="s">
        <v>59</v>
      </c>
      <c r="GS36" t="s">
        <v>59</v>
      </c>
      <c r="GT36" t="s">
        <v>59</v>
      </c>
      <c r="GU36" t="s">
        <v>59</v>
      </c>
      <c r="GV36" t="s">
        <v>59</v>
      </c>
      <c r="GW36" t="s">
        <v>59</v>
      </c>
      <c r="GX36" t="s">
        <v>59</v>
      </c>
      <c r="GY36" t="s">
        <v>59</v>
      </c>
      <c r="GZ36" t="s">
        <v>218</v>
      </c>
      <c r="HA36" t="s">
        <v>59</v>
      </c>
      <c r="HB36" t="s">
        <v>218</v>
      </c>
      <c r="HC36" t="s">
        <v>59</v>
      </c>
      <c r="HD36" t="s">
        <v>59</v>
      </c>
      <c r="HE36" t="s">
        <v>59</v>
      </c>
      <c r="HF36" t="s">
        <v>59</v>
      </c>
      <c r="HG36" t="s">
        <v>59</v>
      </c>
      <c r="HH36" t="s">
        <v>59</v>
      </c>
      <c r="HI36" t="s">
        <v>59</v>
      </c>
      <c r="HJ36" t="s">
        <v>59</v>
      </c>
      <c r="HK36" t="s">
        <v>59</v>
      </c>
      <c r="HL36" t="s">
        <v>218</v>
      </c>
      <c r="HM36" t="s">
        <v>218</v>
      </c>
      <c r="HN36" t="s">
        <v>218</v>
      </c>
      <c r="HO36" t="s">
        <v>218</v>
      </c>
      <c r="HP36" t="s">
        <v>59</v>
      </c>
      <c r="HQ36" t="s">
        <v>59</v>
      </c>
      <c r="HR36" t="s">
        <v>59</v>
      </c>
      <c r="HS36" t="s">
        <v>59</v>
      </c>
      <c r="HT36" t="s">
        <v>59</v>
      </c>
      <c r="HU36" t="s">
        <v>59</v>
      </c>
      <c r="HV36" t="s">
        <v>59</v>
      </c>
      <c r="HW36" t="s">
        <v>59</v>
      </c>
      <c r="HX36" t="s">
        <v>59</v>
      </c>
      <c r="HY36" t="s">
        <v>59</v>
      </c>
      <c r="HZ36" t="s">
        <v>59</v>
      </c>
      <c r="IA36" t="s">
        <v>59</v>
      </c>
      <c r="IB36" t="s">
        <v>59</v>
      </c>
      <c r="IC36" t="s">
        <v>59</v>
      </c>
      <c r="ID36" t="s">
        <v>59</v>
      </c>
      <c r="IE36" t="s">
        <v>59</v>
      </c>
      <c r="IF36" t="s">
        <v>59</v>
      </c>
      <c r="IG36" t="s">
        <v>59</v>
      </c>
      <c r="IH36" t="s">
        <v>59</v>
      </c>
      <c r="II36" t="s">
        <v>59</v>
      </c>
      <c r="IJ36" t="s">
        <v>129</v>
      </c>
      <c r="IK36" t="s">
        <v>191</v>
      </c>
      <c r="IL36" t="s">
        <v>128</v>
      </c>
      <c r="IM36" t="s">
        <v>199</v>
      </c>
      <c r="IN36">
        <v>30</v>
      </c>
      <c r="IO36" t="s">
        <v>2730</v>
      </c>
      <c r="IP36" t="s">
        <v>2730</v>
      </c>
      <c r="IQ36" t="s">
        <v>2730</v>
      </c>
      <c r="IR36">
        <v>15</v>
      </c>
      <c r="IS36" t="s">
        <v>2730</v>
      </c>
      <c r="IT36" t="s">
        <v>2730</v>
      </c>
      <c r="IU36" t="s">
        <v>2730</v>
      </c>
      <c r="IV36">
        <v>16</v>
      </c>
      <c r="IW36" t="s">
        <v>2730</v>
      </c>
      <c r="IX36" t="s">
        <v>2730</v>
      </c>
      <c r="IY36" t="s">
        <v>2730</v>
      </c>
      <c r="IZ36">
        <v>45</v>
      </c>
      <c r="JA36" t="s">
        <v>2730</v>
      </c>
      <c r="JB36" t="s">
        <v>2730</v>
      </c>
      <c r="JC36" t="s">
        <v>2730</v>
      </c>
      <c r="JD36">
        <v>25</v>
      </c>
      <c r="JE36" t="s">
        <v>2730</v>
      </c>
      <c r="JF36" t="s">
        <v>2730</v>
      </c>
      <c r="JG36" t="s">
        <v>2730</v>
      </c>
      <c r="JH36">
        <v>23</v>
      </c>
      <c r="JI36" t="s">
        <v>2730</v>
      </c>
      <c r="JJ36" t="s">
        <v>2730</v>
      </c>
      <c r="JK36" t="s">
        <v>2730</v>
      </c>
      <c r="JL36">
        <v>16</v>
      </c>
      <c r="JM36" t="s">
        <v>2730</v>
      </c>
      <c r="JN36" t="s">
        <v>2730</v>
      </c>
      <c r="JO36">
        <v>4</v>
      </c>
      <c r="JP36" t="s">
        <v>2730</v>
      </c>
      <c r="JQ36" t="s">
        <v>2730</v>
      </c>
    </row>
    <row r="37" spans="1:277">
      <c r="A37" s="149" t="str">
        <f>HYPERLINK("http://www.ofsted.gov.uk/inspection-reports/find-inspection-report/provider/ELS/100078 ","Ofsted School Webpage")</f>
        <v>Ofsted School Webpage</v>
      </c>
      <c r="B37">
        <v>1134010</v>
      </c>
      <c r="C37">
        <v>100078</v>
      </c>
      <c r="D37">
        <v>2026360</v>
      </c>
      <c r="E37" t="s">
        <v>535</v>
      </c>
      <c r="F37" t="s">
        <v>37</v>
      </c>
      <c r="G37" t="s">
        <v>209</v>
      </c>
      <c r="H37" t="s">
        <v>232</v>
      </c>
      <c r="I37" t="s">
        <v>232</v>
      </c>
      <c r="J37" t="s">
        <v>536</v>
      </c>
      <c r="K37" t="s">
        <v>537</v>
      </c>
      <c r="L37" t="s">
        <v>184</v>
      </c>
      <c r="M37" t="s">
        <v>185</v>
      </c>
      <c r="N37" t="s">
        <v>184</v>
      </c>
      <c r="O37" t="s">
        <v>2730</v>
      </c>
      <c r="P37" t="s">
        <v>186</v>
      </c>
      <c r="Q37">
        <v>10012781</v>
      </c>
      <c r="R37" s="120">
        <v>42997</v>
      </c>
      <c r="S37" s="120">
        <v>42999</v>
      </c>
      <c r="T37" s="120">
        <v>43052</v>
      </c>
      <c r="U37" t="s">
        <v>2730</v>
      </c>
      <c r="V37" t="s">
        <v>196</v>
      </c>
      <c r="W37" t="s">
        <v>2730</v>
      </c>
      <c r="X37" t="s">
        <v>197</v>
      </c>
      <c r="Y37">
        <v>1</v>
      </c>
      <c r="Z37">
        <v>1</v>
      </c>
      <c r="AA37">
        <v>1</v>
      </c>
      <c r="AB37">
        <v>1</v>
      </c>
      <c r="AC37">
        <v>1</v>
      </c>
      <c r="AD37">
        <v>2</v>
      </c>
      <c r="AE37" t="s">
        <v>2730</v>
      </c>
      <c r="AF37" t="s">
        <v>128</v>
      </c>
      <c r="AG37" t="s">
        <v>2730</v>
      </c>
      <c r="AH37" t="s">
        <v>2732</v>
      </c>
      <c r="AI37" t="s">
        <v>59</v>
      </c>
      <c r="AJ37" t="s">
        <v>59</v>
      </c>
      <c r="AK37" t="s">
        <v>59</v>
      </c>
      <c r="AL37" t="s">
        <v>59</v>
      </c>
      <c r="AM37" t="s">
        <v>59</v>
      </c>
      <c r="AN37" t="s">
        <v>59</v>
      </c>
      <c r="AO37" t="s">
        <v>59</v>
      </c>
      <c r="AP37" t="s">
        <v>59</v>
      </c>
      <c r="AQ37" t="s">
        <v>59</v>
      </c>
      <c r="AR37" t="s">
        <v>59</v>
      </c>
      <c r="AS37" t="s">
        <v>59</v>
      </c>
      <c r="AT37" t="s">
        <v>59</v>
      </c>
      <c r="AU37" t="s">
        <v>59</v>
      </c>
      <c r="AV37" t="s">
        <v>59</v>
      </c>
      <c r="AW37" t="s">
        <v>59</v>
      </c>
      <c r="AX37" t="s">
        <v>59</v>
      </c>
      <c r="AY37" t="s">
        <v>191</v>
      </c>
      <c r="AZ37" t="s">
        <v>59</v>
      </c>
      <c r="BA37" t="s">
        <v>59</v>
      </c>
      <c r="BB37" t="s">
        <v>59</v>
      </c>
      <c r="BC37" t="s">
        <v>59</v>
      </c>
      <c r="BD37" t="s">
        <v>59</v>
      </c>
      <c r="BE37" t="s">
        <v>59</v>
      </c>
      <c r="BF37" t="s">
        <v>59</v>
      </c>
      <c r="BG37" t="s">
        <v>59</v>
      </c>
      <c r="BH37" t="s">
        <v>191</v>
      </c>
      <c r="BI37" t="s">
        <v>59</v>
      </c>
      <c r="BJ37" t="s">
        <v>59</v>
      </c>
      <c r="BK37" t="s">
        <v>59</v>
      </c>
      <c r="BL37" t="s">
        <v>59</v>
      </c>
      <c r="BM37" t="s">
        <v>59</v>
      </c>
      <c r="BN37" t="s">
        <v>59</v>
      </c>
      <c r="BO37" t="s">
        <v>59</v>
      </c>
      <c r="BP37" t="s">
        <v>59</v>
      </c>
      <c r="BQ37" t="s">
        <v>59</v>
      </c>
      <c r="BR37" t="s">
        <v>59</v>
      </c>
      <c r="BS37" t="s">
        <v>59</v>
      </c>
      <c r="BT37" t="s">
        <v>59</v>
      </c>
      <c r="BU37" t="s">
        <v>59</v>
      </c>
      <c r="BV37" t="s">
        <v>59</v>
      </c>
      <c r="BW37" t="s">
        <v>59</v>
      </c>
      <c r="BX37" t="s">
        <v>59</v>
      </c>
      <c r="BY37" t="s">
        <v>59</v>
      </c>
      <c r="BZ37" t="s">
        <v>59</v>
      </c>
      <c r="CA37" t="s">
        <v>59</v>
      </c>
      <c r="CB37" t="s">
        <v>59</v>
      </c>
      <c r="CC37" t="s">
        <v>59</v>
      </c>
      <c r="CD37" t="s">
        <v>59</v>
      </c>
      <c r="CE37" t="s">
        <v>59</v>
      </c>
      <c r="CF37" t="s">
        <v>59</v>
      </c>
      <c r="CG37" t="s">
        <v>59</v>
      </c>
      <c r="CH37" t="s">
        <v>59</v>
      </c>
      <c r="CI37" t="s">
        <v>59</v>
      </c>
      <c r="CJ37" t="s">
        <v>59</v>
      </c>
      <c r="CK37" t="s">
        <v>59</v>
      </c>
      <c r="CL37" t="s">
        <v>59</v>
      </c>
      <c r="CM37" t="s">
        <v>59</v>
      </c>
      <c r="CN37" t="s">
        <v>59</v>
      </c>
      <c r="CO37" t="s">
        <v>191</v>
      </c>
      <c r="CP37" t="s">
        <v>191</v>
      </c>
      <c r="CQ37" t="s">
        <v>191</v>
      </c>
      <c r="CR37" t="s">
        <v>59</v>
      </c>
      <c r="CS37" t="s">
        <v>59</v>
      </c>
      <c r="CT37" t="s">
        <v>59</v>
      </c>
      <c r="CU37" t="s">
        <v>59</v>
      </c>
      <c r="CV37" t="s">
        <v>59</v>
      </c>
      <c r="CW37" t="s">
        <v>59</v>
      </c>
      <c r="CX37" t="s">
        <v>59</v>
      </c>
      <c r="CY37" t="s">
        <v>59</v>
      </c>
      <c r="CZ37" t="s">
        <v>59</v>
      </c>
      <c r="DA37" t="s">
        <v>59</v>
      </c>
      <c r="DB37" t="s">
        <v>59</v>
      </c>
      <c r="DC37" t="s">
        <v>59</v>
      </c>
      <c r="DD37" t="s">
        <v>59</v>
      </c>
      <c r="DE37" t="s">
        <v>59</v>
      </c>
      <c r="DF37" t="s">
        <v>59</v>
      </c>
      <c r="DG37" t="s">
        <v>59</v>
      </c>
      <c r="DH37" t="s">
        <v>59</v>
      </c>
      <c r="DI37" t="s">
        <v>59</v>
      </c>
      <c r="DJ37" t="s">
        <v>59</v>
      </c>
      <c r="DK37" t="s">
        <v>59</v>
      </c>
      <c r="DL37" t="s">
        <v>59</v>
      </c>
      <c r="DM37" t="s">
        <v>59</v>
      </c>
      <c r="DN37" t="s">
        <v>191</v>
      </c>
      <c r="DO37" t="s">
        <v>191</v>
      </c>
      <c r="DP37" t="s">
        <v>59</v>
      </c>
      <c r="DQ37" t="s">
        <v>191</v>
      </c>
      <c r="DR37" t="s">
        <v>191</v>
      </c>
      <c r="DS37" t="s">
        <v>191</v>
      </c>
      <c r="DT37" t="s">
        <v>191</v>
      </c>
      <c r="DU37" t="s">
        <v>191</v>
      </c>
      <c r="DV37" t="s">
        <v>191</v>
      </c>
      <c r="DW37" t="s">
        <v>191</v>
      </c>
      <c r="DX37" t="s">
        <v>191</v>
      </c>
      <c r="DY37" t="s">
        <v>191</v>
      </c>
      <c r="DZ37" t="s">
        <v>191</v>
      </c>
      <c r="EA37" t="s">
        <v>191</v>
      </c>
      <c r="EB37" t="s">
        <v>191</v>
      </c>
      <c r="EC37" t="s">
        <v>191</v>
      </c>
      <c r="ED37" t="s">
        <v>59</v>
      </c>
      <c r="EE37" t="s">
        <v>59</v>
      </c>
      <c r="EF37" t="s">
        <v>59</v>
      </c>
      <c r="EG37" t="s">
        <v>59</v>
      </c>
      <c r="EH37" t="s">
        <v>59</v>
      </c>
      <c r="EI37" t="s">
        <v>59</v>
      </c>
      <c r="EJ37" t="s">
        <v>59</v>
      </c>
      <c r="EK37" t="s">
        <v>59</v>
      </c>
      <c r="EL37" t="s">
        <v>191</v>
      </c>
      <c r="EM37" t="s">
        <v>59</v>
      </c>
      <c r="EN37" t="s">
        <v>59</v>
      </c>
      <c r="EO37" t="s">
        <v>59</v>
      </c>
      <c r="EP37" t="s">
        <v>59</v>
      </c>
      <c r="EQ37" t="s">
        <v>59</v>
      </c>
      <c r="ER37" t="s">
        <v>59</v>
      </c>
      <c r="ES37" t="s">
        <v>59</v>
      </c>
      <c r="ET37" t="s">
        <v>59</v>
      </c>
      <c r="EU37" t="s">
        <v>59</v>
      </c>
      <c r="EV37" t="s">
        <v>59</v>
      </c>
      <c r="EW37" t="s">
        <v>59</v>
      </c>
      <c r="EX37" t="s">
        <v>59</v>
      </c>
      <c r="EY37" t="s">
        <v>59</v>
      </c>
      <c r="EZ37" t="s">
        <v>59</v>
      </c>
      <c r="FA37" t="s">
        <v>59</v>
      </c>
      <c r="FB37" t="s">
        <v>191</v>
      </c>
      <c r="FC37" t="s">
        <v>191</v>
      </c>
      <c r="FD37" t="s">
        <v>191</v>
      </c>
      <c r="FE37" t="s">
        <v>191</v>
      </c>
      <c r="FF37" t="s">
        <v>191</v>
      </c>
      <c r="FG37" t="s">
        <v>191</v>
      </c>
      <c r="FH37" t="s">
        <v>59</v>
      </c>
      <c r="FI37" t="s">
        <v>59</v>
      </c>
      <c r="FJ37" t="s">
        <v>59</v>
      </c>
      <c r="FK37" t="s">
        <v>59</v>
      </c>
      <c r="FL37" t="s">
        <v>59</v>
      </c>
      <c r="FM37" t="s">
        <v>59</v>
      </c>
      <c r="FN37" t="s">
        <v>59</v>
      </c>
      <c r="FO37" t="s">
        <v>59</v>
      </c>
      <c r="FP37" t="s">
        <v>59</v>
      </c>
      <c r="FQ37" t="s">
        <v>59</v>
      </c>
      <c r="FR37" t="s">
        <v>59</v>
      </c>
      <c r="FS37" t="s">
        <v>191</v>
      </c>
      <c r="FT37" t="s">
        <v>59</v>
      </c>
      <c r="FU37" t="s">
        <v>59</v>
      </c>
      <c r="FV37" t="s">
        <v>59</v>
      </c>
      <c r="FW37" t="s">
        <v>59</v>
      </c>
      <c r="FX37" t="s">
        <v>59</v>
      </c>
      <c r="FY37" t="s">
        <v>59</v>
      </c>
      <c r="FZ37" t="s">
        <v>59</v>
      </c>
      <c r="GA37" t="s">
        <v>59</v>
      </c>
      <c r="GB37" t="s">
        <v>59</v>
      </c>
      <c r="GC37" t="s">
        <v>59</v>
      </c>
      <c r="GD37" t="s">
        <v>59</v>
      </c>
      <c r="GE37" t="s">
        <v>59</v>
      </c>
      <c r="GF37" t="s">
        <v>59</v>
      </c>
      <c r="GG37" t="s">
        <v>59</v>
      </c>
      <c r="GH37" t="s">
        <v>59</v>
      </c>
      <c r="GI37" t="s">
        <v>59</v>
      </c>
      <c r="GJ37" t="s">
        <v>59</v>
      </c>
      <c r="GK37" t="s">
        <v>191</v>
      </c>
      <c r="GL37" t="s">
        <v>59</v>
      </c>
      <c r="GM37" t="s">
        <v>59</v>
      </c>
      <c r="GN37" t="s">
        <v>59</v>
      </c>
      <c r="GO37" t="s">
        <v>59</v>
      </c>
      <c r="GP37" t="s">
        <v>59</v>
      </c>
      <c r="GQ37" t="s">
        <v>59</v>
      </c>
      <c r="GR37" t="s">
        <v>59</v>
      </c>
      <c r="GS37" t="s">
        <v>59</v>
      </c>
      <c r="GT37" t="s">
        <v>191</v>
      </c>
      <c r="GU37" t="s">
        <v>191</v>
      </c>
      <c r="GV37" t="s">
        <v>59</v>
      </c>
      <c r="GW37" t="s">
        <v>59</v>
      </c>
      <c r="GX37" t="s">
        <v>59</v>
      </c>
      <c r="GY37" t="s">
        <v>59</v>
      </c>
      <c r="GZ37" t="s">
        <v>59</v>
      </c>
      <c r="HA37" t="s">
        <v>191</v>
      </c>
      <c r="HB37" t="s">
        <v>191</v>
      </c>
      <c r="HC37" t="s">
        <v>59</v>
      </c>
      <c r="HD37" t="s">
        <v>59</v>
      </c>
      <c r="HE37" t="s">
        <v>59</v>
      </c>
      <c r="HF37" t="s">
        <v>191</v>
      </c>
      <c r="HG37" t="s">
        <v>59</v>
      </c>
      <c r="HH37" t="s">
        <v>59</v>
      </c>
      <c r="HI37" t="s">
        <v>59</v>
      </c>
      <c r="HJ37" t="s">
        <v>59</v>
      </c>
      <c r="HK37" t="s">
        <v>59</v>
      </c>
      <c r="HL37" t="s">
        <v>191</v>
      </c>
      <c r="HM37" t="s">
        <v>191</v>
      </c>
      <c r="HN37" t="s">
        <v>191</v>
      </c>
      <c r="HO37" t="s">
        <v>191</v>
      </c>
      <c r="HP37" t="s">
        <v>59</v>
      </c>
      <c r="HQ37" t="s">
        <v>59</v>
      </c>
      <c r="HR37" t="s">
        <v>59</v>
      </c>
      <c r="HS37" t="s">
        <v>59</v>
      </c>
      <c r="HT37" t="s">
        <v>59</v>
      </c>
      <c r="HU37" t="s">
        <v>59</v>
      </c>
      <c r="HV37" t="s">
        <v>59</v>
      </c>
      <c r="HW37" t="s">
        <v>59</v>
      </c>
      <c r="HX37" t="s">
        <v>59</v>
      </c>
      <c r="HY37" t="s">
        <v>59</v>
      </c>
      <c r="HZ37" t="s">
        <v>59</v>
      </c>
      <c r="IA37" t="s">
        <v>59</v>
      </c>
      <c r="IB37" t="s">
        <v>59</v>
      </c>
      <c r="IC37" t="s">
        <v>59</v>
      </c>
      <c r="ID37" t="s">
        <v>59</v>
      </c>
      <c r="IE37" t="s">
        <v>59</v>
      </c>
      <c r="IF37" t="s">
        <v>59</v>
      </c>
      <c r="IG37" t="s">
        <v>59</v>
      </c>
      <c r="IH37" t="s">
        <v>59</v>
      </c>
      <c r="II37" t="s">
        <v>59</v>
      </c>
      <c r="IJ37" t="s">
        <v>129</v>
      </c>
      <c r="IK37" t="s">
        <v>198</v>
      </c>
      <c r="IL37" t="s">
        <v>128</v>
      </c>
      <c r="IM37" t="s">
        <v>199</v>
      </c>
      <c r="IN37">
        <v>30</v>
      </c>
      <c r="IO37" t="s">
        <v>2730</v>
      </c>
      <c r="IP37">
        <v>2</v>
      </c>
      <c r="IQ37" t="s">
        <v>2730</v>
      </c>
      <c r="IR37">
        <v>15</v>
      </c>
      <c r="IS37" t="s">
        <v>2730</v>
      </c>
      <c r="IT37" t="s">
        <v>2730</v>
      </c>
      <c r="IU37" t="s">
        <v>2730</v>
      </c>
      <c r="IV37">
        <v>16</v>
      </c>
      <c r="IW37" t="s">
        <v>2730</v>
      </c>
      <c r="IX37">
        <v>3</v>
      </c>
      <c r="IY37" t="s">
        <v>2730</v>
      </c>
      <c r="IZ37">
        <v>37</v>
      </c>
      <c r="JA37" t="s">
        <v>2730</v>
      </c>
      <c r="JB37">
        <v>22</v>
      </c>
      <c r="JC37" t="s">
        <v>2730</v>
      </c>
      <c r="JD37">
        <v>24</v>
      </c>
      <c r="JE37" t="s">
        <v>2730</v>
      </c>
      <c r="JF37">
        <v>2</v>
      </c>
      <c r="JG37" t="s">
        <v>2730</v>
      </c>
      <c r="JH37">
        <v>21</v>
      </c>
      <c r="JI37" t="s">
        <v>2730</v>
      </c>
      <c r="JJ37">
        <v>9</v>
      </c>
      <c r="JK37" t="s">
        <v>2730</v>
      </c>
      <c r="JL37">
        <v>16</v>
      </c>
      <c r="JM37" t="s">
        <v>2730</v>
      </c>
      <c r="JN37" t="s">
        <v>2730</v>
      </c>
      <c r="JO37">
        <v>4</v>
      </c>
      <c r="JP37" t="s">
        <v>2730</v>
      </c>
      <c r="JQ37" t="s">
        <v>2730</v>
      </c>
    </row>
    <row r="38" spans="1:277">
      <c r="A38" s="149" t="str">
        <f>HYPERLINK("http://www.ofsted.gov.uk/inspection-reports/find-inspection-report/provider/ELS/135406 ","Ofsted School Webpage")</f>
        <v>Ofsted School Webpage</v>
      </c>
      <c r="B38">
        <v>1132857</v>
      </c>
      <c r="C38">
        <v>135406</v>
      </c>
      <c r="D38">
        <v>3306120</v>
      </c>
      <c r="E38" t="s">
        <v>1604</v>
      </c>
      <c r="F38" t="s">
        <v>37</v>
      </c>
      <c r="G38" t="s">
        <v>209</v>
      </c>
      <c r="H38" t="s">
        <v>193</v>
      </c>
      <c r="I38" t="s">
        <v>193</v>
      </c>
      <c r="J38" t="s">
        <v>210</v>
      </c>
      <c r="K38" t="s">
        <v>1605</v>
      </c>
      <c r="L38" t="s">
        <v>184</v>
      </c>
      <c r="M38" t="s">
        <v>185</v>
      </c>
      <c r="N38" t="s">
        <v>184</v>
      </c>
      <c r="O38" t="s">
        <v>2730</v>
      </c>
      <c r="P38" t="s">
        <v>186</v>
      </c>
      <c r="Q38">
        <v>10020748</v>
      </c>
      <c r="R38" s="120">
        <v>43025</v>
      </c>
      <c r="S38" s="120">
        <v>43027</v>
      </c>
      <c r="T38" s="120">
        <v>43070</v>
      </c>
      <c r="U38" t="s">
        <v>2730</v>
      </c>
      <c r="V38" t="s">
        <v>196</v>
      </c>
      <c r="W38" t="s">
        <v>2730</v>
      </c>
      <c r="X38" t="s">
        <v>197</v>
      </c>
      <c r="Y38">
        <v>4</v>
      </c>
      <c r="Z38">
        <v>4</v>
      </c>
      <c r="AA38">
        <v>4</v>
      </c>
      <c r="AB38">
        <v>4</v>
      </c>
      <c r="AC38">
        <v>3</v>
      </c>
      <c r="AD38" t="s">
        <v>2730</v>
      </c>
      <c r="AE38" t="s">
        <v>2730</v>
      </c>
      <c r="AF38" t="s">
        <v>129</v>
      </c>
      <c r="AG38" t="s">
        <v>2730</v>
      </c>
      <c r="AH38" t="s">
        <v>2733</v>
      </c>
      <c r="AI38" t="s">
        <v>60</v>
      </c>
      <c r="AJ38" t="s">
        <v>59</v>
      </c>
      <c r="AK38" t="s">
        <v>60</v>
      </c>
      <c r="AL38" t="s">
        <v>59</v>
      </c>
      <c r="AM38" t="s">
        <v>59</v>
      </c>
      <c r="AN38" t="s">
        <v>60</v>
      </c>
      <c r="AO38" t="s">
        <v>60</v>
      </c>
      <c r="AP38" t="s">
        <v>60</v>
      </c>
      <c r="AQ38" t="s">
        <v>60</v>
      </c>
      <c r="AR38" t="s">
        <v>60</v>
      </c>
      <c r="AS38" t="s">
        <v>60</v>
      </c>
      <c r="AT38" t="s">
        <v>60</v>
      </c>
      <c r="AU38" t="s">
        <v>59</v>
      </c>
      <c r="AV38" t="s">
        <v>60</v>
      </c>
      <c r="AW38" t="s">
        <v>60</v>
      </c>
      <c r="AX38" t="s">
        <v>59</v>
      </c>
      <c r="AY38" t="s">
        <v>191</v>
      </c>
      <c r="AZ38" t="s">
        <v>59</v>
      </c>
      <c r="BA38" t="s">
        <v>59</v>
      </c>
      <c r="BB38" t="s">
        <v>59</v>
      </c>
      <c r="BC38" t="s">
        <v>59</v>
      </c>
      <c r="BD38" t="s">
        <v>59</v>
      </c>
      <c r="BE38" t="s">
        <v>59</v>
      </c>
      <c r="BF38" t="s">
        <v>59</v>
      </c>
      <c r="BG38" t="s">
        <v>191</v>
      </c>
      <c r="BH38" t="s">
        <v>59</v>
      </c>
      <c r="BI38" t="s">
        <v>59</v>
      </c>
      <c r="BJ38" t="s">
        <v>59</v>
      </c>
      <c r="BK38" t="s">
        <v>60</v>
      </c>
      <c r="BL38" t="s">
        <v>60</v>
      </c>
      <c r="BM38" t="s">
        <v>59</v>
      </c>
      <c r="BN38" t="s">
        <v>60</v>
      </c>
      <c r="BO38" t="s">
        <v>60</v>
      </c>
      <c r="BP38" t="s">
        <v>60</v>
      </c>
      <c r="BQ38" t="s">
        <v>60</v>
      </c>
      <c r="BR38" t="s">
        <v>59</v>
      </c>
      <c r="BS38" t="s">
        <v>59</v>
      </c>
      <c r="BT38" t="s">
        <v>59</v>
      </c>
      <c r="BU38" t="s">
        <v>59</v>
      </c>
      <c r="BV38" t="s">
        <v>59</v>
      </c>
      <c r="BW38" t="s">
        <v>59</v>
      </c>
      <c r="BX38" t="s">
        <v>59</v>
      </c>
      <c r="BY38" t="s">
        <v>59</v>
      </c>
      <c r="BZ38" t="s">
        <v>59</v>
      </c>
      <c r="CA38" t="s">
        <v>59</v>
      </c>
      <c r="CB38" t="s">
        <v>59</v>
      </c>
      <c r="CC38" t="s">
        <v>59</v>
      </c>
      <c r="CD38" t="s">
        <v>59</v>
      </c>
      <c r="CE38" t="s">
        <v>59</v>
      </c>
      <c r="CF38" t="s">
        <v>59</v>
      </c>
      <c r="CG38" t="s">
        <v>59</v>
      </c>
      <c r="CH38" t="s">
        <v>59</v>
      </c>
      <c r="CI38" t="s">
        <v>59</v>
      </c>
      <c r="CJ38" t="s">
        <v>59</v>
      </c>
      <c r="CK38" t="s">
        <v>59</v>
      </c>
      <c r="CL38" t="s">
        <v>60</v>
      </c>
      <c r="CM38" t="s">
        <v>60</v>
      </c>
      <c r="CN38" t="s">
        <v>59</v>
      </c>
      <c r="CO38" t="s">
        <v>191</v>
      </c>
      <c r="CP38" t="s">
        <v>191</v>
      </c>
      <c r="CQ38" t="s">
        <v>191</v>
      </c>
      <c r="CR38" t="s">
        <v>59</v>
      </c>
      <c r="CS38" t="s">
        <v>59</v>
      </c>
      <c r="CT38" t="s">
        <v>59</v>
      </c>
      <c r="CU38" t="s">
        <v>59</v>
      </c>
      <c r="CV38" t="s">
        <v>59</v>
      </c>
      <c r="CW38" t="s">
        <v>60</v>
      </c>
      <c r="CX38" t="s">
        <v>60</v>
      </c>
      <c r="CY38" t="s">
        <v>59</v>
      </c>
      <c r="CZ38" t="s">
        <v>59</v>
      </c>
      <c r="DA38" t="s">
        <v>59</v>
      </c>
      <c r="DB38" t="s">
        <v>60</v>
      </c>
      <c r="DC38" t="s">
        <v>60</v>
      </c>
      <c r="DD38" t="s">
        <v>60</v>
      </c>
      <c r="DE38" t="s">
        <v>59</v>
      </c>
      <c r="DF38" t="s">
        <v>59</v>
      </c>
      <c r="DG38" t="s">
        <v>59</v>
      </c>
      <c r="DH38" t="s">
        <v>59</v>
      </c>
      <c r="DI38" t="s">
        <v>59</v>
      </c>
      <c r="DJ38" t="s">
        <v>59</v>
      </c>
      <c r="DK38" t="s">
        <v>59</v>
      </c>
      <c r="DL38" t="s">
        <v>59</v>
      </c>
      <c r="DM38" t="s">
        <v>59</v>
      </c>
      <c r="DN38" t="s">
        <v>59</v>
      </c>
      <c r="DO38" t="s">
        <v>191</v>
      </c>
      <c r="DP38" t="s">
        <v>59</v>
      </c>
      <c r="DQ38" t="s">
        <v>191</v>
      </c>
      <c r="DR38" t="s">
        <v>191</v>
      </c>
      <c r="DS38" t="s">
        <v>191</v>
      </c>
      <c r="DT38" t="s">
        <v>191</v>
      </c>
      <c r="DU38" t="s">
        <v>191</v>
      </c>
      <c r="DV38" t="s">
        <v>191</v>
      </c>
      <c r="DW38" t="s">
        <v>191</v>
      </c>
      <c r="DX38" t="s">
        <v>191</v>
      </c>
      <c r="DY38" t="s">
        <v>191</v>
      </c>
      <c r="DZ38" t="s">
        <v>191</v>
      </c>
      <c r="EA38" t="s">
        <v>191</v>
      </c>
      <c r="EB38" t="s">
        <v>191</v>
      </c>
      <c r="EC38" t="s">
        <v>191</v>
      </c>
      <c r="ED38" t="s">
        <v>59</v>
      </c>
      <c r="EE38" t="s">
        <v>59</v>
      </c>
      <c r="EF38" t="s">
        <v>59</v>
      </c>
      <c r="EG38" t="s">
        <v>59</v>
      </c>
      <c r="EH38" t="s">
        <v>59</v>
      </c>
      <c r="EI38" t="s">
        <v>59</v>
      </c>
      <c r="EJ38" t="s">
        <v>59</v>
      </c>
      <c r="EK38" t="s">
        <v>59</v>
      </c>
      <c r="EL38" t="s">
        <v>191</v>
      </c>
      <c r="EM38" t="s">
        <v>59</v>
      </c>
      <c r="EN38" t="s">
        <v>59</v>
      </c>
      <c r="EO38" t="s">
        <v>59</v>
      </c>
      <c r="EP38" t="s">
        <v>59</v>
      </c>
      <c r="EQ38" t="s">
        <v>59</v>
      </c>
      <c r="ER38" t="s">
        <v>59</v>
      </c>
      <c r="ES38" t="s">
        <v>59</v>
      </c>
      <c r="ET38" t="s">
        <v>59</v>
      </c>
      <c r="EU38" t="s">
        <v>59</v>
      </c>
      <c r="EV38" t="s">
        <v>59</v>
      </c>
      <c r="EW38" t="s">
        <v>59</v>
      </c>
      <c r="EX38" t="s">
        <v>59</v>
      </c>
      <c r="EY38" t="s">
        <v>59</v>
      </c>
      <c r="EZ38" t="s">
        <v>59</v>
      </c>
      <c r="FA38" t="s">
        <v>59</v>
      </c>
      <c r="FB38" t="s">
        <v>191</v>
      </c>
      <c r="FC38" t="s">
        <v>191</v>
      </c>
      <c r="FD38" t="s">
        <v>191</v>
      </c>
      <c r="FE38" t="s">
        <v>191</v>
      </c>
      <c r="FF38" t="s">
        <v>191</v>
      </c>
      <c r="FG38" t="s">
        <v>191</v>
      </c>
      <c r="FH38" t="s">
        <v>59</v>
      </c>
      <c r="FI38" t="s">
        <v>59</v>
      </c>
      <c r="FJ38" t="s">
        <v>59</v>
      </c>
      <c r="FK38" t="s">
        <v>59</v>
      </c>
      <c r="FL38" t="s">
        <v>59</v>
      </c>
      <c r="FM38" t="s">
        <v>59</v>
      </c>
      <c r="FN38" t="s">
        <v>59</v>
      </c>
      <c r="FO38" t="s">
        <v>60</v>
      </c>
      <c r="FP38" t="s">
        <v>59</v>
      </c>
      <c r="FQ38" t="s">
        <v>59</v>
      </c>
      <c r="FR38" t="s">
        <v>59</v>
      </c>
      <c r="FS38" t="s">
        <v>191</v>
      </c>
      <c r="FT38" t="s">
        <v>59</v>
      </c>
      <c r="FU38" t="s">
        <v>60</v>
      </c>
      <c r="FV38" t="s">
        <v>59</v>
      </c>
      <c r="FW38" t="s">
        <v>59</v>
      </c>
      <c r="FX38" t="s">
        <v>59</v>
      </c>
      <c r="FY38" t="s">
        <v>59</v>
      </c>
      <c r="FZ38" t="s">
        <v>59</v>
      </c>
      <c r="GA38" t="s">
        <v>59</v>
      </c>
      <c r="GB38" t="s">
        <v>59</v>
      </c>
      <c r="GC38" t="s">
        <v>59</v>
      </c>
      <c r="GD38" t="s">
        <v>59</v>
      </c>
      <c r="GE38" t="s">
        <v>59</v>
      </c>
      <c r="GF38" t="s">
        <v>59</v>
      </c>
      <c r="GG38" t="s">
        <v>59</v>
      </c>
      <c r="GH38" t="s">
        <v>60</v>
      </c>
      <c r="GI38" t="s">
        <v>60</v>
      </c>
      <c r="GJ38" t="s">
        <v>60</v>
      </c>
      <c r="GK38" t="s">
        <v>191</v>
      </c>
      <c r="GL38" t="s">
        <v>60</v>
      </c>
      <c r="GM38" t="s">
        <v>59</v>
      </c>
      <c r="GN38" t="s">
        <v>59</v>
      </c>
      <c r="GO38" t="s">
        <v>59</v>
      </c>
      <c r="GP38" t="s">
        <v>191</v>
      </c>
      <c r="GQ38" t="s">
        <v>191</v>
      </c>
      <c r="GR38" t="s">
        <v>59</v>
      </c>
      <c r="GS38" t="s">
        <v>59</v>
      </c>
      <c r="GT38" t="s">
        <v>59</v>
      </c>
      <c r="GU38" t="s">
        <v>59</v>
      </c>
      <c r="GV38" t="s">
        <v>59</v>
      </c>
      <c r="GW38" t="s">
        <v>59</v>
      </c>
      <c r="GX38" t="s">
        <v>59</v>
      </c>
      <c r="GY38" t="s">
        <v>59</v>
      </c>
      <c r="GZ38" t="s">
        <v>59</v>
      </c>
      <c r="HA38" t="s">
        <v>191</v>
      </c>
      <c r="HB38" t="s">
        <v>59</v>
      </c>
      <c r="HC38" t="s">
        <v>59</v>
      </c>
      <c r="HD38" t="s">
        <v>59</v>
      </c>
      <c r="HE38" t="s">
        <v>59</v>
      </c>
      <c r="HF38" t="s">
        <v>59</v>
      </c>
      <c r="HG38" t="s">
        <v>60</v>
      </c>
      <c r="HH38" t="s">
        <v>59</v>
      </c>
      <c r="HI38" t="s">
        <v>60</v>
      </c>
      <c r="HJ38" t="s">
        <v>60</v>
      </c>
      <c r="HK38" t="s">
        <v>191</v>
      </c>
      <c r="HL38" t="s">
        <v>59</v>
      </c>
      <c r="HM38" t="s">
        <v>191</v>
      </c>
      <c r="HN38" t="s">
        <v>191</v>
      </c>
      <c r="HO38" t="s">
        <v>191</v>
      </c>
      <c r="HP38" t="s">
        <v>60</v>
      </c>
      <c r="HQ38" t="s">
        <v>59</v>
      </c>
      <c r="HR38" t="s">
        <v>59</v>
      </c>
      <c r="HS38" t="s">
        <v>59</v>
      </c>
      <c r="HT38" t="s">
        <v>59</v>
      </c>
      <c r="HU38" t="s">
        <v>59</v>
      </c>
      <c r="HV38" t="s">
        <v>59</v>
      </c>
      <c r="HW38" t="s">
        <v>59</v>
      </c>
      <c r="HX38" t="s">
        <v>59</v>
      </c>
      <c r="HY38" t="s">
        <v>59</v>
      </c>
      <c r="HZ38" t="s">
        <v>59</v>
      </c>
      <c r="IA38" t="s">
        <v>60</v>
      </c>
      <c r="IB38" t="s">
        <v>60</v>
      </c>
      <c r="IC38" t="s">
        <v>59</v>
      </c>
      <c r="ID38" t="s">
        <v>60</v>
      </c>
      <c r="IE38" t="s">
        <v>60</v>
      </c>
      <c r="IF38" t="s">
        <v>60</v>
      </c>
      <c r="IG38" t="s">
        <v>60</v>
      </c>
      <c r="IH38" t="s">
        <v>60</v>
      </c>
      <c r="II38" t="s">
        <v>60</v>
      </c>
      <c r="IJ38" t="s">
        <v>129</v>
      </c>
      <c r="IK38" t="s">
        <v>198</v>
      </c>
      <c r="IL38" t="s">
        <v>128</v>
      </c>
      <c r="IM38" t="s">
        <v>407</v>
      </c>
      <c r="IN38">
        <v>18</v>
      </c>
      <c r="IO38" t="s">
        <v>2730</v>
      </c>
      <c r="IP38">
        <v>2</v>
      </c>
      <c r="IQ38">
        <v>12</v>
      </c>
      <c r="IR38">
        <v>15</v>
      </c>
      <c r="IS38" t="s">
        <v>2730</v>
      </c>
      <c r="IT38" t="s">
        <v>2730</v>
      </c>
      <c r="IU38" t="s">
        <v>2730</v>
      </c>
      <c r="IV38">
        <v>9</v>
      </c>
      <c r="IW38" t="s">
        <v>2730</v>
      </c>
      <c r="IX38">
        <v>3</v>
      </c>
      <c r="IY38">
        <v>7</v>
      </c>
      <c r="IZ38">
        <v>38</v>
      </c>
      <c r="JA38" t="s">
        <v>2730</v>
      </c>
      <c r="JB38">
        <v>21</v>
      </c>
      <c r="JC38" t="s">
        <v>2730</v>
      </c>
      <c r="JD38">
        <v>19</v>
      </c>
      <c r="JE38" t="s">
        <v>2730</v>
      </c>
      <c r="JF38">
        <v>2</v>
      </c>
      <c r="JG38">
        <v>5</v>
      </c>
      <c r="JH38">
        <v>19</v>
      </c>
      <c r="JI38" t="s">
        <v>2730</v>
      </c>
      <c r="JJ38">
        <v>7</v>
      </c>
      <c r="JK38">
        <v>4</v>
      </c>
      <c r="JL38">
        <v>11</v>
      </c>
      <c r="JM38" t="s">
        <v>2730</v>
      </c>
      <c r="JN38">
        <v>5</v>
      </c>
      <c r="JO38" t="s">
        <v>2730</v>
      </c>
      <c r="JP38" t="s">
        <v>2730</v>
      </c>
      <c r="JQ38">
        <v>4</v>
      </c>
    </row>
    <row r="39" spans="1:277">
      <c r="A39" s="149" t="str">
        <f>HYPERLINK("http://www.ofsted.gov.uk/inspection-reports/find-inspection-report/provider/ELS/115802 ","Ofsted School Webpage")</f>
        <v>Ofsted School Webpage</v>
      </c>
      <c r="B39">
        <v>1132087</v>
      </c>
      <c r="C39">
        <v>115802</v>
      </c>
      <c r="D39">
        <v>9166040</v>
      </c>
      <c r="E39" t="s">
        <v>264</v>
      </c>
      <c r="F39" t="s">
        <v>38</v>
      </c>
      <c r="G39" t="s">
        <v>180</v>
      </c>
      <c r="H39" t="s">
        <v>225</v>
      </c>
      <c r="I39" t="s">
        <v>225</v>
      </c>
      <c r="J39" t="s">
        <v>265</v>
      </c>
      <c r="K39" t="s">
        <v>266</v>
      </c>
      <c r="L39" t="s">
        <v>184</v>
      </c>
      <c r="M39" t="s">
        <v>185</v>
      </c>
      <c r="N39" t="s">
        <v>212</v>
      </c>
      <c r="O39" t="s">
        <v>2730</v>
      </c>
      <c r="P39" t="s">
        <v>186</v>
      </c>
      <c r="Q39">
        <v>10035561</v>
      </c>
      <c r="R39" s="120">
        <v>43004</v>
      </c>
      <c r="S39" s="120">
        <v>43006</v>
      </c>
      <c r="T39" s="120">
        <v>43045</v>
      </c>
      <c r="U39" t="s">
        <v>2730</v>
      </c>
      <c r="V39" t="s">
        <v>267</v>
      </c>
      <c r="W39" t="s">
        <v>2730</v>
      </c>
      <c r="X39" t="s">
        <v>197</v>
      </c>
      <c r="Y39">
        <v>2</v>
      </c>
      <c r="Z39">
        <v>2</v>
      </c>
      <c r="AA39">
        <v>2</v>
      </c>
      <c r="AB39">
        <v>2</v>
      </c>
      <c r="AC39">
        <v>2</v>
      </c>
      <c r="AD39" t="s">
        <v>2730</v>
      </c>
      <c r="AE39">
        <v>2</v>
      </c>
      <c r="AF39" t="s">
        <v>128</v>
      </c>
      <c r="AG39" t="s">
        <v>2730</v>
      </c>
      <c r="AH39" t="s">
        <v>2732</v>
      </c>
      <c r="AI39" t="s">
        <v>59</v>
      </c>
      <c r="AJ39" t="s">
        <v>59</v>
      </c>
      <c r="AK39" t="s">
        <v>59</v>
      </c>
      <c r="AL39" t="s">
        <v>59</v>
      </c>
      <c r="AM39" t="s">
        <v>59</v>
      </c>
      <c r="AN39" t="s">
        <v>59</v>
      </c>
      <c r="AO39" t="s">
        <v>59</v>
      </c>
      <c r="AP39" t="s">
        <v>59</v>
      </c>
      <c r="AQ39" t="s">
        <v>59</v>
      </c>
      <c r="AR39" t="s">
        <v>59</v>
      </c>
      <c r="AS39" t="s">
        <v>59</v>
      </c>
      <c r="AT39" t="s">
        <v>59</v>
      </c>
      <c r="AU39" t="s">
        <v>59</v>
      </c>
      <c r="AV39" t="s">
        <v>59</v>
      </c>
      <c r="AW39" t="s">
        <v>59</v>
      </c>
      <c r="AX39" t="s">
        <v>59</v>
      </c>
      <c r="AY39" t="s">
        <v>218</v>
      </c>
      <c r="AZ39" t="s">
        <v>59</v>
      </c>
      <c r="BA39" t="s">
        <v>59</v>
      </c>
      <c r="BB39" t="s">
        <v>59</v>
      </c>
      <c r="BC39" t="s">
        <v>59</v>
      </c>
      <c r="BD39" t="s">
        <v>59</v>
      </c>
      <c r="BE39" t="s">
        <v>59</v>
      </c>
      <c r="BF39" t="s">
        <v>59</v>
      </c>
      <c r="BG39" t="s">
        <v>218</v>
      </c>
      <c r="BH39" t="s">
        <v>59</v>
      </c>
      <c r="BI39" t="s">
        <v>59</v>
      </c>
      <c r="BJ39" t="s">
        <v>59</v>
      </c>
      <c r="BK39" t="s">
        <v>59</v>
      </c>
      <c r="BL39" t="s">
        <v>59</v>
      </c>
      <c r="BM39" t="s">
        <v>59</v>
      </c>
      <c r="BN39" t="s">
        <v>59</v>
      </c>
      <c r="BO39" t="s">
        <v>59</v>
      </c>
      <c r="BP39" t="s">
        <v>59</v>
      </c>
      <c r="BQ39" t="s">
        <v>59</v>
      </c>
      <c r="BR39" t="s">
        <v>59</v>
      </c>
      <c r="BS39" t="s">
        <v>59</v>
      </c>
      <c r="BT39" t="s">
        <v>59</v>
      </c>
      <c r="BU39" t="s">
        <v>59</v>
      </c>
      <c r="BV39" t="s">
        <v>59</v>
      </c>
      <c r="BW39" t="s">
        <v>59</v>
      </c>
      <c r="BX39" t="s">
        <v>59</v>
      </c>
      <c r="BY39" t="s">
        <v>59</v>
      </c>
      <c r="BZ39" t="s">
        <v>59</v>
      </c>
      <c r="CA39" t="s">
        <v>59</v>
      </c>
      <c r="CB39" t="s">
        <v>59</v>
      </c>
      <c r="CC39" t="s">
        <v>59</v>
      </c>
      <c r="CD39" t="s">
        <v>59</v>
      </c>
      <c r="CE39" t="s">
        <v>59</v>
      </c>
      <c r="CF39" t="s">
        <v>59</v>
      </c>
      <c r="CG39" t="s">
        <v>59</v>
      </c>
      <c r="CH39" t="s">
        <v>59</v>
      </c>
      <c r="CI39" t="s">
        <v>59</v>
      </c>
      <c r="CJ39" t="s">
        <v>59</v>
      </c>
      <c r="CK39" t="s">
        <v>59</v>
      </c>
      <c r="CL39" t="s">
        <v>59</v>
      </c>
      <c r="CM39" t="s">
        <v>59</v>
      </c>
      <c r="CN39" t="s">
        <v>59</v>
      </c>
      <c r="CO39" t="s">
        <v>218</v>
      </c>
      <c r="CP39" t="s">
        <v>218</v>
      </c>
      <c r="CQ39" t="s">
        <v>218</v>
      </c>
      <c r="CR39" t="s">
        <v>59</v>
      </c>
      <c r="CS39" t="s">
        <v>59</v>
      </c>
      <c r="CT39" t="s">
        <v>59</v>
      </c>
      <c r="CU39" t="s">
        <v>59</v>
      </c>
      <c r="CV39" t="s">
        <v>59</v>
      </c>
      <c r="CW39" t="s">
        <v>59</v>
      </c>
      <c r="CX39" t="s">
        <v>59</v>
      </c>
      <c r="CY39" t="s">
        <v>59</v>
      </c>
      <c r="CZ39" t="s">
        <v>59</v>
      </c>
      <c r="DA39" t="s">
        <v>59</v>
      </c>
      <c r="DB39" t="s">
        <v>59</v>
      </c>
      <c r="DC39" t="s">
        <v>59</v>
      </c>
      <c r="DD39" t="s">
        <v>59</v>
      </c>
      <c r="DE39" t="s">
        <v>59</v>
      </c>
      <c r="DF39" t="s">
        <v>59</v>
      </c>
      <c r="DG39" t="s">
        <v>59</v>
      </c>
      <c r="DH39" t="s">
        <v>59</v>
      </c>
      <c r="DI39" t="s">
        <v>59</v>
      </c>
      <c r="DJ39" t="s">
        <v>59</v>
      </c>
      <c r="DK39" t="s">
        <v>59</v>
      </c>
      <c r="DL39" t="s">
        <v>59</v>
      </c>
      <c r="DM39" t="s">
        <v>59</v>
      </c>
      <c r="DN39" t="s">
        <v>59</v>
      </c>
      <c r="DO39" t="s">
        <v>218</v>
      </c>
      <c r="DP39" t="s">
        <v>218</v>
      </c>
      <c r="DQ39" t="s">
        <v>59</v>
      </c>
      <c r="DR39" t="s">
        <v>59</v>
      </c>
      <c r="DS39" t="s">
        <v>59</v>
      </c>
      <c r="DT39" t="s">
        <v>59</v>
      </c>
      <c r="DU39" t="s">
        <v>59</v>
      </c>
      <c r="DV39" t="s">
        <v>59</v>
      </c>
      <c r="DW39" t="s">
        <v>59</v>
      </c>
      <c r="DX39" t="s">
        <v>218</v>
      </c>
      <c r="DY39" t="s">
        <v>218</v>
      </c>
      <c r="DZ39" t="s">
        <v>218</v>
      </c>
      <c r="EA39" t="s">
        <v>218</v>
      </c>
      <c r="EB39" t="s">
        <v>218</v>
      </c>
      <c r="EC39" t="s">
        <v>218</v>
      </c>
      <c r="ED39" t="s">
        <v>218</v>
      </c>
      <c r="EE39" t="s">
        <v>59</v>
      </c>
      <c r="EF39" t="s">
        <v>59</v>
      </c>
      <c r="EG39" t="s">
        <v>59</v>
      </c>
      <c r="EH39" t="s">
        <v>59</v>
      </c>
      <c r="EI39" t="s">
        <v>59</v>
      </c>
      <c r="EJ39" t="s">
        <v>59</v>
      </c>
      <c r="EK39" t="s">
        <v>59</v>
      </c>
      <c r="EL39" t="s">
        <v>59</v>
      </c>
      <c r="EM39" t="s">
        <v>59</v>
      </c>
      <c r="EN39" t="s">
        <v>59</v>
      </c>
      <c r="EO39" t="s">
        <v>59</v>
      </c>
      <c r="EP39" t="s">
        <v>59</v>
      </c>
      <c r="EQ39" t="s">
        <v>59</v>
      </c>
      <c r="ER39" t="s">
        <v>59</v>
      </c>
      <c r="ES39" t="s">
        <v>59</v>
      </c>
      <c r="ET39" t="s">
        <v>59</v>
      </c>
      <c r="EU39" t="s">
        <v>59</v>
      </c>
      <c r="EV39" t="s">
        <v>59</v>
      </c>
      <c r="EW39" t="s">
        <v>59</v>
      </c>
      <c r="EX39" t="s">
        <v>59</v>
      </c>
      <c r="EY39" t="s">
        <v>59</v>
      </c>
      <c r="EZ39" t="s">
        <v>59</v>
      </c>
      <c r="FA39" t="s">
        <v>59</v>
      </c>
      <c r="FB39" t="s">
        <v>218</v>
      </c>
      <c r="FC39" t="s">
        <v>218</v>
      </c>
      <c r="FD39" t="s">
        <v>218</v>
      </c>
      <c r="FE39" t="s">
        <v>218</v>
      </c>
      <c r="FF39" t="s">
        <v>218</v>
      </c>
      <c r="FG39" t="s">
        <v>218</v>
      </c>
      <c r="FH39" t="s">
        <v>218</v>
      </c>
      <c r="FI39" t="s">
        <v>59</v>
      </c>
      <c r="FJ39" t="s">
        <v>59</v>
      </c>
      <c r="FK39" t="s">
        <v>59</v>
      </c>
      <c r="FL39" t="s">
        <v>59</v>
      </c>
      <c r="FM39" t="s">
        <v>59</v>
      </c>
      <c r="FN39" t="s">
        <v>59</v>
      </c>
      <c r="FO39" t="s">
        <v>59</v>
      </c>
      <c r="FP39" t="s">
        <v>59</v>
      </c>
      <c r="FQ39" t="s">
        <v>59</v>
      </c>
      <c r="FR39" t="s">
        <v>59</v>
      </c>
      <c r="FS39" t="s">
        <v>59</v>
      </c>
      <c r="FT39" t="s">
        <v>59</v>
      </c>
      <c r="FU39" t="s">
        <v>59</v>
      </c>
      <c r="FV39" t="s">
        <v>59</v>
      </c>
      <c r="FW39" t="s">
        <v>59</v>
      </c>
      <c r="FX39" t="s">
        <v>59</v>
      </c>
      <c r="FY39" t="s">
        <v>59</v>
      </c>
      <c r="FZ39" t="s">
        <v>59</v>
      </c>
      <c r="GA39" t="s">
        <v>59</v>
      </c>
      <c r="GB39" t="s">
        <v>59</v>
      </c>
      <c r="GC39" t="s">
        <v>59</v>
      </c>
      <c r="GD39" t="s">
        <v>59</v>
      </c>
      <c r="GE39" t="s">
        <v>59</v>
      </c>
      <c r="GF39" t="s">
        <v>59</v>
      </c>
      <c r="GG39" t="s">
        <v>59</v>
      </c>
      <c r="GH39" t="s">
        <v>59</v>
      </c>
      <c r="GI39" t="s">
        <v>59</v>
      </c>
      <c r="GJ39" t="s">
        <v>59</v>
      </c>
      <c r="GK39" t="s">
        <v>59</v>
      </c>
      <c r="GL39" t="s">
        <v>59</v>
      </c>
      <c r="GM39" t="s">
        <v>59</v>
      </c>
      <c r="GN39" t="s">
        <v>59</v>
      </c>
      <c r="GO39" t="s">
        <v>59</v>
      </c>
      <c r="GP39" t="s">
        <v>59</v>
      </c>
      <c r="GQ39" t="s">
        <v>59</v>
      </c>
      <c r="GR39" t="s">
        <v>59</v>
      </c>
      <c r="GS39" t="s">
        <v>59</v>
      </c>
      <c r="GT39" t="s">
        <v>59</v>
      </c>
      <c r="GU39" t="s">
        <v>59</v>
      </c>
      <c r="GV39" t="s">
        <v>59</v>
      </c>
      <c r="GW39" t="s">
        <v>59</v>
      </c>
      <c r="GX39" t="s">
        <v>59</v>
      </c>
      <c r="GY39" t="s">
        <v>59</v>
      </c>
      <c r="GZ39" t="s">
        <v>59</v>
      </c>
      <c r="HA39" t="s">
        <v>59</v>
      </c>
      <c r="HB39" t="s">
        <v>59</v>
      </c>
      <c r="HC39" t="s">
        <v>59</v>
      </c>
      <c r="HD39" t="s">
        <v>59</v>
      </c>
      <c r="HE39" t="s">
        <v>59</v>
      </c>
      <c r="HF39" t="s">
        <v>59</v>
      </c>
      <c r="HG39" t="s">
        <v>59</v>
      </c>
      <c r="HH39" t="s">
        <v>59</v>
      </c>
      <c r="HI39" t="s">
        <v>59</v>
      </c>
      <c r="HJ39" t="s">
        <v>59</v>
      </c>
      <c r="HK39" t="s">
        <v>59</v>
      </c>
      <c r="HL39" t="s">
        <v>59</v>
      </c>
      <c r="HM39" t="s">
        <v>218</v>
      </c>
      <c r="HN39" t="s">
        <v>218</v>
      </c>
      <c r="HO39" t="s">
        <v>218</v>
      </c>
      <c r="HP39" t="s">
        <v>59</v>
      </c>
      <c r="HQ39" t="s">
        <v>59</v>
      </c>
      <c r="HR39" t="s">
        <v>59</v>
      </c>
      <c r="HS39" t="s">
        <v>59</v>
      </c>
      <c r="HT39" t="s">
        <v>59</v>
      </c>
      <c r="HU39" t="s">
        <v>59</v>
      </c>
      <c r="HV39" t="s">
        <v>59</v>
      </c>
      <c r="HW39" t="s">
        <v>59</v>
      </c>
      <c r="HX39" t="s">
        <v>59</v>
      </c>
      <c r="HY39" t="s">
        <v>59</v>
      </c>
      <c r="HZ39" t="s">
        <v>59</v>
      </c>
      <c r="IA39" t="s">
        <v>59</v>
      </c>
      <c r="IB39" t="s">
        <v>59</v>
      </c>
      <c r="IC39" t="s">
        <v>59</v>
      </c>
      <c r="ID39" t="s">
        <v>59</v>
      </c>
      <c r="IE39" t="s">
        <v>59</v>
      </c>
      <c r="IF39" t="s">
        <v>59</v>
      </c>
      <c r="IG39" t="s">
        <v>59</v>
      </c>
      <c r="IH39" t="s">
        <v>59</v>
      </c>
      <c r="II39" t="s">
        <v>59</v>
      </c>
      <c r="IJ39" t="s">
        <v>128</v>
      </c>
      <c r="IK39" t="s">
        <v>128</v>
      </c>
      <c r="IL39" t="s">
        <v>128</v>
      </c>
      <c r="IM39" t="s">
        <v>199</v>
      </c>
      <c r="IN39">
        <v>30</v>
      </c>
      <c r="IO39" t="s">
        <v>2730</v>
      </c>
      <c r="IP39" t="s">
        <v>2730</v>
      </c>
      <c r="IQ39" t="s">
        <v>2730</v>
      </c>
      <c r="IR39">
        <v>15</v>
      </c>
      <c r="IS39" t="s">
        <v>2730</v>
      </c>
      <c r="IT39" t="s">
        <v>2730</v>
      </c>
      <c r="IU39" t="s">
        <v>2730</v>
      </c>
      <c r="IV39">
        <v>16</v>
      </c>
      <c r="IW39" t="s">
        <v>2730</v>
      </c>
      <c r="IX39" t="s">
        <v>2730</v>
      </c>
      <c r="IY39" t="s">
        <v>2730</v>
      </c>
      <c r="IZ39">
        <v>43</v>
      </c>
      <c r="JA39" t="s">
        <v>2730</v>
      </c>
      <c r="JB39" t="s">
        <v>2730</v>
      </c>
      <c r="JC39" t="s">
        <v>2730</v>
      </c>
      <c r="JD39">
        <v>26</v>
      </c>
      <c r="JE39" t="s">
        <v>2730</v>
      </c>
      <c r="JF39" t="s">
        <v>2730</v>
      </c>
      <c r="JG39" t="s">
        <v>2730</v>
      </c>
      <c r="JH39">
        <v>27</v>
      </c>
      <c r="JI39" t="s">
        <v>2730</v>
      </c>
      <c r="JJ39" t="s">
        <v>2730</v>
      </c>
      <c r="JK39" t="s">
        <v>2730</v>
      </c>
      <c r="JL39">
        <v>16</v>
      </c>
      <c r="JM39" t="s">
        <v>2730</v>
      </c>
      <c r="JN39" t="s">
        <v>2730</v>
      </c>
      <c r="JO39">
        <v>4</v>
      </c>
      <c r="JP39" t="s">
        <v>2730</v>
      </c>
      <c r="JQ39" t="s">
        <v>2730</v>
      </c>
    </row>
    <row r="40" spans="1:277">
      <c r="A40" s="149" t="str">
        <f>HYPERLINK("http://www.ofsted.gov.uk/inspection-reports/find-inspection-report/provider/ELS/131563 ","Ofsted School Webpage")</f>
        <v>Ofsted School Webpage</v>
      </c>
      <c r="B40">
        <v>1132632</v>
      </c>
      <c r="C40">
        <v>131563</v>
      </c>
      <c r="D40">
        <v>8886093</v>
      </c>
      <c r="E40" t="s">
        <v>461</v>
      </c>
      <c r="F40" t="s">
        <v>38</v>
      </c>
      <c r="G40" t="s">
        <v>180</v>
      </c>
      <c r="H40" t="s">
        <v>205</v>
      </c>
      <c r="I40" t="s">
        <v>205</v>
      </c>
      <c r="J40" t="s">
        <v>206</v>
      </c>
      <c r="K40" t="s">
        <v>462</v>
      </c>
      <c r="L40" t="s">
        <v>184</v>
      </c>
      <c r="M40" t="s">
        <v>185</v>
      </c>
      <c r="N40" t="s">
        <v>184</v>
      </c>
      <c r="O40" t="s">
        <v>2730</v>
      </c>
      <c r="P40" t="s">
        <v>186</v>
      </c>
      <c r="Q40">
        <v>10020824</v>
      </c>
      <c r="R40" s="120">
        <v>43025</v>
      </c>
      <c r="S40" s="120">
        <v>43027</v>
      </c>
      <c r="T40" s="120">
        <v>43048</v>
      </c>
      <c r="U40" t="s">
        <v>2730</v>
      </c>
      <c r="V40" t="s">
        <v>196</v>
      </c>
      <c r="W40" t="s">
        <v>2730</v>
      </c>
      <c r="X40" t="s">
        <v>197</v>
      </c>
      <c r="Y40">
        <v>2</v>
      </c>
      <c r="Z40">
        <v>2</v>
      </c>
      <c r="AA40">
        <v>2</v>
      </c>
      <c r="AB40">
        <v>2</v>
      </c>
      <c r="AC40">
        <v>2</v>
      </c>
      <c r="AD40" t="s">
        <v>2730</v>
      </c>
      <c r="AE40" t="s">
        <v>2730</v>
      </c>
      <c r="AF40" t="s">
        <v>128</v>
      </c>
      <c r="AG40" t="s">
        <v>2730</v>
      </c>
      <c r="AH40" t="s">
        <v>2732</v>
      </c>
      <c r="AI40" t="s">
        <v>59</v>
      </c>
      <c r="AJ40" t="s">
        <v>59</v>
      </c>
      <c r="AK40" t="s">
        <v>59</v>
      </c>
      <c r="AL40" t="s">
        <v>59</v>
      </c>
      <c r="AM40" t="s">
        <v>59</v>
      </c>
      <c r="AN40" t="s">
        <v>59</v>
      </c>
      <c r="AO40" t="s">
        <v>59</v>
      </c>
      <c r="AP40" t="s">
        <v>59</v>
      </c>
      <c r="AQ40" t="s">
        <v>59</v>
      </c>
      <c r="AR40" t="s">
        <v>59</v>
      </c>
      <c r="AS40" t="s">
        <v>59</v>
      </c>
      <c r="AT40" t="s">
        <v>59</v>
      </c>
      <c r="AU40" t="s">
        <v>59</v>
      </c>
      <c r="AV40" t="s">
        <v>59</v>
      </c>
      <c r="AW40" t="s">
        <v>59</v>
      </c>
      <c r="AX40" t="s">
        <v>59</v>
      </c>
      <c r="AY40" t="s">
        <v>191</v>
      </c>
      <c r="AZ40" t="s">
        <v>59</v>
      </c>
      <c r="BA40" t="s">
        <v>59</v>
      </c>
      <c r="BB40" t="s">
        <v>59</v>
      </c>
      <c r="BC40" t="s">
        <v>59</v>
      </c>
      <c r="BD40" t="s">
        <v>59</v>
      </c>
      <c r="BE40" t="s">
        <v>59</v>
      </c>
      <c r="BF40" t="s">
        <v>59</v>
      </c>
      <c r="BG40" t="s">
        <v>191</v>
      </c>
      <c r="BH40" t="s">
        <v>191</v>
      </c>
      <c r="BI40" t="s">
        <v>59</v>
      </c>
      <c r="BJ40" t="s">
        <v>59</v>
      </c>
      <c r="BK40" t="s">
        <v>59</v>
      </c>
      <c r="BL40" t="s">
        <v>59</v>
      </c>
      <c r="BM40" t="s">
        <v>59</v>
      </c>
      <c r="BN40" t="s">
        <v>59</v>
      </c>
      <c r="BO40" t="s">
        <v>59</v>
      </c>
      <c r="BP40" t="s">
        <v>59</v>
      </c>
      <c r="BQ40" t="s">
        <v>59</v>
      </c>
      <c r="BR40" t="s">
        <v>59</v>
      </c>
      <c r="BS40" t="s">
        <v>59</v>
      </c>
      <c r="BT40" t="s">
        <v>59</v>
      </c>
      <c r="BU40" t="s">
        <v>59</v>
      </c>
      <c r="BV40" t="s">
        <v>59</v>
      </c>
      <c r="BW40" t="s">
        <v>59</v>
      </c>
      <c r="BX40" t="s">
        <v>59</v>
      </c>
      <c r="BY40" t="s">
        <v>59</v>
      </c>
      <c r="BZ40" t="s">
        <v>59</v>
      </c>
      <c r="CA40" t="s">
        <v>59</v>
      </c>
      <c r="CB40" t="s">
        <v>59</v>
      </c>
      <c r="CC40" t="s">
        <v>59</v>
      </c>
      <c r="CD40" t="s">
        <v>59</v>
      </c>
      <c r="CE40" t="s">
        <v>59</v>
      </c>
      <c r="CF40" t="s">
        <v>59</v>
      </c>
      <c r="CG40" t="s">
        <v>59</v>
      </c>
      <c r="CH40" t="s">
        <v>59</v>
      </c>
      <c r="CI40" t="s">
        <v>59</v>
      </c>
      <c r="CJ40" t="s">
        <v>59</v>
      </c>
      <c r="CK40" t="s">
        <v>59</v>
      </c>
      <c r="CL40" t="s">
        <v>59</v>
      </c>
      <c r="CM40" t="s">
        <v>59</v>
      </c>
      <c r="CN40" t="s">
        <v>59</v>
      </c>
      <c r="CO40" t="s">
        <v>191</v>
      </c>
      <c r="CP40" t="s">
        <v>191</v>
      </c>
      <c r="CQ40" t="s">
        <v>191</v>
      </c>
      <c r="CR40" t="s">
        <v>59</v>
      </c>
      <c r="CS40" t="s">
        <v>59</v>
      </c>
      <c r="CT40" t="s">
        <v>59</v>
      </c>
      <c r="CU40" t="s">
        <v>59</v>
      </c>
      <c r="CV40" t="s">
        <v>59</v>
      </c>
      <c r="CW40" t="s">
        <v>59</v>
      </c>
      <c r="CX40" t="s">
        <v>59</v>
      </c>
      <c r="CY40" t="s">
        <v>59</v>
      </c>
      <c r="CZ40" t="s">
        <v>59</v>
      </c>
      <c r="DA40" t="s">
        <v>59</v>
      </c>
      <c r="DB40" t="s">
        <v>59</v>
      </c>
      <c r="DC40" t="s">
        <v>59</v>
      </c>
      <c r="DD40" t="s">
        <v>59</v>
      </c>
      <c r="DE40" t="s">
        <v>59</v>
      </c>
      <c r="DF40" t="s">
        <v>59</v>
      </c>
      <c r="DG40" t="s">
        <v>59</v>
      </c>
      <c r="DH40" t="s">
        <v>59</v>
      </c>
      <c r="DI40" t="s">
        <v>59</v>
      </c>
      <c r="DJ40" t="s">
        <v>59</v>
      </c>
      <c r="DK40" t="s">
        <v>59</v>
      </c>
      <c r="DL40" t="s">
        <v>59</v>
      </c>
      <c r="DM40" t="s">
        <v>59</v>
      </c>
      <c r="DN40" t="s">
        <v>59</v>
      </c>
      <c r="DO40" t="s">
        <v>191</v>
      </c>
      <c r="DP40" t="s">
        <v>59</v>
      </c>
      <c r="DQ40" t="s">
        <v>191</v>
      </c>
      <c r="DR40" t="s">
        <v>191</v>
      </c>
      <c r="DS40" t="s">
        <v>191</v>
      </c>
      <c r="DT40" t="s">
        <v>191</v>
      </c>
      <c r="DU40" t="s">
        <v>191</v>
      </c>
      <c r="DV40" t="s">
        <v>191</v>
      </c>
      <c r="DW40" t="s">
        <v>191</v>
      </c>
      <c r="DX40" t="s">
        <v>191</v>
      </c>
      <c r="DY40" t="s">
        <v>191</v>
      </c>
      <c r="DZ40" t="s">
        <v>191</v>
      </c>
      <c r="EA40" t="s">
        <v>191</v>
      </c>
      <c r="EB40" t="s">
        <v>191</v>
      </c>
      <c r="EC40" t="s">
        <v>191</v>
      </c>
      <c r="ED40" t="s">
        <v>191</v>
      </c>
      <c r="EE40" t="s">
        <v>59</v>
      </c>
      <c r="EF40" t="s">
        <v>59</v>
      </c>
      <c r="EG40" t="s">
        <v>59</v>
      </c>
      <c r="EH40" t="s">
        <v>59</v>
      </c>
      <c r="EI40" t="s">
        <v>59</v>
      </c>
      <c r="EJ40" t="s">
        <v>59</v>
      </c>
      <c r="EK40" t="s">
        <v>59</v>
      </c>
      <c r="EL40" t="s">
        <v>59</v>
      </c>
      <c r="EM40" t="s">
        <v>59</v>
      </c>
      <c r="EN40" t="s">
        <v>59</v>
      </c>
      <c r="EO40" t="s">
        <v>59</v>
      </c>
      <c r="EP40" t="s">
        <v>59</v>
      </c>
      <c r="EQ40" t="s">
        <v>59</v>
      </c>
      <c r="ER40" t="s">
        <v>59</v>
      </c>
      <c r="ES40" t="s">
        <v>59</v>
      </c>
      <c r="ET40" t="s">
        <v>59</v>
      </c>
      <c r="EU40" t="s">
        <v>59</v>
      </c>
      <c r="EV40" t="s">
        <v>59</v>
      </c>
      <c r="EW40" t="s">
        <v>59</v>
      </c>
      <c r="EX40" t="s">
        <v>59</v>
      </c>
      <c r="EY40" t="s">
        <v>59</v>
      </c>
      <c r="EZ40" t="s">
        <v>59</v>
      </c>
      <c r="FA40" t="s">
        <v>59</v>
      </c>
      <c r="FB40" t="s">
        <v>191</v>
      </c>
      <c r="FC40" t="s">
        <v>191</v>
      </c>
      <c r="FD40" t="s">
        <v>191</v>
      </c>
      <c r="FE40" t="s">
        <v>191</v>
      </c>
      <c r="FF40" t="s">
        <v>191</v>
      </c>
      <c r="FG40" t="s">
        <v>191</v>
      </c>
      <c r="FH40" t="s">
        <v>191</v>
      </c>
      <c r="FI40" t="s">
        <v>191</v>
      </c>
      <c r="FJ40" t="s">
        <v>191</v>
      </c>
      <c r="FK40" t="s">
        <v>191</v>
      </c>
      <c r="FL40" t="s">
        <v>59</v>
      </c>
      <c r="FM40" t="s">
        <v>59</v>
      </c>
      <c r="FN40" t="s">
        <v>59</v>
      </c>
      <c r="FO40" t="s">
        <v>59</v>
      </c>
      <c r="FP40" t="s">
        <v>59</v>
      </c>
      <c r="FQ40" t="s">
        <v>59</v>
      </c>
      <c r="FR40" t="s">
        <v>59</v>
      </c>
      <c r="FS40" t="s">
        <v>191</v>
      </c>
      <c r="FT40" t="s">
        <v>59</v>
      </c>
      <c r="FU40" t="s">
        <v>59</v>
      </c>
      <c r="FV40" t="s">
        <v>59</v>
      </c>
      <c r="FW40" t="s">
        <v>59</v>
      </c>
      <c r="FX40" t="s">
        <v>59</v>
      </c>
      <c r="FY40" t="s">
        <v>59</v>
      </c>
      <c r="FZ40" t="s">
        <v>59</v>
      </c>
      <c r="GA40" t="s">
        <v>59</v>
      </c>
      <c r="GB40" t="s">
        <v>59</v>
      </c>
      <c r="GC40" t="s">
        <v>59</v>
      </c>
      <c r="GD40" t="s">
        <v>59</v>
      </c>
      <c r="GE40" t="s">
        <v>59</v>
      </c>
      <c r="GF40" t="s">
        <v>59</v>
      </c>
      <c r="GG40" t="s">
        <v>59</v>
      </c>
      <c r="GH40" t="s">
        <v>59</v>
      </c>
      <c r="GI40" t="s">
        <v>59</v>
      </c>
      <c r="GJ40" t="s">
        <v>59</v>
      </c>
      <c r="GK40" t="s">
        <v>191</v>
      </c>
      <c r="GL40" t="s">
        <v>59</v>
      </c>
      <c r="GM40" t="s">
        <v>59</v>
      </c>
      <c r="GN40" t="s">
        <v>59</v>
      </c>
      <c r="GO40" t="s">
        <v>59</v>
      </c>
      <c r="GP40" t="s">
        <v>59</v>
      </c>
      <c r="GQ40" t="s">
        <v>191</v>
      </c>
      <c r="GR40" t="s">
        <v>59</v>
      </c>
      <c r="GS40" t="s">
        <v>59</v>
      </c>
      <c r="GT40" t="s">
        <v>59</v>
      </c>
      <c r="GU40" t="s">
        <v>59</v>
      </c>
      <c r="GV40" t="s">
        <v>59</v>
      </c>
      <c r="GW40" t="s">
        <v>59</v>
      </c>
      <c r="GX40" t="s">
        <v>59</v>
      </c>
      <c r="GY40" t="s">
        <v>59</v>
      </c>
      <c r="GZ40" t="s">
        <v>59</v>
      </c>
      <c r="HA40" t="s">
        <v>59</v>
      </c>
      <c r="HB40" t="s">
        <v>191</v>
      </c>
      <c r="HC40" t="s">
        <v>59</v>
      </c>
      <c r="HD40" t="s">
        <v>59</v>
      </c>
      <c r="HE40" t="s">
        <v>59</v>
      </c>
      <c r="HF40" t="s">
        <v>59</v>
      </c>
      <c r="HG40" t="s">
        <v>59</v>
      </c>
      <c r="HH40" t="s">
        <v>59</v>
      </c>
      <c r="HI40" t="s">
        <v>59</v>
      </c>
      <c r="HJ40" t="s">
        <v>59</v>
      </c>
      <c r="HK40" t="s">
        <v>59</v>
      </c>
      <c r="HL40" t="s">
        <v>191</v>
      </c>
      <c r="HM40" t="s">
        <v>191</v>
      </c>
      <c r="HN40" t="s">
        <v>191</v>
      </c>
      <c r="HO40" t="s">
        <v>191</v>
      </c>
      <c r="HP40" t="s">
        <v>59</v>
      </c>
      <c r="HQ40" t="s">
        <v>59</v>
      </c>
      <c r="HR40" t="s">
        <v>59</v>
      </c>
      <c r="HS40" t="s">
        <v>59</v>
      </c>
      <c r="HT40" t="s">
        <v>59</v>
      </c>
      <c r="HU40" t="s">
        <v>59</v>
      </c>
      <c r="HV40" t="s">
        <v>59</v>
      </c>
      <c r="HW40" t="s">
        <v>59</v>
      </c>
      <c r="HX40" t="s">
        <v>59</v>
      </c>
      <c r="HY40" t="s">
        <v>59</v>
      </c>
      <c r="HZ40" t="s">
        <v>59</v>
      </c>
      <c r="IA40" t="s">
        <v>59</v>
      </c>
      <c r="IB40" t="s">
        <v>59</v>
      </c>
      <c r="IC40" t="s">
        <v>59</v>
      </c>
      <c r="ID40" t="s">
        <v>59</v>
      </c>
      <c r="IE40" t="s">
        <v>59</v>
      </c>
      <c r="IF40" t="s">
        <v>59</v>
      </c>
      <c r="IG40" t="s">
        <v>59</v>
      </c>
      <c r="IH40" t="s">
        <v>59</v>
      </c>
      <c r="II40" t="s">
        <v>59</v>
      </c>
      <c r="IJ40" t="s">
        <v>128</v>
      </c>
      <c r="IK40" t="s">
        <v>198</v>
      </c>
      <c r="IL40" t="s">
        <v>128</v>
      </c>
      <c r="IM40" t="s">
        <v>199</v>
      </c>
      <c r="IN40">
        <v>29</v>
      </c>
      <c r="IO40" t="s">
        <v>2730</v>
      </c>
      <c r="IP40">
        <v>3</v>
      </c>
      <c r="IQ40" t="s">
        <v>2730</v>
      </c>
      <c r="IR40">
        <v>15</v>
      </c>
      <c r="IS40" t="s">
        <v>2730</v>
      </c>
      <c r="IT40" t="s">
        <v>2730</v>
      </c>
      <c r="IU40" t="s">
        <v>2730</v>
      </c>
      <c r="IV40">
        <v>16</v>
      </c>
      <c r="IW40" t="s">
        <v>2730</v>
      </c>
      <c r="IX40">
        <v>3</v>
      </c>
      <c r="IY40" t="s">
        <v>2730</v>
      </c>
      <c r="IZ40">
        <v>34</v>
      </c>
      <c r="JA40" t="s">
        <v>2730</v>
      </c>
      <c r="JB40">
        <v>25</v>
      </c>
      <c r="JC40" t="s">
        <v>2730</v>
      </c>
      <c r="JD40">
        <v>24</v>
      </c>
      <c r="JE40" t="s">
        <v>2730</v>
      </c>
      <c r="JF40">
        <v>2</v>
      </c>
      <c r="JG40" t="s">
        <v>2730</v>
      </c>
      <c r="JH40">
        <v>24</v>
      </c>
      <c r="JI40" t="s">
        <v>2730</v>
      </c>
      <c r="JJ40">
        <v>6</v>
      </c>
      <c r="JK40" t="s">
        <v>2730</v>
      </c>
      <c r="JL40">
        <v>16</v>
      </c>
      <c r="JM40" t="s">
        <v>2730</v>
      </c>
      <c r="JN40" t="s">
        <v>2730</v>
      </c>
      <c r="JO40">
        <v>4</v>
      </c>
      <c r="JP40" t="s">
        <v>2730</v>
      </c>
      <c r="JQ40" t="s">
        <v>2730</v>
      </c>
    </row>
    <row r="41" spans="1:277">
      <c r="A41" s="149" t="str">
        <f>HYPERLINK("http://www.ofsted.gov.uk/inspection-reports/find-inspection-report/provider/ELS/136373 ","Ofsted School Webpage")</f>
        <v>Ofsted School Webpage</v>
      </c>
      <c r="B41">
        <v>1132650</v>
      </c>
      <c r="C41">
        <v>136373</v>
      </c>
      <c r="D41">
        <v>8256043</v>
      </c>
      <c r="E41" t="s">
        <v>250</v>
      </c>
      <c r="F41" t="s">
        <v>38</v>
      </c>
      <c r="G41" t="s">
        <v>180</v>
      </c>
      <c r="H41" t="s">
        <v>181</v>
      </c>
      <c r="I41" t="s">
        <v>181</v>
      </c>
      <c r="J41" t="s">
        <v>251</v>
      </c>
      <c r="K41" t="s">
        <v>252</v>
      </c>
      <c r="L41" t="s">
        <v>184</v>
      </c>
      <c r="M41" t="s">
        <v>185</v>
      </c>
      <c r="N41" t="s">
        <v>184</v>
      </c>
      <c r="O41" t="s">
        <v>2730</v>
      </c>
      <c r="P41" t="s">
        <v>186</v>
      </c>
      <c r="Q41">
        <v>10035875</v>
      </c>
      <c r="R41" s="120">
        <v>43004</v>
      </c>
      <c r="S41" s="120">
        <v>43006</v>
      </c>
      <c r="T41" s="120">
        <v>43038</v>
      </c>
      <c r="U41" t="s">
        <v>2730</v>
      </c>
      <c r="V41" t="s">
        <v>196</v>
      </c>
      <c r="W41" t="s">
        <v>2730</v>
      </c>
      <c r="X41" t="s">
        <v>197</v>
      </c>
      <c r="Y41">
        <v>2</v>
      </c>
      <c r="Z41">
        <v>1</v>
      </c>
      <c r="AA41">
        <v>1</v>
      </c>
      <c r="AB41">
        <v>2</v>
      </c>
      <c r="AC41">
        <v>2</v>
      </c>
      <c r="AD41" t="s">
        <v>2730</v>
      </c>
      <c r="AE41" t="s">
        <v>2730</v>
      </c>
      <c r="AF41" t="s">
        <v>128</v>
      </c>
      <c r="AG41" t="s">
        <v>2730</v>
      </c>
      <c r="AH41" t="s">
        <v>2732</v>
      </c>
      <c r="AI41" t="s">
        <v>59</v>
      </c>
      <c r="AJ41" t="s">
        <v>59</v>
      </c>
      <c r="AK41" t="s">
        <v>59</v>
      </c>
      <c r="AL41" t="s">
        <v>59</v>
      </c>
      <c r="AM41" t="s">
        <v>59</v>
      </c>
      <c r="AN41" t="s">
        <v>59</v>
      </c>
      <c r="AO41" t="s">
        <v>59</v>
      </c>
      <c r="AP41" t="s">
        <v>59</v>
      </c>
      <c r="AQ41" t="s">
        <v>59</v>
      </c>
      <c r="AR41" t="s">
        <v>59</v>
      </c>
      <c r="AS41" t="s">
        <v>59</v>
      </c>
      <c r="AT41" t="s">
        <v>59</v>
      </c>
      <c r="AU41" t="s">
        <v>59</v>
      </c>
      <c r="AV41" t="s">
        <v>59</v>
      </c>
      <c r="AW41" t="s">
        <v>59</v>
      </c>
      <c r="AX41" t="s">
        <v>59</v>
      </c>
      <c r="AY41" t="s">
        <v>218</v>
      </c>
      <c r="AZ41" t="s">
        <v>59</v>
      </c>
      <c r="BA41" t="s">
        <v>59</v>
      </c>
      <c r="BB41" t="s">
        <v>59</v>
      </c>
      <c r="BC41" t="s">
        <v>59</v>
      </c>
      <c r="BD41" t="s">
        <v>59</v>
      </c>
      <c r="BE41" t="s">
        <v>59</v>
      </c>
      <c r="BF41" t="s">
        <v>59</v>
      </c>
      <c r="BG41" t="s">
        <v>218</v>
      </c>
      <c r="BH41" t="s">
        <v>59</v>
      </c>
      <c r="BI41" t="s">
        <v>59</v>
      </c>
      <c r="BJ41" t="s">
        <v>59</v>
      </c>
      <c r="BK41" t="s">
        <v>59</v>
      </c>
      <c r="BL41" t="s">
        <v>59</v>
      </c>
      <c r="BM41" t="s">
        <v>59</v>
      </c>
      <c r="BN41" t="s">
        <v>59</v>
      </c>
      <c r="BO41" t="s">
        <v>59</v>
      </c>
      <c r="BP41" t="s">
        <v>59</v>
      </c>
      <c r="BQ41" t="s">
        <v>59</v>
      </c>
      <c r="BR41" t="s">
        <v>59</v>
      </c>
      <c r="BS41" t="s">
        <v>59</v>
      </c>
      <c r="BT41" t="s">
        <v>59</v>
      </c>
      <c r="BU41" t="s">
        <v>59</v>
      </c>
      <c r="BV41" t="s">
        <v>59</v>
      </c>
      <c r="BW41" t="s">
        <v>59</v>
      </c>
      <c r="BX41" t="s">
        <v>59</v>
      </c>
      <c r="BY41" t="s">
        <v>59</v>
      </c>
      <c r="BZ41" t="s">
        <v>59</v>
      </c>
      <c r="CA41" t="s">
        <v>59</v>
      </c>
      <c r="CB41" t="s">
        <v>59</v>
      </c>
      <c r="CC41" t="s">
        <v>59</v>
      </c>
      <c r="CD41" t="s">
        <v>59</v>
      </c>
      <c r="CE41" t="s">
        <v>59</v>
      </c>
      <c r="CF41" t="s">
        <v>59</v>
      </c>
      <c r="CG41" t="s">
        <v>59</v>
      </c>
      <c r="CH41" t="s">
        <v>59</v>
      </c>
      <c r="CI41" t="s">
        <v>59</v>
      </c>
      <c r="CJ41" t="s">
        <v>59</v>
      </c>
      <c r="CK41" t="s">
        <v>59</v>
      </c>
      <c r="CL41" t="s">
        <v>59</v>
      </c>
      <c r="CM41" t="s">
        <v>59</v>
      </c>
      <c r="CN41" t="s">
        <v>59</v>
      </c>
      <c r="CO41" t="s">
        <v>59</v>
      </c>
      <c r="CP41" t="s">
        <v>218</v>
      </c>
      <c r="CQ41" t="s">
        <v>218</v>
      </c>
      <c r="CR41" t="s">
        <v>59</v>
      </c>
      <c r="CS41" t="s">
        <v>59</v>
      </c>
      <c r="CT41" t="s">
        <v>59</v>
      </c>
      <c r="CU41" t="s">
        <v>59</v>
      </c>
      <c r="CV41" t="s">
        <v>59</v>
      </c>
      <c r="CW41" t="s">
        <v>59</v>
      </c>
      <c r="CX41" t="s">
        <v>59</v>
      </c>
      <c r="CY41" t="s">
        <v>59</v>
      </c>
      <c r="CZ41" t="s">
        <v>59</v>
      </c>
      <c r="DA41" t="s">
        <v>59</v>
      </c>
      <c r="DB41" t="s">
        <v>59</v>
      </c>
      <c r="DC41" t="s">
        <v>59</v>
      </c>
      <c r="DD41" t="s">
        <v>59</v>
      </c>
      <c r="DE41" t="s">
        <v>59</v>
      </c>
      <c r="DF41" t="s">
        <v>59</v>
      </c>
      <c r="DG41" t="s">
        <v>59</v>
      </c>
      <c r="DH41" t="s">
        <v>59</v>
      </c>
      <c r="DI41" t="s">
        <v>59</v>
      </c>
      <c r="DJ41" t="s">
        <v>59</v>
      </c>
      <c r="DK41" t="s">
        <v>59</v>
      </c>
      <c r="DL41" t="s">
        <v>59</v>
      </c>
      <c r="DM41" t="s">
        <v>59</v>
      </c>
      <c r="DN41" t="s">
        <v>59</v>
      </c>
      <c r="DO41" t="s">
        <v>218</v>
      </c>
      <c r="DP41" t="s">
        <v>59</v>
      </c>
      <c r="DQ41" t="s">
        <v>59</v>
      </c>
      <c r="DR41" t="s">
        <v>59</v>
      </c>
      <c r="DS41" t="s">
        <v>59</v>
      </c>
      <c r="DT41" t="s">
        <v>59</v>
      </c>
      <c r="DU41" t="s">
        <v>59</v>
      </c>
      <c r="DV41" t="s">
        <v>59</v>
      </c>
      <c r="DW41" t="s">
        <v>59</v>
      </c>
      <c r="DX41" t="s">
        <v>59</v>
      </c>
      <c r="DY41" t="s">
        <v>59</v>
      </c>
      <c r="DZ41" t="s">
        <v>59</v>
      </c>
      <c r="EA41" t="s">
        <v>59</v>
      </c>
      <c r="EB41" t="s">
        <v>59</v>
      </c>
      <c r="EC41" t="s">
        <v>218</v>
      </c>
      <c r="ED41" t="s">
        <v>59</v>
      </c>
      <c r="EE41" t="s">
        <v>59</v>
      </c>
      <c r="EF41" t="s">
        <v>59</v>
      </c>
      <c r="EG41" t="s">
        <v>59</v>
      </c>
      <c r="EH41" t="s">
        <v>59</v>
      </c>
      <c r="EI41" t="s">
        <v>59</v>
      </c>
      <c r="EJ41" t="s">
        <v>59</v>
      </c>
      <c r="EK41" t="s">
        <v>59</v>
      </c>
      <c r="EL41" t="s">
        <v>218</v>
      </c>
      <c r="EM41" t="s">
        <v>218</v>
      </c>
      <c r="EN41" t="s">
        <v>59</v>
      </c>
      <c r="EO41" t="s">
        <v>59</v>
      </c>
      <c r="EP41" t="s">
        <v>59</v>
      </c>
      <c r="EQ41" t="s">
        <v>59</v>
      </c>
      <c r="ER41" t="s">
        <v>59</v>
      </c>
      <c r="ES41" t="s">
        <v>59</v>
      </c>
      <c r="ET41" t="s">
        <v>59</v>
      </c>
      <c r="EU41" t="s">
        <v>59</v>
      </c>
      <c r="EV41" t="s">
        <v>59</v>
      </c>
      <c r="EW41" t="s">
        <v>59</v>
      </c>
      <c r="EX41" t="s">
        <v>218</v>
      </c>
      <c r="EY41" t="s">
        <v>59</v>
      </c>
      <c r="EZ41" t="s">
        <v>59</v>
      </c>
      <c r="FA41" t="s">
        <v>218</v>
      </c>
      <c r="FB41" t="s">
        <v>59</v>
      </c>
      <c r="FC41" t="s">
        <v>59</v>
      </c>
      <c r="FD41" t="s">
        <v>59</v>
      </c>
      <c r="FE41" t="s">
        <v>59</v>
      </c>
      <c r="FF41" t="s">
        <v>59</v>
      </c>
      <c r="FG41" t="s">
        <v>59</v>
      </c>
      <c r="FH41" t="s">
        <v>59</v>
      </c>
      <c r="FI41" t="s">
        <v>218</v>
      </c>
      <c r="FJ41" t="s">
        <v>191</v>
      </c>
      <c r="FK41" t="s">
        <v>218</v>
      </c>
      <c r="FL41" t="s">
        <v>59</v>
      </c>
      <c r="FM41" t="s">
        <v>59</v>
      </c>
      <c r="FN41" t="s">
        <v>59</v>
      </c>
      <c r="FO41" t="s">
        <v>218</v>
      </c>
      <c r="FP41" t="s">
        <v>59</v>
      </c>
      <c r="FQ41" t="s">
        <v>59</v>
      </c>
      <c r="FR41" t="s">
        <v>59</v>
      </c>
      <c r="FS41" t="s">
        <v>218</v>
      </c>
      <c r="FT41" t="s">
        <v>59</v>
      </c>
      <c r="FU41" t="s">
        <v>59</v>
      </c>
      <c r="FV41" t="s">
        <v>59</v>
      </c>
      <c r="FW41" t="s">
        <v>59</v>
      </c>
      <c r="FX41" t="s">
        <v>59</v>
      </c>
      <c r="FY41" t="s">
        <v>59</v>
      </c>
      <c r="FZ41" t="s">
        <v>59</v>
      </c>
      <c r="GA41" t="s">
        <v>59</v>
      </c>
      <c r="GB41" t="s">
        <v>59</v>
      </c>
      <c r="GC41" t="s">
        <v>59</v>
      </c>
      <c r="GD41" t="s">
        <v>59</v>
      </c>
      <c r="GE41" t="s">
        <v>59</v>
      </c>
      <c r="GF41" t="s">
        <v>59</v>
      </c>
      <c r="GG41" t="s">
        <v>59</v>
      </c>
      <c r="GH41" t="s">
        <v>59</v>
      </c>
      <c r="GI41" t="s">
        <v>59</v>
      </c>
      <c r="GJ41" t="s">
        <v>59</v>
      </c>
      <c r="GK41" t="s">
        <v>218</v>
      </c>
      <c r="GL41" t="s">
        <v>59</v>
      </c>
      <c r="GM41" t="s">
        <v>59</v>
      </c>
      <c r="GN41" t="s">
        <v>59</v>
      </c>
      <c r="GO41" t="s">
        <v>59</v>
      </c>
      <c r="GP41" t="s">
        <v>59</v>
      </c>
      <c r="GQ41" t="s">
        <v>218</v>
      </c>
      <c r="GR41" t="s">
        <v>59</v>
      </c>
      <c r="GS41" t="s">
        <v>59</v>
      </c>
      <c r="GT41" t="s">
        <v>59</v>
      </c>
      <c r="GU41" t="s">
        <v>59</v>
      </c>
      <c r="GV41" t="s">
        <v>59</v>
      </c>
      <c r="GW41" t="s">
        <v>59</v>
      </c>
      <c r="GX41" t="s">
        <v>59</v>
      </c>
      <c r="GY41" t="s">
        <v>59</v>
      </c>
      <c r="GZ41" t="s">
        <v>59</v>
      </c>
      <c r="HA41" t="s">
        <v>59</v>
      </c>
      <c r="HB41" t="s">
        <v>218</v>
      </c>
      <c r="HC41" t="s">
        <v>59</v>
      </c>
      <c r="HD41" t="s">
        <v>59</v>
      </c>
      <c r="HE41" t="s">
        <v>59</v>
      </c>
      <c r="HF41" t="s">
        <v>59</v>
      </c>
      <c r="HG41" t="s">
        <v>59</v>
      </c>
      <c r="HH41" t="s">
        <v>59</v>
      </c>
      <c r="HI41" t="s">
        <v>59</v>
      </c>
      <c r="HJ41" t="s">
        <v>59</v>
      </c>
      <c r="HK41" t="s">
        <v>59</v>
      </c>
      <c r="HL41" t="s">
        <v>59</v>
      </c>
      <c r="HM41" t="s">
        <v>218</v>
      </c>
      <c r="HN41" t="s">
        <v>218</v>
      </c>
      <c r="HO41" t="s">
        <v>218</v>
      </c>
      <c r="HP41" t="s">
        <v>59</v>
      </c>
      <c r="HQ41" t="s">
        <v>59</v>
      </c>
      <c r="HR41" t="s">
        <v>59</v>
      </c>
      <c r="HS41" t="s">
        <v>59</v>
      </c>
      <c r="HT41" t="s">
        <v>59</v>
      </c>
      <c r="HU41" t="s">
        <v>59</v>
      </c>
      <c r="HV41" t="s">
        <v>59</v>
      </c>
      <c r="HW41" t="s">
        <v>59</v>
      </c>
      <c r="HX41" t="s">
        <v>59</v>
      </c>
      <c r="HY41" t="s">
        <v>59</v>
      </c>
      <c r="HZ41" t="s">
        <v>59</v>
      </c>
      <c r="IA41" t="s">
        <v>59</v>
      </c>
      <c r="IB41" t="s">
        <v>59</v>
      </c>
      <c r="IC41" t="s">
        <v>59</v>
      </c>
      <c r="ID41" t="s">
        <v>59</v>
      </c>
      <c r="IE41" t="s">
        <v>59</v>
      </c>
      <c r="IF41" t="s">
        <v>59</v>
      </c>
      <c r="IG41" t="s">
        <v>59</v>
      </c>
      <c r="IH41" t="s">
        <v>59</v>
      </c>
      <c r="II41" t="s">
        <v>59</v>
      </c>
      <c r="IJ41" t="s">
        <v>129</v>
      </c>
      <c r="IK41" t="s">
        <v>191</v>
      </c>
      <c r="IL41" t="s">
        <v>128</v>
      </c>
      <c r="IM41" t="s">
        <v>199</v>
      </c>
      <c r="IN41">
        <v>30</v>
      </c>
      <c r="IO41" t="s">
        <v>2730</v>
      </c>
      <c r="IP41" t="s">
        <v>2730</v>
      </c>
      <c r="IQ41" t="s">
        <v>2730</v>
      </c>
      <c r="IR41">
        <v>15</v>
      </c>
      <c r="IS41" t="s">
        <v>2730</v>
      </c>
      <c r="IT41" t="s">
        <v>2730</v>
      </c>
      <c r="IU41" t="s">
        <v>2730</v>
      </c>
      <c r="IV41">
        <v>17</v>
      </c>
      <c r="IW41" t="s">
        <v>2730</v>
      </c>
      <c r="IX41" t="s">
        <v>2730</v>
      </c>
      <c r="IY41" t="s">
        <v>2730</v>
      </c>
      <c r="IZ41">
        <v>50</v>
      </c>
      <c r="JA41" t="s">
        <v>2730</v>
      </c>
      <c r="JB41">
        <v>1</v>
      </c>
      <c r="JC41" t="s">
        <v>2730</v>
      </c>
      <c r="JD41">
        <v>23</v>
      </c>
      <c r="JE41" t="s">
        <v>2730</v>
      </c>
      <c r="JF41" t="s">
        <v>2730</v>
      </c>
      <c r="JG41" t="s">
        <v>2730</v>
      </c>
      <c r="JH41">
        <v>25</v>
      </c>
      <c r="JI41" t="s">
        <v>2730</v>
      </c>
      <c r="JJ41" t="s">
        <v>2730</v>
      </c>
      <c r="JK41" t="s">
        <v>2730</v>
      </c>
      <c r="JL41">
        <v>16</v>
      </c>
      <c r="JM41" t="s">
        <v>2730</v>
      </c>
      <c r="JN41" t="s">
        <v>2730</v>
      </c>
      <c r="JO41">
        <v>4</v>
      </c>
      <c r="JP41" t="s">
        <v>2730</v>
      </c>
      <c r="JQ41" t="s">
        <v>2730</v>
      </c>
    </row>
    <row r="42" spans="1:277">
      <c r="A42" s="149" t="str">
        <f>HYPERLINK("http://www.ofsted.gov.uk/inspection-reports/find-inspection-report/provider/ELS/126141 ","Ofsted School Webpage")</f>
        <v>Ofsted School Webpage</v>
      </c>
      <c r="B42">
        <v>1132416</v>
      </c>
      <c r="C42">
        <v>126141</v>
      </c>
      <c r="D42">
        <v>9386219</v>
      </c>
      <c r="E42" t="s">
        <v>502</v>
      </c>
      <c r="F42" t="s">
        <v>38</v>
      </c>
      <c r="G42" t="s">
        <v>180</v>
      </c>
      <c r="H42" t="s">
        <v>181</v>
      </c>
      <c r="I42" t="s">
        <v>181</v>
      </c>
      <c r="J42" t="s">
        <v>395</v>
      </c>
      <c r="K42" t="s">
        <v>503</v>
      </c>
      <c r="L42" t="s">
        <v>184</v>
      </c>
      <c r="M42" t="s">
        <v>185</v>
      </c>
      <c r="N42" t="s">
        <v>212</v>
      </c>
      <c r="O42" t="s">
        <v>2730</v>
      </c>
      <c r="P42" t="s">
        <v>186</v>
      </c>
      <c r="Q42">
        <v>10039159</v>
      </c>
      <c r="R42" s="120">
        <v>42997</v>
      </c>
      <c r="S42" s="120">
        <v>42999</v>
      </c>
      <c r="T42" s="120">
        <v>43025</v>
      </c>
      <c r="U42" t="s">
        <v>2730</v>
      </c>
      <c r="V42" t="s">
        <v>196</v>
      </c>
      <c r="W42" t="s">
        <v>2730</v>
      </c>
      <c r="X42" t="s">
        <v>197</v>
      </c>
      <c r="Y42">
        <v>3</v>
      </c>
      <c r="Z42">
        <v>2</v>
      </c>
      <c r="AA42">
        <v>2</v>
      </c>
      <c r="AB42">
        <v>3</v>
      </c>
      <c r="AC42">
        <v>3</v>
      </c>
      <c r="AD42" t="s">
        <v>2730</v>
      </c>
      <c r="AE42">
        <v>1</v>
      </c>
      <c r="AF42" t="s">
        <v>128</v>
      </c>
      <c r="AG42" t="s">
        <v>2730</v>
      </c>
      <c r="AH42" t="s">
        <v>2732</v>
      </c>
      <c r="AI42" t="s">
        <v>59</v>
      </c>
      <c r="AJ42" t="s">
        <v>59</v>
      </c>
      <c r="AK42" t="s">
        <v>59</v>
      </c>
      <c r="AL42" t="s">
        <v>59</v>
      </c>
      <c r="AM42" t="s">
        <v>59</v>
      </c>
      <c r="AN42" t="s">
        <v>59</v>
      </c>
      <c r="AO42" t="s">
        <v>59</v>
      </c>
      <c r="AP42" t="s">
        <v>59</v>
      </c>
      <c r="AQ42" t="s">
        <v>59</v>
      </c>
      <c r="AR42" t="s">
        <v>59</v>
      </c>
      <c r="AS42" t="s">
        <v>59</v>
      </c>
      <c r="AT42" t="s">
        <v>59</v>
      </c>
      <c r="AU42" t="s">
        <v>59</v>
      </c>
      <c r="AV42" t="s">
        <v>59</v>
      </c>
      <c r="AW42" t="s">
        <v>59</v>
      </c>
      <c r="AX42" t="s">
        <v>59</v>
      </c>
      <c r="AY42" t="s">
        <v>218</v>
      </c>
      <c r="AZ42" t="s">
        <v>59</v>
      </c>
      <c r="BA42" t="s">
        <v>59</v>
      </c>
      <c r="BB42" t="s">
        <v>59</v>
      </c>
      <c r="BC42" t="s">
        <v>59</v>
      </c>
      <c r="BD42" t="s">
        <v>59</v>
      </c>
      <c r="BE42" t="s">
        <v>59</v>
      </c>
      <c r="BF42" t="s">
        <v>59</v>
      </c>
      <c r="BG42" t="s">
        <v>218</v>
      </c>
      <c r="BH42" t="s">
        <v>59</v>
      </c>
      <c r="BI42" t="s">
        <v>59</v>
      </c>
      <c r="BJ42" t="s">
        <v>59</v>
      </c>
      <c r="BK42" t="s">
        <v>59</v>
      </c>
      <c r="BL42" t="s">
        <v>59</v>
      </c>
      <c r="BM42" t="s">
        <v>59</v>
      </c>
      <c r="BN42" t="s">
        <v>59</v>
      </c>
      <c r="BO42" t="s">
        <v>59</v>
      </c>
      <c r="BP42" t="s">
        <v>59</v>
      </c>
      <c r="BQ42" t="s">
        <v>59</v>
      </c>
      <c r="BR42" t="s">
        <v>59</v>
      </c>
      <c r="BS42" t="s">
        <v>59</v>
      </c>
      <c r="BT42" t="s">
        <v>59</v>
      </c>
      <c r="BU42" t="s">
        <v>59</v>
      </c>
      <c r="BV42" t="s">
        <v>59</v>
      </c>
      <c r="BW42" t="s">
        <v>59</v>
      </c>
      <c r="BX42" t="s">
        <v>59</v>
      </c>
      <c r="BY42" t="s">
        <v>59</v>
      </c>
      <c r="BZ42" t="s">
        <v>59</v>
      </c>
      <c r="CA42" t="s">
        <v>59</v>
      </c>
      <c r="CB42" t="s">
        <v>59</v>
      </c>
      <c r="CC42" t="s">
        <v>59</v>
      </c>
      <c r="CD42" t="s">
        <v>59</v>
      </c>
      <c r="CE42" t="s">
        <v>59</v>
      </c>
      <c r="CF42" t="s">
        <v>59</v>
      </c>
      <c r="CG42" t="s">
        <v>59</v>
      </c>
      <c r="CH42" t="s">
        <v>59</v>
      </c>
      <c r="CI42" t="s">
        <v>59</v>
      </c>
      <c r="CJ42" t="s">
        <v>59</v>
      </c>
      <c r="CK42" t="s">
        <v>59</v>
      </c>
      <c r="CL42" t="s">
        <v>59</v>
      </c>
      <c r="CM42" t="s">
        <v>59</v>
      </c>
      <c r="CN42" t="s">
        <v>59</v>
      </c>
      <c r="CO42" t="s">
        <v>59</v>
      </c>
      <c r="CP42" t="s">
        <v>59</v>
      </c>
      <c r="CQ42" t="s">
        <v>218</v>
      </c>
      <c r="CR42" t="s">
        <v>59</v>
      </c>
      <c r="CS42" t="s">
        <v>59</v>
      </c>
      <c r="CT42" t="s">
        <v>59</v>
      </c>
      <c r="CU42" t="s">
        <v>59</v>
      </c>
      <c r="CV42" t="s">
        <v>59</v>
      </c>
      <c r="CW42" t="s">
        <v>59</v>
      </c>
      <c r="CX42" t="s">
        <v>59</v>
      </c>
      <c r="CY42" t="s">
        <v>59</v>
      </c>
      <c r="CZ42" t="s">
        <v>59</v>
      </c>
      <c r="DA42" t="s">
        <v>59</v>
      </c>
      <c r="DB42" t="s">
        <v>59</v>
      </c>
      <c r="DC42" t="s">
        <v>59</v>
      </c>
      <c r="DD42" t="s">
        <v>59</v>
      </c>
      <c r="DE42" t="s">
        <v>59</v>
      </c>
      <c r="DF42" t="s">
        <v>59</v>
      </c>
      <c r="DG42" t="s">
        <v>59</v>
      </c>
      <c r="DH42" t="s">
        <v>59</v>
      </c>
      <c r="DI42" t="s">
        <v>59</v>
      </c>
      <c r="DJ42" t="s">
        <v>59</v>
      </c>
      <c r="DK42" t="s">
        <v>59</v>
      </c>
      <c r="DL42" t="s">
        <v>59</v>
      </c>
      <c r="DM42" t="s">
        <v>59</v>
      </c>
      <c r="DN42" t="s">
        <v>59</v>
      </c>
      <c r="DO42" t="s">
        <v>218</v>
      </c>
      <c r="DP42" t="s">
        <v>59</v>
      </c>
      <c r="DQ42" t="s">
        <v>59</v>
      </c>
      <c r="DR42" t="s">
        <v>59</v>
      </c>
      <c r="DS42" t="s">
        <v>59</v>
      </c>
      <c r="DT42" t="s">
        <v>59</v>
      </c>
      <c r="DU42" t="s">
        <v>59</v>
      </c>
      <c r="DV42" t="s">
        <v>59</v>
      </c>
      <c r="DW42" t="s">
        <v>59</v>
      </c>
      <c r="DX42" t="s">
        <v>59</v>
      </c>
      <c r="DY42" t="s">
        <v>59</v>
      </c>
      <c r="DZ42" t="s">
        <v>59</v>
      </c>
      <c r="EA42" t="s">
        <v>59</v>
      </c>
      <c r="EB42" t="s">
        <v>59</v>
      </c>
      <c r="EC42" t="s">
        <v>218</v>
      </c>
      <c r="ED42" t="s">
        <v>59</v>
      </c>
      <c r="EE42" t="s">
        <v>59</v>
      </c>
      <c r="EF42" t="s">
        <v>59</v>
      </c>
      <c r="EG42" t="s">
        <v>59</v>
      </c>
      <c r="EH42" t="s">
        <v>59</v>
      </c>
      <c r="EI42" t="s">
        <v>59</v>
      </c>
      <c r="EJ42" t="s">
        <v>59</v>
      </c>
      <c r="EK42" t="s">
        <v>59</v>
      </c>
      <c r="EL42" t="s">
        <v>59</v>
      </c>
      <c r="EM42" t="s">
        <v>59</v>
      </c>
      <c r="EN42" t="s">
        <v>59</v>
      </c>
      <c r="EO42" t="s">
        <v>59</v>
      </c>
      <c r="EP42" t="s">
        <v>59</v>
      </c>
      <c r="EQ42" t="s">
        <v>59</v>
      </c>
      <c r="ER42" t="s">
        <v>59</v>
      </c>
      <c r="ES42" t="s">
        <v>59</v>
      </c>
      <c r="ET42" t="s">
        <v>59</v>
      </c>
      <c r="EU42" t="s">
        <v>59</v>
      </c>
      <c r="EV42" t="s">
        <v>59</v>
      </c>
      <c r="EW42" t="s">
        <v>59</v>
      </c>
      <c r="EX42" t="s">
        <v>59</v>
      </c>
      <c r="EY42" t="s">
        <v>59</v>
      </c>
      <c r="EZ42" t="s">
        <v>59</v>
      </c>
      <c r="FA42" t="s">
        <v>59</v>
      </c>
      <c r="FB42" t="s">
        <v>59</v>
      </c>
      <c r="FC42" t="s">
        <v>59</v>
      </c>
      <c r="FD42" t="s">
        <v>59</v>
      </c>
      <c r="FE42" t="s">
        <v>59</v>
      </c>
      <c r="FF42" t="s">
        <v>59</v>
      </c>
      <c r="FG42" t="s">
        <v>59</v>
      </c>
      <c r="FH42" t="s">
        <v>59</v>
      </c>
      <c r="FI42" t="s">
        <v>59</v>
      </c>
      <c r="FJ42" t="s">
        <v>59</v>
      </c>
      <c r="FK42" t="s">
        <v>59</v>
      </c>
      <c r="FL42" t="s">
        <v>59</v>
      </c>
      <c r="FM42" t="s">
        <v>59</v>
      </c>
      <c r="FN42" t="s">
        <v>59</v>
      </c>
      <c r="FO42" t="s">
        <v>59</v>
      </c>
      <c r="FP42" t="s">
        <v>59</v>
      </c>
      <c r="FQ42" t="s">
        <v>59</v>
      </c>
      <c r="FR42" t="s">
        <v>59</v>
      </c>
      <c r="FS42" t="s">
        <v>218</v>
      </c>
      <c r="FT42" t="s">
        <v>59</v>
      </c>
      <c r="FU42" t="s">
        <v>59</v>
      </c>
      <c r="FV42" t="s">
        <v>59</v>
      </c>
      <c r="FW42" t="s">
        <v>59</v>
      </c>
      <c r="FX42" t="s">
        <v>59</v>
      </c>
      <c r="FY42" t="s">
        <v>59</v>
      </c>
      <c r="FZ42" t="s">
        <v>59</v>
      </c>
      <c r="GA42" t="s">
        <v>59</v>
      </c>
      <c r="GB42" t="s">
        <v>59</v>
      </c>
      <c r="GC42" t="s">
        <v>59</v>
      </c>
      <c r="GD42" t="s">
        <v>59</v>
      </c>
      <c r="GE42" t="s">
        <v>59</v>
      </c>
      <c r="GF42" t="s">
        <v>59</v>
      </c>
      <c r="GG42" t="s">
        <v>59</v>
      </c>
      <c r="GH42" t="s">
        <v>59</v>
      </c>
      <c r="GI42" t="s">
        <v>59</v>
      </c>
      <c r="GJ42" t="s">
        <v>59</v>
      </c>
      <c r="GK42" t="s">
        <v>218</v>
      </c>
      <c r="GL42" t="s">
        <v>59</v>
      </c>
      <c r="GM42" t="s">
        <v>59</v>
      </c>
      <c r="GN42" t="s">
        <v>59</v>
      </c>
      <c r="GO42" t="s">
        <v>59</v>
      </c>
      <c r="GP42" t="s">
        <v>59</v>
      </c>
      <c r="GQ42" t="s">
        <v>59</v>
      </c>
      <c r="GR42" t="s">
        <v>59</v>
      </c>
      <c r="GS42" t="s">
        <v>59</v>
      </c>
      <c r="GT42" t="s">
        <v>59</v>
      </c>
      <c r="GU42" t="s">
        <v>59</v>
      </c>
      <c r="GV42" t="s">
        <v>59</v>
      </c>
      <c r="GW42" t="s">
        <v>59</v>
      </c>
      <c r="GX42" t="s">
        <v>59</v>
      </c>
      <c r="GY42" t="s">
        <v>59</v>
      </c>
      <c r="GZ42" t="s">
        <v>59</v>
      </c>
      <c r="HA42" t="s">
        <v>218</v>
      </c>
      <c r="HB42" t="s">
        <v>218</v>
      </c>
      <c r="HC42" t="s">
        <v>59</v>
      </c>
      <c r="HD42" t="s">
        <v>59</v>
      </c>
      <c r="HE42" t="s">
        <v>59</v>
      </c>
      <c r="HF42" t="s">
        <v>59</v>
      </c>
      <c r="HG42" t="s">
        <v>59</v>
      </c>
      <c r="HH42" t="s">
        <v>59</v>
      </c>
      <c r="HI42" t="s">
        <v>59</v>
      </c>
      <c r="HJ42" t="s">
        <v>59</v>
      </c>
      <c r="HK42" t="s">
        <v>59</v>
      </c>
      <c r="HL42" t="s">
        <v>59</v>
      </c>
      <c r="HM42" t="s">
        <v>218</v>
      </c>
      <c r="HN42" t="s">
        <v>218</v>
      </c>
      <c r="HO42" t="s">
        <v>218</v>
      </c>
      <c r="HP42" t="s">
        <v>59</v>
      </c>
      <c r="HQ42" t="s">
        <v>59</v>
      </c>
      <c r="HR42" t="s">
        <v>59</v>
      </c>
      <c r="HS42" t="s">
        <v>59</v>
      </c>
      <c r="HT42" t="s">
        <v>59</v>
      </c>
      <c r="HU42" t="s">
        <v>59</v>
      </c>
      <c r="HV42" t="s">
        <v>59</v>
      </c>
      <c r="HW42" t="s">
        <v>59</v>
      </c>
      <c r="HX42" t="s">
        <v>59</v>
      </c>
      <c r="HY42" t="s">
        <v>59</v>
      </c>
      <c r="HZ42" t="s">
        <v>59</v>
      </c>
      <c r="IA42" t="s">
        <v>59</v>
      </c>
      <c r="IB42" t="s">
        <v>59</v>
      </c>
      <c r="IC42" t="s">
        <v>59</v>
      </c>
      <c r="ID42" t="s">
        <v>59</v>
      </c>
      <c r="IE42" t="s">
        <v>59</v>
      </c>
      <c r="IF42" t="s">
        <v>59</v>
      </c>
      <c r="IG42" t="s">
        <v>59</v>
      </c>
      <c r="IH42" t="s">
        <v>59</v>
      </c>
      <c r="II42" t="s">
        <v>59</v>
      </c>
      <c r="IJ42" t="s">
        <v>128</v>
      </c>
      <c r="IK42" t="s">
        <v>128</v>
      </c>
      <c r="IL42" t="s">
        <v>128</v>
      </c>
      <c r="IM42" t="s">
        <v>199</v>
      </c>
      <c r="IN42">
        <v>30</v>
      </c>
      <c r="IO42" t="s">
        <v>2730</v>
      </c>
      <c r="IP42" t="s">
        <v>2730</v>
      </c>
      <c r="IQ42" t="s">
        <v>2730</v>
      </c>
      <c r="IR42">
        <v>15</v>
      </c>
      <c r="IS42" t="s">
        <v>2730</v>
      </c>
      <c r="IT42" t="s">
        <v>2730</v>
      </c>
      <c r="IU42" t="s">
        <v>2730</v>
      </c>
      <c r="IV42">
        <v>18</v>
      </c>
      <c r="IW42" t="s">
        <v>2730</v>
      </c>
      <c r="IX42" t="s">
        <v>2730</v>
      </c>
      <c r="IY42" t="s">
        <v>2730</v>
      </c>
      <c r="IZ42">
        <v>57</v>
      </c>
      <c r="JA42" t="s">
        <v>2730</v>
      </c>
      <c r="JB42" t="s">
        <v>2730</v>
      </c>
      <c r="JC42" t="s">
        <v>2730</v>
      </c>
      <c r="JD42">
        <v>24</v>
      </c>
      <c r="JE42" t="s">
        <v>2730</v>
      </c>
      <c r="JF42" t="s">
        <v>2730</v>
      </c>
      <c r="JG42" t="s">
        <v>2730</v>
      </c>
      <c r="JH42">
        <v>25</v>
      </c>
      <c r="JI42" t="s">
        <v>2730</v>
      </c>
      <c r="JJ42" t="s">
        <v>2730</v>
      </c>
      <c r="JK42" t="s">
        <v>2730</v>
      </c>
      <c r="JL42">
        <v>16</v>
      </c>
      <c r="JM42" t="s">
        <v>2730</v>
      </c>
      <c r="JN42" t="s">
        <v>2730</v>
      </c>
      <c r="JO42">
        <v>4</v>
      </c>
      <c r="JP42" t="s">
        <v>2730</v>
      </c>
      <c r="JQ42" t="s">
        <v>2730</v>
      </c>
    </row>
    <row r="43" spans="1:277">
      <c r="A43" s="149" t="str">
        <f>HYPERLINK("http://www.ofsted.gov.uk/inspection-reports/find-inspection-report/provider/ELS/141315 ","Ofsted School Webpage")</f>
        <v>Ofsted School Webpage</v>
      </c>
      <c r="B43">
        <v>1134987</v>
      </c>
      <c r="C43">
        <v>141315</v>
      </c>
      <c r="D43">
        <v>2036004</v>
      </c>
      <c r="E43" t="s">
        <v>510</v>
      </c>
      <c r="F43" t="s">
        <v>37</v>
      </c>
      <c r="G43" t="s">
        <v>209</v>
      </c>
      <c r="H43" t="s">
        <v>232</v>
      </c>
      <c r="I43" t="s">
        <v>232</v>
      </c>
      <c r="J43" t="s">
        <v>482</v>
      </c>
      <c r="K43" t="s">
        <v>511</v>
      </c>
      <c r="L43" t="s">
        <v>184</v>
      </c>
      <c r="M43" t="s">
        <v>185</v>
      </c>
      <c r="N43" t="s">
        <v>184</v>
      </c>
      <c r="O43" t="s">
        <v>2730</v>
      </c>
      <c r="P43" t="s">
        <v>186</v>
      </c>
      <c r="Q43">
        <v>10035815</v>
      </c>
      <c r="R43" s="120">
        <v>43011</v>
      </c>
      <c r="S43" s="120">
        <v>43013</v>
      </c>
      <c r="T43" s="120">
        <v>43061</v>
      </c>
      <c r="U43" t="s">
        <v>2730</v>
      </c>
      <c r="V43" t="s">
        <v>196</v>
      </c>
      <c r="W43" t="s">
        <v>2730</v>
      </c>
      <c r="X43" t="s">
        <v>197</v>
      </c>
      <c r="Y43">
        <v>3</v>
      </c>
      <c r="Z43">
        <v>3</v>
      </c>
      <c r="AA43">
        <v>2</v>
      </c>
      <c r="AB43">
        <v>3</v>
      </c>
      <c r="AC43">
        <v>3</v>
      </c>
      <c r="AD43" t="s">
        <v>2730</v>
      </c>
      <c r="AE43" t="s">
        <v>2730</v>
      </c>
      <c r="AF43" t="s">
        <v>128</v>
      </c>
      <c r="AG43" t="s">
        <v>2730</v>
      </c>
      <c r="AH43" t="s">
        <v>2732</v>
      </c>
      <c r="AI43" t="s">
        <v>59</v>
      </c>
      <c r="AJ43" t="s">
        <v>59</v>
      </c>
      <c r="AK43" t="s">
        <v>59</v>
      </c>
      <c r="AL43" t="s">
        <v>59</v>
      </c>
      <c r="AM43" t="s">
        <v>59</v>
      </c>
      <c r="AN43" t="s">
        <v>59</v>
      </c>
      <c r="AO43" t="s">
        <v>59</v>
      </c>
      <c r="AP43" t="s">
        <v>59</v>
      </c>
      <c r="AQ43" t="s">
        <v>59</v>
      </c>
      <c r="AR43" t="s">
        <v>59</v>
      </c>
      <c r="AS43" t="s">
        <v>59</v>
      </c>
      <c r="AT43" t="s">
        <v>59</v>
      </c>
      <c r="AU43" t="s">
        <v>59</v>
      </c>
      <c r="AV43" t="s">
        <v>59</v>
      </c>
      <c r="AW43" t="s">
        <v>59</v>
      </c>
      <c r="AX43" t="s">
        <v>59</v>
      </c>
      <c r="AY43" t="s">
        <v>218</v>
      </c>
      <c r="AZ43" t="s">
        <v>59</v>
      </c>
      <c r="BA43" t="s">
        <v>59</v>
      </c>
      <c r="BB43" t="s">
        <v>59</v>
      </c>
      <c r="BC43" t="s">
        <v>59</v>
      </c>
      <c r="BD43" t="s">
        <v>59</v>
      </c>
      <c r="BE43" t="s">
        <v>59</v>
      </c>
      <c r="BF43" t="s">
        <v>59</v>
      </c>
      <c r="BG43" t="s">
        <v>218</v>
      </c>
      <c r="BH43" t="s">
        <v>218</v>
      </c>
      <c r="BI43" t="s">
        <v>59</v>
      </c>
      <c r="BJ43" t="s">
        <v>59</v>
      </c>
      <c r="BK43" t="s">
        <v>59</v>
      </c>
      <c r="BL43" t="s">
        <v>59</v>
      </c>
      <c r="BM43" t="s">
        <v>59</v>
      </c>
      <c r="BN43" t="s">
        <v>59</v>
      </c>
      <c r="BO43" t="s">
        <v>59</v>
      </c>
      <c r="BP43" t="s">
        <v>59</v>
      </c>
      <c r="BQ43" t="s">
        <v>59</v>
      </c>
      <c r="BR43" t="s">
        <v>59</v>
      </c>
      <c r="BS43" t="s">
        <v>59</v>
      </c>
      <c r="BT43" t="s">
        <v>59</v>
      </c>
      <c r="BU43" t="s">
        <v>59</v>
      </c>
      <c r="BV43" t="s">
        <v>59</v>
      </c>
      <c r="BW43" t="s">
        <v>59</v>
      </c>
      <c r="BX43" t="s">
        <v>59</v>
      </c>
      <c r="BY43" t="s">
        <v>59</v>
      </c>
      <c r="BZ43" t="s">
        <v>59</v>
      </c>
      <c r="CA43" t="s">
        <v>59</v>
      </c>
      <c r="CB43" t="s">
        <v>59</v>
      </c>
      <c r="CC43" t="s">
        <v>59</v>
      </c>
      <c r="CD43" t="s">
        <v>59</v>
      </c>
      <c r="CE43" t="s">
        <v>59</v>
      </c>
      <c r="CF43" t="s">
        <v>59</v>
      </c>
      <c r="CG43" t="s">
        <v>59</v>
      </c>
      <c r="CH43" t="s">
        <v>59</v>
      </c>
      <c r="CI43" t="s">
        <v>59</v>
      </c>
      <c r="CJ43" t="s">
        <v>59</v>
      </c>
      <c r="CK43" t="s">
        <v>59</v>
      </c>
      <c r="CL43" t="s">
        <v>59</v>
      </c>
      <c r="CM43" t="s">
        <v>59</v>
      </c>
      <c r="CN43" t="s">
        <v>59</v>
      </c>
      <c r="CO43" t="s">
        <v>59</v>
      </c>
      <c r="CP43" t="s">
        <v>59</v>
      </c>
      <c r="CQ43" t="s">
        <v>59</v>
      </c>
      <c r="CR43" t="s">
        <v>59</v>
      </c>
      <c r="CS43" t="s">
        <v>59</v>
      </c>
      <c r="CT43" t="s">
        <v>59</v>
      </c>
      <c r="CU43" t="s">
        <v>59</v>
      </c>
      <c r="CV43" t="s">
        <v>59</v>
      </c>
      <c r="CW43" t="s">
        <v>59</v>
      </c>
      <c r="CX43" t="s">
        <v>59</v>
      </c>
      <c r="CY43" t="s">
        <v>59</v>
      </c>
      <c r="CZ43" t="s">
        <v>59</v>
      </c>
      <c r="DA43" t="s">
        <v>59</v>
      </c>
      <c r="DB43" t="s">
        <v>59</v>
      </c>
      <c r="DC43" t="s">
        <v>59</v>
      </c>
      <c r="DD43" t="s">
        <v>59</v>
      </c>
      <c r="DE43" t="s">
        <v>59</v>
      </c>
      <c r="DF43" t="s">
        <v>59</v>
      </c>
      <c r="DG43" t="s">
        <v>59</v>
      </c>
      <c r="DH43" t="s">
        <v>59</v>
      </c>
      <c r="DI43" t="s">
        <v>59</v>
      </c>
      <c r="DJ43" t="s">
        <v>59</v>
      </c>
      <c r="DK43" t="s">
        <v>59</v>
      </c>
      <c r="DL43" t="s">
        <v>59</v>
      </c>
      <c r="DM43" t="s">
        <v>59</v>
      </c>
      <c r="DN43" t="s">
        <v>59</v>
      </c>
      <c r="DO43" t="s">
        <v>218</v>
      </c>
      <c r="DP43" t="s">
        <v>59</v>
      </c>
      <c r="DQ43" t="s">
        <v>59</v>
      </c>
      <c r="DR43" t="s">
        <v>59</v>
      </c>
      <c r="DS43" t="s">
        <v>59</v>
      </c>
      <c r="DT43" t="s">
        <v>59</v>
      </c>
      <c r="DU43" t="s">
        <v>59</v>
      </c>
      <c r="DV43" t="s">
        <v>59</v>
      </c>
      <c r="DW43" t="s">
        <v>59</v>
      </c>
      <c r="DX43" t="s">
        <v>59</v>
      </c>
      <c r="DY43" t="s">
        <v>59</v>
      </c>
      <c r="DZ43" t="s">
        <v>59</v>
      </c>
      <c r="EA43" t="s">
        <v>59</v>
      </c>
      <c r="EB43" t="s">
        <v>59</v>
      </c>
      <c r="EC43" t="s">
        <v>59</v>
      </c>
      <c r="ED43" t="s">
        <v>59</v>
      </c>
      <c r="EE43" t="s">
        <v>59</v>
      </c>
      <c r="EF43" t="s">
        <v>59</v>
      </c>
      <c r="EG43" t="s">
        <v>59</v>
      </c>
      <c r="EH43" t="s">
        <v>59</v>
      </c>
      <c r="EI43" t="s">
        <v>59</v>
      </c>
      <c r="EJ43" t="s">
        <v>59</v>
      </c>
      <c r="EK43" t="s">
        <v>59</v>
      </c>
      <c r="EL43" t="s">
        <v>59</v>
      </c>
      <c r="EM43" t="s">
        <v>59</v>
      </c>
      <c r="EN43" t="s">
        <v>59</v>
      </c>
      <c r="EO43" t="s">
        <v>59</v>
      </c>
      <c r="EP43" t="s">
        <v>59</v>
      </c>
      <c r="EQ43" t="s">
        <v>59</v>
      </c>
      <c r="ER43" t="s">
        <v>59</v>
      </c>
      <c r="ES43" t="s">
        <v>59</v>
      </c>
      <c r="ET43" t="s">
        <v>59</v>
      </c>
      <c r="EU43" t="s">
        <v>59</v>
      </c>
      <c r="EV43" t="s">
        <v>59</v>
      </c>
      <c r="EW43" t="s">
        <v>59</v>
      </c>
      <c r="EX43" t="s">
        <v>59</v>
      </c>
      <c r="EY43" t="s">
        <v>59</v>
      </c>
      <c r="EZ43" t="s">
        <v>59</v>
      </c>
      <c r="FA43" t="s">
        <v>59</v>
      </c>
      <c r="FB43" t="s">
        <v>59</v>
      </c>
      <c r="FC43" t="s">
        <v>59</v>
      </c>
      <c r="FD43" t="s">
        <v>59</v>
      </c>
      <c r="FE43" t="s">
        <v>59</v>
      </c>
      <c r="FF43" t="s">
        <v>59</v>
      </c>
      <c r="FG43" t="s">
        <v>59</v>
      </c>
      <c r="FH43" t="s">
        <v>59</v>
      </c>
      <c r="FI43" t="s">
        <v>59</v>
      </c>
      <c r="FJ43" t="s">
        <v>59</v>
      </c>
      <c r="FK43" t="s">
        <v>59</v>
      </c>
      <c r="FL43" t="s">
        <v>59</v>
      </c>
      <c r="FM43" t="s">
        <v>59</v>
      </c>
      <c r="FN43" t="s">
        <v>59</v>
      </c>
      <c r="FO43" t="s">
        <v>59</v>
      </c>
      <c r="FP43" t="s">
        <v>59</v>
      </c>
      <c r="FQ43" t="s">
        <v>59</v>
      </c>
      <c r="FR43" t="s">
        <v>59</v>
      </c>
      <c r="FS43" t="s">
        <v>218</v>
      </c>
      <c r="FT43" t="s">
        <v>59</v>
      </c>
      <c r="FU43" t="s">
        <v>59</v>
      </c>
      <c r="FV43" t="s">
        <v>59</v>
      </c>
      <c r="FW43" t="s">
        <v>59</v>
      </c>
      <c r="FX43" t="s">
        <v>59</v>
      </c>
      <c r="FY43" t="s">
        <v>59</v>
      </c>
      <c r="FZ43" t="s">
        <v>59</v>
      </c>
      <c r="GA43" t="s">
        <v>59</v>
      </c>
      <c r="GB43" t="s">
        <v>59</v>
      </c>
      <c r="GC43" t="s">
        <v>59</v>
      </c>
      <c r="GD43" t="s">
        <v>59</v>
      </c>
      <c r="GE43" t="s">
        <v>59</v>
      </c>
      <c r="GF43" t="s">
        <v>59</v>
      </c>
      <c r="GG43" t="s">
        <v>59</v>
      </c>
      <c r="GH43" t="s">
        <v>59</v>
      </c>
      <c r="GI43" t="s">
        <v>59</v>
      </c>
      <c r="GJ43" t="s">
        <v>59</v>
      </c>
      <c r="GK43" t="s">
        <v>59</v>
      </c>
      <c r="GL43" t="s">
        <v>59</v>
      </c>
      <c r="GM43" t="s">
        <v>59</v>
      </c>
      <c r="GN43" t="s">
        <v>59</v>
      </c>
      <c r="GO43" t="s">
        <v>59</v>
      </c>
      <c r="GP43" t="s">
        <v>59</v>
      </c>
      <c r="GQ43" t="s">
        <v>218</v>
      </c>
      <c r="GR43" t="s">
        <v>59</v>
      </c>
      <c r="GS43" t="s">
        <v>59</v>
      </c>
      <c r="GT43" t="s">
        <v>59</v>
      </c>
      <c r="GU43" t="s">
        <v>59</v>
      </c>
      <c r="GV43" t="s">
        <v>59</v>
      </c>
      <c r="GW43" t="s">
        <v>59</v>
      </c>
      <c r="GX43" t="s">
        <v>59</v>
      </c>
      <c r="GY43" t="s">
        <v>59</v>
      </c>
      <c r="GZ43" t="s">
        <v>59</v>
      </c>
      <c r="HA43" t="s">
        <v>218</v>
      </c>
      <c r="HB43" t="s">
        <v>218</v>
      </c>
      <c r="HC43" t="s">
        <v>59</v>
      </c>
      <c r="HD43" t="s">
        <v>59</v>
      </c>
      <c r="HE43" t="s">
        <v>59</v>
      </c>
      <c r="HF43" t="s">
        <v>59</v>
      </c>
      <c r="HG43" t="s">
        <v>59</v>
      </c>
      <c r="HH43" t="s">
        <v>59</v>
      </c>
      <c r="HI43" t="s">
        <v>59</v>
      </c>
      <c r="HJ43" t="s">
        <v>59</v>
      </c>
      <c r="HK43" t="s">
        <v>59</v>
      </c>
      <c r="HL43" t="s">
        <v>59</v>
      </c>
      <c r="HM43" t="s">
        <v>218</v>
      </c>
      <c r="HN43" t="s">
        <v>218</v>
      </c>
      <c r="HO43" t="s">
        <v>218</v>
      </c>
      <c r="HP43" t="s">
        <v>59</v>
      </c>
      <c r="HQ43" t="s">
        <v>59</v>
      </c>
      <c r="HR43" t="s">
        <v>59</v>
      </c>
      <c r="HS43" t="s">
        <v>59</v>
      </c>
      <c r="HT43" t="s">
        <v>59</v>
      </c>
      <c r="HU43" t="s">
        <v>59</v>
      </c>
      <c r="HV43" t="s">
        <v>59</v>
      </c>
      <c r="HW43" t="s">
        <v>59</v>
      </c>
      <c r="HX43" t="s">
        <v>59</v>
      </c>
      <c r="HY43" t="s">
        <v>59</v>
      </c>
      <c r="HZ43" t="s">
        <v>59</v>
      </c>
      <c r="IA43" t="s">
        <v>59</v>
      </c>
      <c r="IB43" t="s">
        <v>59</v>
      </c>
      <c r="IC43" t="s">
        <v>59</v>
      </c>
      <c r="ID43" t="s">
        <v>59</v>
      </c>
      <c r="IE43" t="s">
        <v>59</v>
      </c>
      <c r="IF43" t="s">
        <v>59</v>
      </c>
      <c r="IG43" t="s">
        <v>59</v>
      </c>
      <c r="IH43" t="s">
        <v>59</v>
      </c>
      <c r="II43" t="s">
        <v>59</v>
      </c>
      <c r="IJ43" t="s">
        <v>129</v>
      </c>
      <c r="IK43" t="s">
        <v>191</v>
      </c>
      <c r="IL43" t="s">
        <v>128</v>
      </c>
      <c r="IM43" t="s">
        <v>199</v>
      </c>
      <c r="IN43">
        <v>29</v>
      </c>
      <c r="IO43" t="s">
        <v>2730</v>
      </c>
      <c r="IP43" t="s">
        <v>2730</v>
      </c>
      <c r="IQ43" t="s">
        <v>2730</v>
      </c>
      <c r="IR43">
        <v>15</v>
      </c>
      <c r="IS43" t="s">
        <v>2730</v>
      </c>
      <c r="IT43" t="s">
        <v>2730</v>
      </c>
      <c r="IU43" t="s">
        <v>2730</v>
      </c>
      <c r="IV43">
        <v>19</v>
      </c>
      <c r="IW43" t="s">
        <v>2730</v>
      </c>
      <c r="IX43" t="s">
        <v>2730</v>
      </c>
      <c r="IY43" t="s">
        <v>2730</v>
      </c>
      <c r="IZ43">
        <v>58</v>
      </c>
      <c r="JA43" t="s">
        <v>2730</v>
      </c>
      <c r="JB43" t="s">
        <v>2730</v>
      </c>
      <c r="JC43" t="s">
        <v>2730</v>
      </c>
      <c r="JD43">
        <v>25</v>
      </c>
      <c r="JE43" t="s">
        <v>2730</v>
      </c>
      <c r="JF43" t="s">
        <v>2730</v>
      </c>
      <c r="JG43" t="s">
        <v>2730</v>
      </c>
      <c r="JH43">
        <v>24</v>
      </c>
      <c r="JI43" t="s">
        <v>2730</v>
      </c>
      <c r="JJ43" t="s">
        <v>2730</v>
      </c>
      <c r="JK43" t="s">
        <v>2730</v>
      </c>
      <c r="JL43">
        <v>16</v>
      </c>
      <c r="JM43" t="s">
        <v>2730</v>
      </c>
      <c r="JN43" t="s">
        <v>2730</v>
      </c>
      <c r="JO43">
        <v>4</v>
      </c>
      <c r="JP43" t="s">
        <v>2730</v>
      </c>
      <c r="JQ43" t="s">
        <v>2730</v>
      </c>
    </row>
    <row r="44" spans="1:277">
      <c r="A44" s="149" t="str">
        <f>HYPERLINK("http://www.ofsted.gov.uk/inspection-reports/find-inspection-report/provider/ELS/109723 ","Ofsted School Webpage")</f>
        <v>Ofsted School Webpage</v>
      </c>
      <c r="B44">
        <v>1135413</v>
      </c>
      <c r="C44">
        <v>109723</v>
      </c>
      <c r="D44">
        <v>8236007</v>
      </c>
      <c r="E44" t="s">
        <v>414</v>
      </c>
      <c r="F44" t="s">
        <v>37</v>
      </c>
      <c r="G44" t="s">
        <v>209</v>
      </c>
      <c r="H44" t="s">
        <v>220</v>
      </c>
      <c r="I44" t="s">
        <v>220</v>
      </c>
      <c r="J44" t="s">
        <v>415</v>
      </c>
      <c r="K44" t="s">
        <v>416</v>
      </c>
      <c r="L44" t="s">
        <v>184</v>
      </c>
      <c r="M44" t="s">
        <v>185</v>
      </c>
      <c r="N44" t="s">
        <v>184</v>
      </c>
      <c r="O44" t="s">
        <v>2730</v>
      </c>
      <c r="P44" t="s">
        <v>186</v>
      </c>
      <c r="Q44">
        <v>10026060</v>
      </c>
      <c r="R44" s="120">
        <v>43011</v>
      </c>
      <c r="S44" s="120">
        <v>43013</v>
      </c>
      <c r="T44" s="120">
        <v>43055</v>
      </c>
      <c r="U44" t="s">
        <v>2730</v>
      </c>
      <c r="V44" t="s">
        <v>196</v>
      </c>
      <c r="W44" t="s">
        <v>2730</v>
      </c>
      <c r="X44" t="s">
        <v>197</v>
      </c>
      <c r="Y44">
        <v>2</v>
      </c>
      <c r="Z44">
        <v>2</v>
      </c>
      <c r="AA44">
        <v>2</v>
      </c>
      <c r="AB44">
        <v>2</v>
      </c>
      <c r="AC44">
        <v>2</v>
      </c>
      <c r="AD44">
        <v>2</v>
      </c>
      <c r="AE44" t="s">
        <v>2730</v>
      </c>
      <c r="AF44" t="s">
        <v>128</v>
      </c>
      <c r="AG44" t="s">
        <v>2730</v>
      </c>
      <c r="AH44" t="s">
        <v>2732</v>
      </c>
      <c r="AI44" t="s">
        <v>59</v>
      </c>
      <c r="AJ44" t="s">
        <v>59</v>
      </c>
      <c r="AK44" t="s">
        <v>59</v>
      </c>
      <c r="AL44" t="s">
        <v>59</v>
      </c>
      <c r="AM44" t="s">
        <v>59</v>
      </c>
      <c r="AN44" t="s">
        <v>59</v>
      </c>
      <c r="AO44" t="s">
        <v>59</v>
      </c>
      <c r="AP44" t="s">
        <v>59</v>
      </c>
      <c r="AQ44" t="s">
        <v>59</v>
      </c>
      <c r="AR44" t="s">
        <v>59</v>
      </c>
      <c r="AS44" t="s">
        <v>59</v>
      </c>
      <c r="AT44" t="s">
        <v>59</v>
      </c>
      <c r="AU44" t="s">
        <v>59</v>
      </c>
      <c r="AV44" t="s">
        <v>59</v>
      </c>
      <c r="AW44" t="s">
        <v>59</v>
      </c>
      <c r="AX44" t="s">
        <v>59</v>
      </c>
      <c r="AY44" t="s">
        <v>218</v>
      </c>
      <c r="AZ44" t="s">
        <v>59</v>
      </c>
      <c r="BA44" t="s">
        <v>59</v>
      </c>
      <c r="BB44" t="s">
        <v>59</v>
      </c>
      <c r="BC44" t="s">
        <v>218</v>
      </c>
      <c r="BD44" t="s">
        <v>218</v>
      </c>
      <c r="BE44" t="s">
        <v>218</v>
      </c>
      <c r="BF44" t="s">
        <v>218</v>
      </c>
      <c r="BG44" t="s">
        <v>59</v>
      </c>
      <c r="BH44" t="s">
        <v>218</v>
      </c>
      <c r="BI44" t="s">
        <v>59</v>
      </c>
      <c r="BJ44" t="s">
        <v>59</v>
      </c>
      <c r="BK44" t="s">
        <v>59</v>
      </c>
      <c r="BL44" t="s">
        <v>59</v>
      </c>
      <c r="BM44" t="s">
        <v>59</v>
      </c>
      <c r="BN44" t="s">
        <v>59</v>
      </c>
      <c r="BO44" t="s">
        <v>59</v>
      </c>
      <c r="BP44" t="s">
        <v>59</v>
      </c>
      <c r="BQ44" t="s">
        <v>59</v>
      </c>
      <c r="BR44" t="s">
        <v>59</v>
      </c>
      <c r="BS44" t="s">
        <v>59</v>
      </c>
      <c r="BT44" t="s">
        <v>59</v>
      </c>
      <c r="BU44" t="s">
        <v>59</v>
      </c>
      <c r="BV44" t="s">
        <v>59</v>
      </c>
      <c r="BW44" t="s">
        <v>59</v>
      </c>
      <c r="BX44" t="s">
        <v>59</v>
      </c>
      <c r="BY44" t="s">
        <v>59</v>
      </c>
      <c r="BZ44" t="s">
        <v>59</v>
      </c>
      <c r="CA44" t="s">
        <v>59</v>
      </c>
      <c r="CB44" t="s">
        <v>59</v>
      </c>
      <c r="CC44" t="s">
        <v>59</v>
      </c>
      <c r="CD44" t="s">
        <v>59</v>
      </c>
      <c r="CE44" t="s">
        <v>59</v>
      </c>
      <c r="CF44" t="s">
        <v>59</v>
      </c>
      <c r="CG44" t="s">
        <v>59</v>
      </c>
      <c r="CH44" t="s">
        <v>59</v>
      </c>
      <c r="CI44" t="s">
        <v>59</v>
      </c>
      <c r="CJ44" t="s">
        <v>59</v>
      </c>
      <c r="CK44" t="s">
        <v>59</v>
      </c>
      <c r="CL44" t="s">
        <v>59</v>
      </c>
      <c r="CM44" t="s">
        <v>59</v>
      </c>
      <c r="CN44" t="s">
        <v>59</v>
      </c>
      <c r="CO44" t="s">
        <v>59</v>
      </c>
      <c r="CP44" t="s">
        <v>218</v>
      </c>
      <c r="CQ44" t="s">
        <v>218</v>
      </c>
      <c r="CR44" t="s">
        <v>59</v>
      </c>
      <c r="CS44" t="s">
        <v>59</v>
      </c>
      <c r="CT44" t="s">
        <v>59</v>
      </c>
      <c r="CU44" t="s">
        <v>59</v>
      </c>
      <c r="CV44" t="s">
        <v>59</v>
      </c>
      <c r="CW44" t="s">
        <v>59</v>
      </c>
      <c r="CX44" t="s">
        <v>59</v>
      </c>
      <c r="CY44" t="s">
        <v>59</v>
      </c>
      <c r="CZ44" t="s">
        <v>59</v>
      </c>
      <c r="DA44" t="s">
        <v>59</v>
      </c>
      <c r="DB44" t="s">
        <v>59</v>
      </c>
      <c r="DC44" t="s">
        <v>59</v>
      </c>
      <c r="DD44" t="s">
        <v>59</v>
      </c>
      <c r="DE44" t="s">
        <v>59</v>
      </c>
      <c r="DF44" t="s">
        <v>59</v>
      </c>
      <c r="DG44" t="s">
        <v>59</v>
      </c>
      <c r="DH44" t="s">
        <v>59</v>
      </c>
      <c r="DI44" t="s">
        <v>59</v>
      </c>
      <c r="DJ44" t="s">
        <v>59</v>
      </c>
      <c r="DK44" t="s">
        <v>59</v>
      </c>
      <c r="DL44" t="s">
        <v>59</v>
      </c>
      <c r="DM44" t="s">
        <v>59</v>
      </c>
      <c r="DN44" t="s">
        <v>218</v>
      </c>
      <c r="DO44" t="s">
        <v>218</v>
      </c>
      <c r="DP44" t="s">
        <v>59</v>
      </c>
      <c r="DQ44" t="s">
        <v>218</v>
      </c>
      <c r="DR44" t="s">
        <v>218</v>
      </c>
      <c r="DS44" t="s">
        <v>218</v>
      </c>
      <c r="DT44" t="s">
        <v>218</v>
      </c>
      <c r="DU44" t="s">
        <v>218</v>
      </c>
      <c r="DV44" t="s">
        <v>218</v>
      </c>
      <c r="DW44" t="s">
        <v>218</v>
      </c>
      <c r="DX44" t="s">
        <v>218</v>
      </c>
      <c r="DY44" t="s">
        <v>218</v>
      </c>
      <c r="DZ44" t="s">
        <v>218</v>
      </c>
      <c r="EA44" t="s">
        <v>218</v>
      </c>
      <c r="EB44" t="s">
        <v>218</v>
      </c>
      <c r="EC44" t="s">
        <v>218</v>
      </c>
      <c r="ED44" t="s">
        <v>59</v>
      </c>
      <c r="EE44" t="s">
        <v>218</v>
      </c>
      <c r="EF44" t="s">
        <v>218</v>
      </c>
      <c r="EG44" t="s">
        <v>218</v>
      </c>
      <c r="EH44" t="s">
        <v>218</v>
      </c>
      <c r="EI44" t="s">
        <v>218</v>
      </c>
      <c r="EJ44" t="s">
        <v>218</v>
      </c>
      <c r="EK44" t="s">
        <v>218</v>
      </c>
      <c r="EL44" t="s">
        <v>218</v>
      </c>
      <c r="EM44" t="s">
        <v>59</v>
      </c>
      <c r="EN44" t="s">
        <v>59</v>
      </c>
      <c r="EO44" t="s">
        <v>59</v>
      </c>
      <c r="EP44" t="s">
        <v>59</v>
      </c>
      <c r="EQ44" t="s">
        <v>59</v>
      </c>
      <c r="ER44" t="s">
        <v>59</v>
      </c>
      <c r="ES44" t="s">
        <v>59</v>
      </c>
      <c r="ET44" t="s">
        <v>59</v>
      </c>
      <c r="EU44" t="s">
        <v>59</v>
      </c>
      <c r="EV44" t="s">
        <v>59</v>
      </c>
      <c r="EW44" t="s">
        <v>59</v>
      </c>
      <c r="EX44" t="s">
        <v>59</v>
      </c>
      <c r="EY44" t="s">
        <v>59</v>
      </c>
      <c r="EZ44" t="s">
        <v>59</v>
      </c>
      <c r="FA44" t="s">
        <v>59</v>
      </c>
      <c r="FB44" t="s">
        <v>218</v>
      </c>
      <c r="FC44" t="s">
        <v>218</v>
      </c>
      <c r="FD44" t="s">
        <v>218</v>
      </c>
      <c r="FE44" t="s">
        <v>59</v>
      </c>
      <c r="FF44" t="s">
        <v>218</v>
      </c>
      <c r="FG44" t="s">
        <v>218</v>
      </c>
      <c r="FH44" t="s">
        <v>218</v>
      </c>
      <c r="FI44" t="s">
        <v>218</v>
      </c>
      <c r="FJ44" t="s">
        <v>191</v>
      </c>
      <c r="FK44" t="s">
        <v>218</v>
      </c>
      <c r="FL44" t="s">
        <v>59</v>
      </c>
      <c r="FM44" t="s">
        <v>59</v>
      </c>
      <c r="FN44" t="s">
        <v>59</v>
      </c>
      <c r="FO44" t="s">
        <v>218</v>
      </c>
      <c r="FP44" t="s">
        <v>59</v>
      </c>
      <c r="FQ44" t="s">
        <v>59</v>
      </c>
      <c r="FR44" t="s">
        <v>59</v>
      </c>
      <c r="FS44" t="s">
        <v>218</v>
      </c>
      <c r="FT44" t="s">
        <v>59</v>
      </c>
      <c r="FU44" t="s">
        <v>59</v>
      </c>
      <c r="FV44" t="s">
        <v>59</v>
      </c>
      <c r="FW44" t="s">
        <v>59</v>
      </c>
      <c r="FX44" t="s">
        <v>59</v>
      </c>
      <c r="FY44" t="s">
        <v>59</v>
      </c>
      <c r="FZ44" t="s">
        <v>59</v>
      </c>
      <c r="GA44" t="s">
        <v>59</v>
      </c>
      <c r="GB44" t="s">
        <v>59</v>
      </c>
      <c r="GC44" t="s">
        <v>59</v>
      </c>
      <c r="GD44" t="s">
        <v>59</v>
      </c>
      <c r="GE44" t="s">
        <v>59</v>
      </c>
      <c r="GF44" t="s">
        <v>59</v>
      </c>
      <c r="GG44" t="s">
        <v>59</v>
      </c>
      <c r="GH44" t="s">
        <v>59</v>
      </c>
      <c r="GI44" t="s">
        <v>59</v>
      </c>
      <c r="GJ44" t="s">
        <v>59</v>
      </c>
      <c r="GK44" t="s">
        <v>218</v>
      </c>
      <c r="GL44" t="s">
        <v>59</v>
      </c>
      <c r="GM44" t="s">
        <v>59</v>
      </c>
      <c r="GN44" t="s">
        <v>59</v>
      </c>
      <c r="GO44" t="s">
        <v>59</v>
      </c>
      <c r="GP44" t="s">
        <v>218</v>
      </c>
      <c r="GQ44" t="s">
        <v>218</v>
      </c>
      <c r="GR44" t="s">
        <v>59</v>
      </c>
      <c r="GS44" t="s">
        <v>59</v>
      </c>
      <c r="GT44" t="s">
        <v>218</v>
      </c>
      <c r="GU44" t="s">
        <v>218</v>
      </c>
      <c r="GV44" t="s">
        <v>59</v>
      </c>
      <c r="GW44" t="s">
        <v>59</v>
      </c>
      <c r="GX44" t="s">
        <v>59</v>
      </c>
      <c r="GY44" t="s">
        <v>59</v>
      </c>
      <c r="GZ44" t="s">
        <v>59</v>
      </c>
      <c r="HA44" t="s">
        <v>218</v>
      </c>
      <c r="HB44" t="s">
        <v>218</v>
      </c>
      <c r="HC44" t="s">
        <v>59</v>
      </c>
      <c r="HD44" t="s">
        <v>59</v>
      </c>
      <c r="HE44" t="s">
        <v>59</v>
      </c>
      <c r="HF44" t="s">
        <v>59</v>
      </c>
      <c r="HG44" t="s">
        <v>59</v>
      </c>
      <c r="HH44" t="s">
        <v>59</v>
      </c>
      <c r="HI44" t="s">
        <v>218</v>
      </c>
      <c r="HJ44" t="s">
        <v>59</v>
      </c>
      <c r="HK44" t="s">
        <v>218</v>
      </c>
      <c r="HL44" t="s">
        <v>218</v>
      </c>
      <c r="HM44" t="s">
        <v>218</v>
      </c>
      <c r="HN44" t="s">
        <v>218</v>
      </c>
      <c r="HO44" t="s">
        <v>218</v>
      </c>
      <c r="HP44" t="s">
        <v>59</v>
      </c>
      <c r="HQ44" t="s">
        <v>59</v>
      </c>
      <c r="HR44" t="s">
        <v>59</v>
      </c>
      <c r="HS44" t="s">
        <v>59</v>
      </c>
      <c r="HT44" t="s">
        <v>59</v>
      </c>
      <c r="HU44" t="s">
        <v>59</v>
      </c>
      <c r="HV44" t="s">
        <v>59</v>
      </c>
      <c r="HW44" t="s">
        <v>59</v>
      </c>
      <c r="HX44" t="s">
        <v>59</v>
      </c>
      <c r="HY44" t="s">
        <v>59</v>
      </c>
      <c r="HZ44" t="s">
        <v>59</v>
      </c>
      <c r="IA44" t="s">
        <v>59</v>
      </c>
      <c r="IB44" t="s">
        <v>59</v>
      </c>
      <c r="IC44" t="s">
        <v>59</v>
      </c>
      <c r="ID44" t="s">
        <v>59</v>
      </c>
      <c r="IE44" t="s">
        <v>59</v>
      </c>
      <c r="IF44" t="s">
        <v>59</v>
      </c>
      <c r="IG44" t="s">
        <v>59</v>
      </c>
      <c r="IH44" t="s">
        <v>59</v>
      </c>
      <c r="II44" t="s">
        <v>59</v>
      </c>
      <c r="IJ44" t="s">
        <v>129</v>
      </c>
      <c r="IK44" t="s">
        <v>191</v>
      </c>
      <c r="IL44" t="s">
        <v>128</v>
      </c>
      <c r="IM44" t="s">
        <v>199</v>
      </c>
      <c r="IN44">
        <v>26</v>
      </c>
      <c r="IO44" t="s">
        <v>2730</v>
      </c>
      <c r="IP44" t="s">
        <v>2730</v>
      </c>
      <c r="IQ44" t="s">
        <v>2730</v>
      </c>
      <c r="IR44">
        <v>15</v>
      </c>
      <c r="IS44" t="s">
        <v>2730</v>
      </c>
      <c r="IT44" t="s">
        <v>2730</v>
      </c>
      <c r="IU44" t="s">
        <v>2730</v>
      </c>
      <c r="IV44">
        <v>17</v>
      </c>
      <c r="IW44" t="s">
        <v>2730</v>
      </c>
      <c r="IX44" t="s">
        <v>2730</v>
      </c>
      <c r="IY44" t="s">
        <v>2730</v>
      </c>
      <c r="IZ44">
        <v>27</v>
      </c>
      <c r="JA44" t="s">
        <v>2730</v>
      </c>
      <c r="JB44">
        <v>1</v>
      </c>
      <c r="JC44" t="s">
        <v>2730</v>
      </c>
      <c r="JD44">
        <v>23</v>
      </c>
      <c r="JE44" t="s">
        <v>2730</v>
      </c>
      <c r="JF44" t="s">
        <v>2730</v>
      </c>
      <c r="JG44" t="s">
        <v>2730</v>
      </c>
      <c r="JH44">
        <v>18</v>
      </c>
      <c r="JI44" t="s">
        <v>2730</v>
      </c>
      <c r="JJ44" t="s">
        <v>2730</v>
      </c>
      <c r="JK44" t="s">
        <v>2730</v>
      </c>
      <c r="JL44">
        <v>16</v>
      </c>
      <c r="JM44" t="s">
        <v>2730</v>
      </c>
      <c r="JN44" t="s">
        <v>2730</v>
      </c>
      <c r="JO44">
        <v>4</v>
      </c>
      <c r="JP44" t="s">
        <v>2730</v>
      </c>
      <c r="JQ44" t="s">
        <v>2730</v>
      </c>
    </row>
    <row r="45" spans="1:277">
      <c r="A45" s="149" t="str">
        <f>HYPERLINK("http://www.ofsted.gov.uk/inspection-reports/find-inspection-report/provider/ELS/133521 ","Ofsted School Webpage")</f>
        <v>Ofsted School Webpage</v>
      </c>
      <c r="B45">
        <v>1133060</v>
      </c>
      <c r="C45">
        <v>133521</v>
      </c>
      <c r="D45">
        <v>3306102</v>
      </c>
      <c r="E45" t="s">
        <v>308</v>
      </c>
      <c r="F45" t="s">
        <v>37</v>
      </c>
      <c r="G45" t="s">
        <v>209</v>
      </c>
      <c r="H45" t="s">
        <v>193</v>
      </c>
      <c r="I45" t="s">
        <v>193</v>
      </c>
      <c r="J45" t="s">
        <v>210</v>
      </c>
      <c r="K45" t="s">
        <v>309</v>
      </c>
      <c r="L45" t="s">
        <v>184</v>
      </c>
      <c r="M45" t="s">
        <v>185</v>
      </c>
      <c r="N45" t="s">
        <v>223</v>
      </c>
      <c r="O45" t="s">
        <v>2730</v>
      </c>
      <c r="P45" t="s">
        <v>186</v>
      </c>
      <c r="Q45">
        <v>10040956</v>
      </c>
      <c r="R45" s="120">
        <v>43025</v>
      </c>
      <c r="S45" s="120">
        <v>43027</v>
      </c>
      <c r="T45" s="120">
        <v>43062</v>
      </c>
      <c r="U45" t="s">
        <v>2730</v>
      </c>
      <c r="V45" t="s">
        <v>196</v>
      </c>
      <c r="W45" t="s">
        <v>2730</v>
      </c>
      <c r="X45" t="s">
        <v>197</v>
      </c>
      <c r="Y45">
        <v>4</v>
      </c>
      <c r="Z45">
        <v>4</v>
      </c>
      <c r="AA45">
        <v>2</v>
      </c>
      <c r="AB45">
        <v>3</v>
      </c>
      <c r="AC45">
        <v>3</v>
      </c>
      <c r="AD45">
        <v>2</v>
      </c>
      <c r="AE45" t="s">
        <v>2730</v>
      </c>
      <c r="AF45" t="s">
        <v>128</v>
      </c>
      <c r="AG45" t="s">
        <v>2730</v>
      </c>
      <c r="AH45" t="s">
        <v>2733</v>
      </c>
      <c r="AI45" t="s">
        <v>59</v>
      </c>
      <c r="AJ45" t="s">
        <v>59</v>
      </c>
      <c r="AK45" t="s">
        <v>59</v>
      </c>
      <c r="AL45" t="s">
        <v>59</v>
      </c>
      <c r="AM45" t="s">
        <v>59</v>
      </c>
      <c r="AN45" t="s">
        <v>60</v>
      </c>
      <c r="AO45" t="s">
        <v>59</v>
      </c>
      <c r="AP45" t="s">
        <v>60</v>
      </c>
      <c r="AQ45" t="s">
        <v>59</v>
      </c>
      <c r="AR45" t="s">
        <v>59</v>
      </c>
      <c r="AS45" t="s">
        <v>59</v>
      </c>
      <c r="AT45" t="s">
        <v>59</v>
      </c>
      <c r="AU45" t="s">
        <v>59</v>
      </c>
      <c r="AV45" t="s">
        <v>59</v>
      </c>
      <c r="AW45" t="s">
        <v>59</v>
      </c>
      <c r="AX45" t="s">
        <v>59</v>
      </c>
      <c r="AY45" t="s">
        <v>218</v>
      </c>
      <c r="AZ45" t="s">
        <v>59</v>
      </c>
      <c r="BA45" t="s">
        <v>59</v>
      </c>
      <c r="BB45" t="s">
        <v>59</v>
      </c>
      <c r="BC45" t="s">
        <v>218</v>
      </c>
      <c r="BD45" t="s">
        <v>218</v>
      </c>
      <c r="BE45" t="s">
        <v>218</v>
      </c>
      <c r="BF45" t="s">
        <v>218</v>
      </c>
      <c r="BG45" t="s">
        <v>59</v>
      </c>
      <c r="BH45" t="s">
        <v>218</v>
      </c>
      <c r="BI45" t="s">
        <v>59</v>
      </c>
      <c r="BJ45" t="s">
        <v>59</v>
      </c>
      <c r="BK45" t="s">
        <v>60</v>
      </c>
      <c r="BL45" t="s">
        <v>60</v>
      </c>
      <c r="BM45" t="s">
        <v>59</v>
      </c>
      <c r="BN45" t="s">
        <v>60</v>
      </c>
      <c r="BO45" t="s">
        <v>59</v>
      </c>
      <c r="BP45" t="s">
        <v>59</v>
      </c>
      <c r="BQ45" t="s">
        <v>59</v>
      </c>
      <c r="BR45" t="s">
        <v>59</v>
      </c>
      <c r="BS45" t="s">
        <v>59</v>
      </c>
      <c r="BT45" t="s">
        <v>59</v>
      </c>
      <c r="BU45" t="s">
        <v>59</v>
      </c>
      <c r="BV45" t="s">
        <v>59</v>
      </c>
      <c r="BW45" t="s">
        <v>59</v>
      </c>
      <c r="BX45" t="s">
        <v>59</v>
      </c>
      <c r="BY45" t="s">
        <v>59</v>
      </c>
      <c r="BZ45" t="s">
        <v>59</v>
      </c>
      <c r="CA45" t="s">
        <v>59</v>
      </c>
      <c r="CB45" t="s">
        <v>59</v>
      </c>
      <c r="CC45" t="s">
        <v>59</v>
      </c>
      <c r="CD45" t="s">
        <v>59</v>
      </c>
      <c r="CE45" t="s">
        <v>59</v>
      </c>
      <c r="CF45" t="s">
        <v>59</v>
      </c>
      <c r="CG45" t="s">
        <v>59</v>
      </c>
      <c r="CH45" t="s">
        <v>59</v>
      </c>
      <c r="CI45" t="s">
        <v>59</v>
      </c>
      <c r="CJ45" t="s">
        <v>59</v>
      </c>
      <c r="CK45" t="s">
        <v>59</v>
      </c>
      <c r="CL45" t="s">
        <v>59</v>
      </c>
      <c r="CM45" t="s">
        <v>59</v>
      </c>
      <c r="CN45" t="s">
        <v>59</v>
      </c>
      <c r="CO45" t="s">
        <v>218</v>
      </c>
      <c r="CP45" t="s">
        <v>218</v>
      </c>
      <c r="CQ45" t="s">
        <v>218</v>
      </c>
      <c r="CR45" t="s">
        <v>59</v>
      </c>
      <c r="CS45" t="s">
        <v>59</v>
      </c>
      <c r="CT45" t="s">
        <v>59</v>
      </c>
      <c r="CU45" t="s">
        <v>59</v>
      </c>
      <c r="CV45" t="s">
        <v>59</v>
      </c>
      <c r="CW45" t="s">
        <v>59</v>
      </c>
      <c r="CX45" t="s">
        <v>59</v>
      </c>
      <c r="CY45" t="s">
        <v>59</v>
      </c>
      <c r="CZ45" t="s">
        <v>59</v>
      </c>
      <c r="DA45" t="s">
        <v>59</v>
      </c>
      <c r="DB45" t="s">
        <v>59</v>
      </c>
      <c r="DC45" t="s">
        <v>59</v>
      </c>
      <c r="DD45" t="s">
        <v>59</v>
      </c>
      <c r="DE45" t="s">
        <v>59</v>
      </c>
      <c r="DF45" t="s">
        <v>59</v>
      </c>
      <c r="DG45" t="s">
        <v>59</v>
      </c>
      <c r="DH45" t="s">
        <v>59</v>
      </c>
      <c r="DI45" t="s">
        <v>59</v>
      </c>
      <c r="DJ45" t="s">
        <v>59</v>
      </c>
      <c r="DK45" t="s">
        <v>59</v>
      </c>
      <c r="DL45" t="s">
        <v>59</v>
      </c>
      <c r="DM45" t="s">
        <v>59</v>
      </c>
      <c r="DN45" t="s">
        <v>59</v>
      </c>
      <c r="DO45" t="s">
        <v>218</v>
      </c>
      <c r="DP45" t="s">
        <v>59</v>
      </c>
      <c r="DQ45" t="s">
        <v>59</v>
      </c>
      <c r="DR45" t="s">
        <v>59</v>
      </c>
      <c r="DS45" t="s">
        <v>59</v>
      </c>
      <c r="DT45" t="s">
        <v>59</v>
      </c>
      <c r="DU45" t="s">
        <v>59</v>
      </c>
      <c r="DV45" t="s">
        <v>59</v>
      </c>
      <c r="DW45" t="s">
        <v>59</v>
      </c>
      <c r="DX45" t="s">
        <v>59</v>
      </c>
      <c r="DY45" t="s">
        <v>59</v>
      </c>
      <c r="DZ45" t="s">
        <v>59</v>
      </c>
      <c r="EA45" t="s">
        <v>59</v>
      </c>
      <c r="EB45" t="s">
        <v>59</v>
      </c>
      <c r="EC45" t="s">
        <v>218</v>
      </c>
      <c r="ED45" t="s">
        <v>218</v>
      </c>
      <c r="EE45" t="s">
        <v>59</v>
      </c>
      <c r="EF45" t="s">
        <v>59</v>
      </c>
      <c r="EG45" t="s">
        <v>59</v>
      </c>
      <c r="EH45" t="s">
        <v>59</v>
      </c>
      <c r="EI45" t="s">
        <v>59</v>
      </c>
      <c r="EJ45" t="s">
        <v>59</v>
      </c>
      <c r="EK45" t="s">
        <v>59</v>
      </c>
      <c r="EL45" t="s">
        <v>59</v>
      </c>
      <c r="EM45" t="s">
        <v>59</v>
      </c>
      <c r="EN45" t="s">
        <v>59</v>
      </c>
      <c r="EO45" t="s">
        <v>59</v>
      </c>
      <c r="EP45" t="s">
        <v>59</v>
      </c>
      <c r="EQ45" t="s">
        <v>59</v>
      </c>
      <c r="ER45" t="s">
        <v>59</v>
      </c>
      <c r="ES45" t="s">
        <v>59</v>
      </c>
      <c r="ET45" t="s">
        <v>59</v>
      </c>
      <c r="EU45" t="s">
        <v>59</v>
      </c>
      <c r="EV45" t="s">
        <v>59</v>
      </c>
      <c r="EW45" t="s">
        <v>59</v>
      </c>
      <c r="EX45" t="s">
        <v>59</v>
      </c>
      <c r="EY45" t="s">
        <v>59</v>
      </c>
      <c r="EZ45" t="s">
        <v>59</v>
      </c>
      <c r="FA45" t="s">
        <v>59</v>
      </c>
      <c r="FB45" t="s">
        <v>59</v>
      </c>
      <c r="FC45" t="s">
        <v>59</v>
      </c>
      <c r="FD45" t="s">
        <v>59</v>
      </c>
      <c r="FE45" t="s">
        <v>59</v>
      </c>
      <c r="FF45" t="s">
        <v>59</v>
      </c>
      <c r="FG45" t="s">
        <v>59</v>
      </c>
      <c r="FH45" t="s">
        <v>59</v>
      </c>
      <c r="FI45" t="s">
        <v>59</v>
      </c>
      <c r="FJ45" t="s">
        <v>59</v>
      </c>
      <c r="FK45" t="s">
        <v>59</v>
      </c>
      <c r="FL45" t="s">
        <v>59</v>
      </c>
      <c r="FM45" t="s">
        <v>59</v>
      </c>
      <c r="FN45" t="s">
        <v>59</v>
      </c>
      <c r="FO45" t="s">
        <v>218</v>
      </c>
      <c r="FP45" t="s">
        <v>59</v>
      </c>
      <c r="FQ45" t="s">
        <v>59</v>
      </c>
      <c r="FR45" t="s">
        <v>59</v>
      </c>
      <c r="FS45" t="s">
        <v>218</v>
      </c>
      <c r="FT45" t="s">
        <v>59</v>
      </c>
      <c r="FU45" t="s">
        <v>59</v>
      </c>
      <c r="FV45" t="s">
        <v>59</v>
      </c>
      <c r="FW45" t="s">
        <v>59</v>
      </c>
      <c r="FX45" t="s">
        <v>59</v>
      </c>
      <c r="FY45" t="s">
        <v>59</v>
      </c>
      <c r="FZ45" t="s">
        <v>59</v>
      </c>
      <c r="GA45" t="s">
        <v>59</v>
      </c>
      <c r="GB45" t="s">
        <v>59</v>
      </c>
      <c r="GC45" t="s">
        <v>59</v>
      </c>
      <c r="GD45" t="s">
        <v>59</v>
      </c>
      <c r="GE45" t="s">
        <v>59</v>
      </c>
      <c r="GF45" t="s">
        <v>59</v>
      </c>
      <c r="GG45" t="s">
        <v>59</v>
      </c>
      <c r="GH45" t="s">
        <v>59</v>
      </c>
      <c r="GI45" t="s">
        <v>59</v>
      </c>
      <c r="GJ45" t="s">
        <v>59</v>
      </c>
      <c r="GK45" t="s">
        <v>218</v>
      </c>
      <c r="GL45" t="s">
        <v>60</v>
      </c>
      <c r="GM45" t="s">
        <v>60</v>
      </c>
      <c r="GN45" t="s">
        <v>60</v>
      </c>
      <c r="GO45" t="s">
        <v>60</v>
      </c>
      <c r="GP45" t="s">
        <v>60</v>
      </c>
      <c r="GQ45" t="s">
        <v>218</v>
      </c>
      <c r="GR45" t="s">
        <v>59</v>
      </c>
      <c r="GS45" t="s">
        <v>59</v>
      </c>
      <c r="GT45" t="s">
        <v>218</v>
      </c>
      <c r="GU45" t="s">
        <v>218</v>
      </c>
      <c r="GV45" t="s">
        <v>218</v>
      </c>
      <c r="GW45" t="s">
        <v>60</v>
      </c>
      <c r="GX45" t="s">
        <v>60</v>
      </c>
      <c r="GY45" t="s">
        <v>60</v>
      </c>
      <c r="GZ45" t="s">
        <v>218</v>
      </c>
      <c r="HA45" t="s">
        <v>60</v>
      </c>
      <c r="HB45" t="s">
        <v>60</v>
      </c>
      <c r="HC45" t="s">
        <v>60</v>
      </c>
      <c r="HD45" t="s">
        <v>60</v>
      </c>
      <c r="HE45" t="s">
        <v>60</v>
      </c>
      <c r="HF45" t="s">
        <v>60</v>
      </c>
      <c r="HG45" t="s">
        <v>60</v>
      </c>
      <c r="HH45" t="s">
        <v>60</v>
      </c>
      <c r="HI45" t="s">
        <v>60</v>
      </c>
      <c r="HJ45" t="s">
        <v>59</v>
      </c>
      <c r="HK45" t="s">
        <v>60</v>
      </c>
      <c r="HL45" t="s">
        <v>218</v>
      </c>
      <c r="HM45" t="s">
        <v>218</v>
      </c>
      <c r="HN45" t="s">
        <v>218</v>
      </c>
      <c r="HO45" t="s">
        <v>218</v>
      </c>
      <c r="HP45" t="s">
        <v>59</v>
      </c>
      <c r="HQ45" t="s">
        <v>59</v>
      </c>
      <c r="HR45" t="s">
        <v>59</v>
      </c>
      <c r="HS45" t="s">
        <v>59</v>
      </c>
      <c r="HT45" t="s">
        <v>59</v>
      </c>
      <c r="HU45" t="s">
        <v>59</v>
      </c>
      <c r="HV45" t="s">
        <v>59</v>
      </c>
      <c r="HW45" t="s">
        <v>59</v>
      </c>
      <c r="HX45" t="s">
        <v>59</v>
      </c>
      <c r="HY45" t="s">
        <v>59</v>
      </c>
      <c r="HZ45" t="s">
        <v>59</v>
      </c>
      <c r="IA45" t="s">
        <v>59</v>
      </c>
      <c r="IB45" t="s">
        <v>59</v>
      </c>
      <c r="IC45" t="s">
        <v>59</v>
      </c>
      <c r="ID45" t="s">
        <v>59</v>
      </c>
      <c r="IE45" t="s">
        <v>59</v>
      </c>
      <c r="IF45" t="s">
        <v>60</v>
      </c>
      <c r="IG45" t="s">
        <v>60</v>
      </c>
      <c r="IH45" t="s">
        <v>60</v>
      </c>
      <c r="II45" t="s">
        <v>59</v>
      </c>
      <c r="IJ45" t="s">
        <v>129</v>
      </c>
      <c r="IK45" t="s">
        <v>191</v>
      </c>
      <c r="IL45" t="s">
        <v>128</v>
      </c>
      <c r="IM45" t="s">
        <v>199</v>
      </c>
      <c r="IN45">
        <v>23</v>
      </c>
      <c r="IO45" t="s">
        <v>2730</v>
      </c>
      <c r="IP45" t="s">
        <v>2730</v>
      </c>
      <c r="IQ45">
        <v>3</v>
      </c>
      <c r="IR45">
        <v>15</v>
      </c>
      <c r="IS45" t="s">
        <v>2730</v>
      </c>
      <c r="IT45" t="s">
        <v>2730</v>
      </c>
      <c r="IU45" t="s">
        <v>2730</v>
      </c>
      <c r="IV45">
        <v>16</v>
      </c>
      <c r="IW45" t="s">
        <v>2730</v>
      </c>
      <c r="IX45" t="s">
        <v>2730</v>
      </c>
      <c r="IY45" t="s">
        <v>2730</v>
      </c>
      <c r="IZ45">
        <v>56</v>
      </c>
      <c r="JA45" t="s">
        <v>2730</v>
      </c>
      <c r="JB45" t="s">
        <v>2730</v>
      </c>
      <c r="JC45" t="s">
        <v>2730</v>
      </c>
      <c r="JD45">
        <v>23</v>
      </c>
      <c r="JE45" t="s">
        <v>2730</v>
      </c>
      <c r="JF45" t="s">
        <v>2730</v>
      </c>
      <c r="JG45" t="s">
        <v>2730</v>
      </c>
      <c r="JH45">
        <v>3</v>
      </c>
      <c r="JI45" t="s">
        <v>2730</v>
      </c>
      <c r="JJ45" t="s">
        <v>2730</v>
      </c>
      <c r="JK45">
        <v>18</v>
      </c>
      <c r="JL45">
        <v>16</v>
      </c>
      <c r="JM45" t="s">
        <v>2730</v>
      </c>
      <c r="JN45" t="s">
        <v>2730</v>
      </c>
      <c r="JO45">
        <v>1</v>
      </c>
      <c r="JP45" t="s">
        <v>2730</v>
      </c>
      <c r="JQ45">
        <v>3</v>
      </c>
    </row>
    <row r="46" spans="1:277">
      <c r="A46" s="149" t="str">
        <f>HYPERLINK("http://www.ofsted.gov.uk/inspection-reports/find-inspection-report/provider/ELS/118962 ","Ofsted School Webpage")</f>
        <v>Ofsted School Webpage</v>
      </c>
      <c r="B46">
        <v>1133933</v>
      </c>
      <c r="C46">
        <v>118962</v>
      </c>
      <c r="D46">
        <v>8866022</v>
      </c>
      <c r="E46" t="s">
        <v>2343</v>
      </c>
      <c r="F46" t="s">
        <v>37</v>
      </c>
      <c r="G46" t="s">
        <v>209</v>
      </c>
      <c r="H46" t="s">
        <v>181</v>
      </c>
      <c r="I46" t="s">
        <v>181</v>
      </c>
      <c r="J46" t="s">
        <v>182</v>
      </c>
      <c r="K46" t="s">
        <v>2344</v>
      </c>
      <c r="L46" t="s">
        <v>184</v>
      </c>
      <c r="M46" t="s">
        <v>185</v>
      </c>
      <c r="N46" t="s">
        <v>184</v>
      </c>
      <c r="O46" t="s">
        <v>2730</v>
      </c>
      <c r="P46" t="s">
        <v>186</v>
      </c>
      <c r="Q46">
        <v>10041265</v>
      </c>
      <c r="R46" s="120">
        <v>43060</v>
      </c>
      <c r="S46" s="120">
        <v>43062</v>
      </c>
      <c r="T46" s="120">
        <v>43081</v>
      </c>
      <c r="U46" t="s">
        <v>2730</v>
      </c>
      <c r="V46" t="s">
        <v>196</v>
      </c>
      <c r="W46" t="s">
        <v>2730</v>
      </c>
      <c r="X46" t="s">
        <v>197</v>
      </c>
      <c r="Y46">
        <v>2</v>
      </c>
      <c r="Z46">
        <v>2</v>
      </c>
      <c r="AA46">
        <v>2</v>
      </c>
      <c r="AB46">
        <v>2</v>
      </c>
      <c r="AC46">
        <v>2</v>
      </c>
      <c r="AD46">
        <v>2</v>
      </c>
      <c r="AE46" t="s">
        <v>2730</v>
      </c>
      <c r="AF46" t="s">
        <v>128</v>
      </c>
      <c r="AG46" t="s">
        <v>2730</v>
      </c>
      <c r="AH46" t="s">
        <v>2732</v>
      </c>
      <c r="AI46" t="s">
        <v>59</v>
      </c>
      <c r="AJ46" t="s">
        <v>59</v>
      </c>
      <c r="AK46" t="s">
        <v>59</v>
      </c>
      <c r="AL46" t="s">
        <v>59</v>
      </c>
      <c r="AM46" t="s">
        <v>59</v>
      </c>
      <c r="AN46" t="s">
        <v>59</v>
      </c>
      <c r="AO46" t="s">
        <v>59</v>
      </c>
      <c r="AP46" t="s">
        <v>59</v>
      </c>
      <c r="AQ46" t="s">
        <v>59</v>
      </c>
      <c r="AR46" t="s">
        <v>59</v>
      </c>
      <c r="AS46" t="s">
        <v>59</v>
      </c>
      <c r="AT46" t="s">
        <v>59</v>
      </c>
      <c r="AU46" t="s">
        <v>59</v>
      </c>
      <c r="AV46" t="s">
        <v>59</v>
      </c>
      <c r="AW46" t="s">
        <v>59</v>
      </c>
      <c r="AX46" t="s">
        <v>59</v>
      </c>
      <c r="AY46" t="s">
        <v>218</v>
      </c>
      <c r="AZ46" t="s">
        <v>59</v>
      </c>
      <c r="BA46" t="s">
        <v>59</v>
      </c>
      <c r="BB46" t="s">
        <v>59</v>
      </c>
      <c r="BC46" t="s">
        <v>218</v>
      </c>
      <c r="BD46" t="s">
        <v>218</v>
      </c>
      <c r="BE46" t="s">
        <v>218</v>
      </c>
      <c r="BF46" t="s">
        <v>218</v>
      </c>
      <c r="BG46" t="s">
        <v>59</v>
      </c>
      <c r="BH46" t="s">
        <v>218</v>
      </c>
      <c r="BI46" t="s">
        <v>218</v>
      </c>
      <c r="BJ46" t="s">
        <v>218</v>
      </c>
      <c r="BK46" t="s">
        <v>59</v>
      </c>
      <c r="BL46" t="s">
        <v>59</v>
      </c>
      <c r="BM46" t="s">
        <v>59</v>
      </c>
      <c r="BN46" t="s">
        <v>59</v>
      </c>
      <c r="BO46" t="s">
        <v>59</v>
      </c>
      <c r="BP46" t="s">
        <v>59</v>
      </c>
      <c r="BQ46" t="s">
        <v>59</v>
      </c>
      <c r="BR46" t="s">
        <v>59</v>
      </c>
      <c r="BS46" t="s">
        <v>59</v>
      </c>
      <c r="BT46" t="s">
        <v>59</v>
      </c>
      <c r="BU46" t="s">
        <v>59</v>
      </c>
      <c r="BV46" t="s">
        <v>59</v>
      </c>
      <c r="BW46" t="s">
        <v>59</v>
      </c>
      <c r="BX46" t="s">
        <v>59</v>
      </c>
      <c r="BY46" t="s">
        <v>59</v>
      </c>
      <c r="BZ46" t="s">
        <v>59</v>
      </c>
      <c r="CA46" t="s">
        <v>59</v>
      </c>
      <c r="CB46" t="s">
        <v>59</v>
      </c>
      <c r="CC46" t="s">
        <v>59</v>
      </c>
      <c r="CD46" t="s">
        <v>59</v>
      </c>
      <c r="CE46" t="s">
        <v>59</v>
      </c>
      <c r="CF46" t="s">
        <v>59</v>
      </c>
      <c r="CG46" t="s">
        <v>59</v>
      </c>
      <c r="CH46" t="s">
        <v>59</v>
      </c>
      <c r="CI46" t="s">
        <v>59</v>
      </c>
      <c r="CJ46" t="s">
        <v>59</v>
      </c>
      <c r="CK46" t="s">
        <v>59</v>
      </c>
      <c r="CL46" t="s">
        <v>59</v>
      </c>
      <c r="CM46" t="s">
        <v>59</v>
      </c>
      <c r="CN46" t="s">
        <v>59</v>
      </c>
      <c r="CO46" t="s">
        <v>218</v>
      </c>
      <c r="CP46" t="s">
        <v>218</v>
      </c>
      <c r="CQ46" t="s">
        <v>218</v>
      </c>
      <c r="CR46" t="s">
        <v>59</v>
      </c>
      <c r="CS46" t="s">
        <v>59</v>
      </c>
      <c r="CT46" t="s">
        <v>59</v>
      </c>
      <c r="CU46" t="s">
        <v>59</v>
      </c>
      <c r="CV46" t="s">
        <v>59</v>
      </c>
      <c r="CW46" t="s">
        <v>59</v>
      </c>
      <c r="CX46" t="s">
        <v>59</v>
      </c>
      <c r="CY46" t="s">
        <v>59</v>
      </c>
      <c r="CZ46" t="s">
        <v>59</v>
      </c>
      <c r="DA46" t="s">
        <v>59</v>
      </c>
      <c r="DB46" t="s">
        <v>59</v>
      </c>
      <c r="DC46" t="s">
        <v>59</v>
      </c>
      <c r="DD46" t="s">
        <v>59</v>
      </c>
      <c r="DE46" t="s">
        <v>59</v>
      </c>
      <c r="DF46" t="s">
        <v>59</v>
      </c>
      <c r="DG46" t="s">
        <v>59</v>
      </c>
      <c r="DH46" t="s">
        <v>59</v>
      </c>
      <c r="DI46" t="s">
        <v>59</v>
      </c>
      <c r="DJ46" t="s">
        <v>59</v>
      </c>
      <c r="DK46" t="s">
        <v>59</v>
      </c>
      <c r="DL46" t="s">
        <v>59</v>
      </c>
      <c r="DM46" t="s">
        <v>59</v>
      </c>
      <c r="DN46" t="s">
        <v>59</v>
      </c>
      <c r="DO46" t="s">
        <v>218</v>
      </c>
      <c r="DP46" t="s">
        <v>59</v>
      </c>
      <c r="DQ46" t="s">
        <v>59</v>
      </c>
      <c r="DR46" t="s">
        <v>59</v>
      </c>
      <c r="DS46" t="s">
        <v>59</v>
      </c>
      <c r="DT46" t="s">
        <v>59</v>
      </c>
      <c r="DU46" t="s">
        <v>59</v>
      </c>
      <c r="DV46" t="s">
        <v>59</v>
      </c>
      <c r="DW46" t="s">
        <v>59</v>
      </c>
      <c r="DX46" t="s">
        <v>59</v>
      </c>
      <c r="DY46" t="s">
        <v>59</v>
      </c>
      <c r="DZ46" t="s">
        <v>59</v>
      </c>
      <c r="EA46" t="s">
        <v>59</v>
      </c>
      <c r="EB46" t="s">
        <v>59</v>
      </c>
      <c r="EC46" t="s">
        <v>218</v>
      </c>
      <c r="ED46" t="s">
        <v>59</v>
      </c>
      <c r="EE46" t="s">
        <v>59</v>
      </c>
      <c r="EF46" t="s">
        <v>59</v>
      </c>
      <c r="EG46" t="s">
        <v>59</v>
      </c>
      <c r="EH46" t="s">
        <v>59</v>
      </c>
      <c r="EI46" t="s">
        <v>59</v>
      </c>
      <c r="EJ46" t="s">
        <v>59</v>
      </c>
      <c r="EK46" t="s">
        <v>59</v>
      </c>
      <c r="EL46" t="s">
        <v>59</v>
      </c>
      <c r="EM46" t="s">
        <v>59</v>
      </c>
      <c r="EN46" t="s">
        <v>59</v>
      </c>
      <c r="EO46" t="s">
        <v>59</v>
      </c>
      <c r="EP46" t="s">
        <v>59</v>
      </c>
      <c r="EQ46" t="s">
        <v>59</v>
      </c>
      <c r="ER46" t="s">
        <v>59</v>
      </c>
      <c r="ES46" t="s">
        <v>59</v>
      </c>
      <c r="ET46" t="s">
        <v>59</v>
      </c>
      <c r="EU46" t="s">
        <v>59</v>
      </c>
      <c r="EV46" t="s">
        <v>59</v>
      </c>
      <c r="EW46" t="s">
        <v>59</v>
      </c>
      <c r="EX46" t="s">
        <v>59</v>
      </c>
      <c r="EY46" t="s">
        <v>59</v>
      </c>
      <c r="EZ46" t="s">
        <v>59</v>
      </c>
      <c r="FA46" t="s">
        <v>59</v>
      </c>
      <c r="FB46" t="s">
        <v>59</v>
      </c>
      <c r="FC46" t="s">
        <v>59</v>
      </c>
      <c r="FD46" t="s">
        <v>59</v>
      </c>
      <c r="FE46" t="s">
        <v>59</v>
      </c>
      <c r="FF46" t="s">
        <v>59</v>
      </c>
      <c r="FG46" t="s">
        <v>59</v>
      </c>
      <c r="FH46" t="s">
        <v>59</v>
      </c>
      <c r="FI46" t="s">
        <v>59</v>
      </c>
      <c r="FJ46" t="s">
        <v>59</v>
      </c>
      <c r="FK46" t="s">
        <v>59</v>
      </c>
      <c r="FL46" t="s">
        <v>59</v>
      </c>
      <c r="FM46" t="s">
        <v>59</v>
      </c>
      <c r="FN46" t="s">
        <v>59</v>
      </c>
      <c r="FO46" t="s">
        <v>218</v>
      </c>
      <c r="FP46" t="s">
        <v>59</v>
      </c>
      <c r="FQ46" t="s">
        <v>59</v>
      </c>
      <c r="FR46" t="s">
        <v>59</v>
      </c>
      <c r="FS46" t="s">
        <v>218</v>
      </c>
      <c r="FT46" t="s">
        <v>59</v>
      </c>
      <c r="FU46" t="s">
        <v>59</v>
      </c>
      <c r="FV46" t="s">
        <v>59</v>
      </c>
      <c r="FW46" t="s">
        <v>59</v>
      </c>
      <c r="FX46" t="s">
        <v>59</v>
      </c>
      <c r="FY46" t="s">
        <v>59</v>
      </c>
      <c r="FZ46" t="s">
        <v>59</v>
      </c>
      <c r="GA46" t="s">
        <v>59</v>
      </c>
      <c r="GB46" t="s">
        <v>59</v>
      </c>
      <c r="GC46" t="s">
        <v>59</v>
      </c>
      <c r="GD46" t="s">
        <v>59</v>
      </c>
      <c r="GE46" t="s">
        <v>59</v>
      </c>
      <c r="GF46" t="s">
        <v>59</v>
      </c>
      <c r="GG46" t="s">
        <v>59</v>
      </c>
      <c r="GH46" t="s">
        <v>59</v>
      </c>
      <c r="GI46" t="s">
        <v>59</v>
      </c>
      <c r="GJ46" t="s">
        <v>59</v>
      </c>
      <c r="GK46" t="s">
        <v>218</v>
      </c>
      <c r="GL46" t="s">
        <v>59</v>
      </c>
      <c r="GM46" t="s">
        <v>59</v>
      </c>
      <c r="GN46" t="s">
        <v>59</v>
      </c>
      <c r="GO46" t="s">
        <v>59</v>
      </c>
      <c r="GP46" t="s">
        <v>59</v>
      </c>
      <c r="GQ46" t="s">
        <v>59</v>
      </c>
      <c r="GR46" t="s">
        <v>59</v>
      </c>
      <c r="GS46" t="s">
        <v>59</v>
      </c>
      <c r="GT46" t="s">
        <v>218</v>
      </c>
      <c r="GU46" t="s">
        <v>218</v>
      </c>
      <c r="GV46" t="s">
        <v>59</v>
      </c>
      <c r="GW46" t="s">
        <v>59</v>
      </c>
      <c r="GX46" t="s">
        <v>59</v>
      </c>
      <c r="GY46" t="s">
        <v>59</v>
      </c>
      <c r="GZ46" t="s">
        <v>59</v>
      </c>
      <c r="HA46" t="s">
        <v>218</v>
      </c>
      <c r="HB46" t="s">
        <v>218</v>
      </c>
      <c r="HC46" t="s">
        <v>59</v>
      </c>
      <c r="HD46" t="s">
        <v>59</v>
      </c>
      <c r="HE46" t="s">
        <v>59</v>
      </c>
      <c r="HF46" t="s">
        <v>59</v>
      </c>
      <c r="HG46" t="s">
        <v>59</v>
      </c>
      <c r="HH46" t="s">
        <v>59</v>
      </c>
      <c r="HI46" t="s">
        <v>59</v>
      </c>
      <c r="HJ46" t="s">
        <v>59</v>
      </c>
      <c r="HK46" t="s">
        <v>59</v>
      </c>
      <c r="HL46" t="s">
        <v>59</v>
      </c>
      <c r="HM46" t="s">
        <v>59</v>
      </c>
      <c r="HN46" t="s">
        <v>59</v>
      </c>
      <c r="HO46" t="s">
        <v>59</v>
      </c>
      <c r="HP46" t="s">
        <v>59</v>
      </c>
      <c r="HQ46" t="s">
        <v>59</v>
      </c>
      <c r="HR46" t="s">
        <v>59</v>
      </c>
      <c r="HS46" t="s">
        <v>59</v>
      </c>
      <c r="HT46" t="s">
        <v>59</v>
      </c>
      <c r="HU46" t="s">
        <v>59</v>
      </c>
      <c r="HV46" t="s">
        <v>59</v>
      </c>
      <c r="HW46" t="s">
        <v>59</v>
      </c>
      <c r="HX46" t="s">
        <v>59</v>
      </c>
      <c r="HY46" t="s">
        <v>59</v>
      </c>
      <c r="HZ46" t="s">
        <v>59</v>
      </c>
      <c r="IA46" t="s">
        <v>59</v>
      </c>
      <c r="IB46" t="s">
        <v>59</v>
      </c>
      <c r="IC46" t="s">
        <v>59</v>
      </c>
      <c r="ID46" t="s">
        <v>59</v>
      </c>
      <c r="IE46" t="s">
        <v>59</v>
      </c>
      <c r="IF46" t="s">
        <v>59</v>
      </c>
      <c r="IG46" t="s">
        <v>59</v>
      </c>
      <c r="IH46" t="s">
        <v>59</v>
      </c>
      <c r="II46" t="s">
        <v>59</v>
      </c>
      <c r="IJ46" t="s">
        <v>129</v>
      </c>
      <c r="IK46" t="s">
        <v>191</v>
      </c>
      <c r="IL46" t="s">
        <v>128</v>
      </c>
      <c r="IM46" t="s">
        <v>199</v>
      </c>
      <c r="IN46">
        <v>24</v>
      </c>
      <c r="IO46" t="s">
        <v>2730</v>
      </c>
      <c r="IP46" t="s">
        <v>2730</v>
      </c>
      <c r="IQ46" t="s">
        <v>2730</v>
      </c>
      <c r="IR46">
        <v>15</v>
      </c>
      <c r="IS46" t="s">
        <v>2730</v>
      </c>
      <c r="IT46" t="s">
        <v>2730</v>
      </c>
      <c r="IU46" t="s">
        <v>2730</v>
      </c>
      <c r="IV46">
        <v>16</v>
      </c>
      <c r="IW46" t="s">
        <v>2730</v>
      </c>
      <c r="IX46" t="s">
        <v>2730</v>
      </c>
      <c r="IY46" t="s">
        <v>2730</v>
      </c>
      <c r="IZ46">
        <v>57</v>
      </c>
      <c r="JA46" t="s">
        <v>2730</v>
      </c>
      <c r="JB46" t="s">
        <v>2730</v>
      </c>
      <c r="JC46" t="s">
        <v>2730</v>
      </c>
      <c r="JD46">
        <v>23</v>
      </c>
      <c r="JE46" t="s">
        <v>2730</v>
      </c>
      <c r="JF46" t="s">
        <v>2730</v>
      </c>
      <c r="JG46" t="s">
        <v>2730</v>
      </c>
      <c r="JH46">
        <v>26</v>
      </c>
      <c r="JI46" t="s">
        <v>2730</v>
      </c>
      <c r="JJ46" t="s">
        <v>2730</v>
      </c>
      <c r="JK46" t="s">
        <v>2730</v>
      </c>
      <c r="JL46">
        <v>16</v>
      </c>
      <c r="JM46" t="s">
        <v>2730</v>
      </c>
      <c r="JN46" t="s">
        <v>2730</v>
      </c>
      <c r="JO46">
        <v>4</v>
      </c>
      <c r="JP46" t="s">
        <v>2730</v>
      </c>
      <c r="JQ46" t="s">
        <v>2730</v>
      </c>
    </row>
    <row r="47" spans="1:277">
      <c r="A47" s="149" t="str">
        <f>HYPERLINK("http://www.ofsted.gov.uk/inspection-reports/find-inspection-report/provider/ELS/136955 ","Ofsted School Webpage")</f>
        <v>Ofsted School Webpage</v>
      </c>
      <c r="B47">
        <v>1134501</v>
      </c>
      <c r="C47">
        <v>136955</v>
      </c>
      <c r="D47">
        <v>8716002</v>
      </c>
      <c r="E47" t="s">
        <v>442</v>
      </c>
      <c r="F47" t="s">
        <v>37</v>
      </c>
      <c r="G47" t="s">
        <v>209</v>
      </c>
      <c r="H47" t="s">
        <v>181</v>
      </c>
      <c r="I47" t="s">
        <v>181</v>
      </c>
      <c r="J47" t="s">
        <v>229</v>
      </c>
      <c r="K47" t="s">
        <v>443</v>
      </c>
      <c r="L47" t="s">
        <v>223</v>
      </c>
      <c r="M47" t="s">
        <v>223</v>
      </c>
      <c r="N47" t="s">
        <v>223</v>
      </c>
      <c r="O47" t="s">
        <v>2730</v>
      </c>
      <c r="P47" t="s">
        <v>186</v>
      </c>
      <c r="Q47">
        <v>10039165</v>
      </c>
      <c r="R47" s="120">
        <v>43039</v>
      </c>
      <c r="S47" s="120">
        <v>43041</v>
      </c>
      <c r="T47" s="120">
        <v>43068</v>
      </c>
      <c r="U47" t="s">
        <v>2730</v>
      </c>
      <c r="V47" t="s">
        <v>196</v>
      </c>
      <c r="W47" t="s">
        <v>2730</v>
      </c>
      <c r="X47" t="s">
        <v>197</v>
      </c>
      <c r="Y47">
        <v>2</v>
      </c>
      <c r="Z47">
        <v>2</v>
      </c>
      <c r="AA47">
        <v>2</v>
      </c>
      <c r="AB47">
        <v>2</v>
      </c>
      <c r="AC47">
        <v>2</v>
      </c>
      <c r="AD47" t="s">
        <v>2730</v>
      </c>
      <c r="AE47" t="s">
        <v>2730</v>
      </c>
      <c r="AF47" t="s">
        <v>128</v>
      </c>
      <c r="AG47" t="s">
        <v>2730</v>
      </c>
      <c r="AH47" t="s">
        <v>2732</v>
      </c>
      <c r="AI47" t="s">
        <v>59</v>
      </c>
      <c r="AJ47" t="s">
        <v>59</v>
      </c>
      <c r="AK47" t="s">
        <v>59</v>
      </c>
      <c r="AL47" t="s">
        <v>59</v>
      </c>
      <c r="AM47" t="s">
        <v>59</v>
      </c>
      <c r="AN47" t="s">
        <v>59</v>
      </c>
      <c r="AO47" t="s">
        <v>59</v>
      </c>
      <c r="AP47" t="s">
        <v>59</v>
      </c>
      <c r="AQ47" t="s">
        <v>59</v>
      </c>
      <c r="AR47" t="s">
        <v>59</v>
      </c>
      <c r="AS47" t="s">
        <v>59</v>
      </c>
      <c r="AT47" t="s">
        <v>59</v>
      </c>
      <c r="AU47" t="s">
        <v>59</v>
      </c>
      <c r="AV47" t="s">
        <v>59</v>
      </c>
      <c r="AW47" t="s">
        <v>59</v>
      </c>
      <c r="AX47" t="s">
        <v>59</v>
      </c>
      <c r="AY47" t="s">
        <v>59</v>
      </c>
      <c r="AZ47" t="s">
        <v>59</v>
      </c>
      <c r="BA47" t="s">
        <v>59</v>
      </c>
      <c r="BB47" t="s">
        <v>59</v>
      </c>
      <c r="BC47" t="s">
        <v>59</v>
      </c>
      <c r="BD47" t="s">
        <v>59</v>
      </c>
      <c r="BE47" t="s">
        <v>59</v>
      </c>
      <c r="BF47" t="s">
        <v>59</v>
      </c>
      <c r="BG47" t="s">
        <v>59</v>
      </c>
      <c r="BH47" t="s">
        <v>59</v>
      </c>
      <c r="BI47" t="s">
        <v>218</v>
      </c>
      <c r="BJ47" t="s">
        <v>59</v>
      </c>
      <c r="BK47" t="s">
        <v>59</v>
      </c>
      <c r="BL47" t="s">
        <v>59</v>
      </c>
      <c r="BM47" t="s">
        <v>59</v>
      </c>
      <c r="BN47" t="s">
        <v>59</v>
      </c>
      <c r="BO47" t="s">
        <v>59</v>
      </c>
      <c r="BP47" t="s">
        <v>59</v>
      </c>
      <c r="BQ47" t="s">
        <v>59</v>
      </c>
      <c r="BR47" t="s">
        <v>59</v>
      </c>
      <c r="BS47" t="s">
        <v>59</v>
      </c>
      <c r="BT47" t="s">
        <v>59</v>
      </c>
      <c r="BU47" t="s">
        <v>59</v>
      </c>
      <c r="BV47" t="s">
        <v>59</v>
      </c>
      <c r="BW47" t="s">
        <v>59</v>
      </c>
      <c r="BX47" t="s">
        <v>59</v>
      </c>
      <c r="BY47" t="s">
        <v>59</v>
      </c>
      <c r="BZ47" t="s">
        <v>59</v>
      </c>
      <c r="CA47" t="s">
        <v>59</v>
      </c>
      <c r="CB47" t="s">
        <v>59</v>
      </c>
      <c r="CC47" t="s">
        <v>59</v>
      </c>
      <c r="CD47" t="s">
        <v>59</v>
      </c>
      <c r="CE47" t="s">
        <v>59</v>
      </c>
      <c r="CF47" t="s">
        <v>59</v>
      </c>
      <c r="CG47" t="s">
        <v>59</v>
      </c>
      <c r="CH47" t="s">
        <v>59</v>
      </c>
      <c r="CI47" t="s">
        <v>59</v>
      </c>
      <c r="CJ47" t="s">
        <v>59</v>
      </c>
      <c r="CK47" t="s">
        <v>59</v>
      </c>
      <c r="CL47" t="s">
        <v>59</v>
      </c>
      <c r="CM47" t="s">
        <v>59</v>
      </c>
      <c r="CN47" t="s">
        <v>59</v>
      </c>
      <c r="CO47" t="s">
        <v>218</v>
      </c>
      <c r="CP47" t="s">
        <v>218</v>
      </c>
      <c r="CQ47" t="s">
        <v>218</v>
      </c>
      <c r="CR47" t="s">
        <v>59</v>
      </c>
      <c r="CS47" t="s">
        <v>59</v>
      </c>
      <c r="CT47" t="s">
        <v>59</v>
      </c>
      <c r="CU47" t="s">
        <v>59</v>
      </c>
      <c r="CV47" t="s">
        <v>59</v>
      </c>
      <c r="CW47" t="s">
        <v>59</v>
      </c>
      <c r="CX47" t="s">
        <v>59</v>
      </c>
      <c r="CY47" t="s">
        <v>59</v>
      </c>
      <c r="CZ47" t="s">
        <v>59</v>
      </c>
      <c r="DA47" t="s">
        <v>59</v>
      </c>
      <c r="DB47" t="s">
        <v>59</v>
      </c>
      <c r="DC47" t="s">
        <v>59</v>
      </c>
      <c r="DD47" t="s">
        <v>59</v>
      </c>
      <c r="DE47" t="s">
        <v>59</v>
      </c>
      <c r="DF47" t="s">
        <v>59</v>
      </c>
      <c r="DG47" t="s">
        <v>59</v>
      </c>
      <c r="DH47" t="s">
        <v>59</v>
      </c>
      <c r="DI47" t="s">
        <v>59</v>
      </c>
      <c r="DJ47" t="s">
        <v>59</v>
      </c>
      <c r="DK47" t="s">
        <v>59</v>
      </c>
      <c r="DL47" t="s">
        <v>59</v>
      </c>
      <c r="DM47" t="s">
        <v>59</v>
      </c>
      <c r="DN47" t="s">
        <v>59</v>
      </c>
      <c r="DO47" t="s">
        <v>218</v>
      </c>
      <c r="DP47" t="s">
        <v>59</v>
      </c>
      <c r="DQ47" t="s">
        <v>59</v>
      </c>
      <c r="DR47" t="s">
        <v>59</v>
      </c>
      <c r="DS47" t="s">
        <v>59</v>
      </c>
      <c r="DT47" t="s">
        <v>59</v>
      </c>
      <c r="DU47" t="s">
        <v>59</v>
      </c>
      <c r="DV47" t="s">
        <v>59</v>
      </c>
      <c r="DW47" t="s">
        <v>59</v>
      </c>
      <c r="DX47" t="s">
        <v>59</v>
      </c>
      <c r="DY47" t="s">
        <v>59</v>
      </c>
      <c r="DZ47" t="s">
        <v>59</v>
      </c>
      <c r="EA47" t="s">
        <v>59</v>
      </c>
      <c r="EB47" t="s">
        <v>59</v>
      </c>
      <c r="EC47" t="s">
        <v>218</v>
      </c>
      <c r="ED47" t="s">
        <v>59</v>
      </c>
      <c r="EE47" t="s">
        <v>59</v>
      </c>
      <c r="EF47" t="s">
        <v>59</v>
      </c>
      <c r="EG47" t="s">
        <v>59</v>
      </c>
      <c r="EH47" t="s">
        <v>59</v>
      </c>
      <c r="EI47" t="s">
        <v>59</v>
      </c>
      <c r="EJ47" t="s">
        <v>59</v>
      </c>
      <c r="EK47" t="s">
        <v>59</v>
      </c>
      <c r="EL47" t="s">
        <v>59</v>
      </c>
      <c r="EM47" t="s">
        <v>59</v>
      </c>
      <c r="EN47" t="s">
        <v>59</v>
      </c>
      <c r="EO47" t="s">
        <v>59</v>
      </c>
      <c r="EP47" t="s">
        <v>59</v>
      </c>
      <c r="EQ47" t="s">
        <v>59</v>
      </c>
      <c r="ER47" t="s">
        <v>59</v>
      </c>
      <c r="ES47" t="s">
        <v>59</v>
      </c>
      <c r="ET47" t="s">
        <v>59</v>
      </c>
      <c r="EU47" t="s">
        <v>59</v>
      </c>
      <c r="EV47" t="s">
        <v>59</v>
      </c>
      <c r="EW47" t="s">
        <v>59</v>
      </c>
      <c r="EX47" t="s">
        <v>59</v>
      </c>
      <c r="EY47" t="s">
        <v>59</v>
      </c>
      <c r="EZ47" t="s">
        <v>59</v>
      </c>
      <c r="FA47" t="s">
        <v>59</v>
      </c>
      <c r="FB47" t="s">
        <v>59</v>
      </c>
      <c r="FC47" t="s">
        <v>59</v>
      </c>
      <c r="FD47" t="s">
        <v>59</v>
      </c>
      <c r="FE47" t="s">
        <v>59</v>
      </c>
      <c r="FF47" t="s">
        <v>59</v>
      </c>
      <c r="FG47" t="s">
        <v>59</v>
      </c>
      <c r="FH47" t="s">
        <v>59</v>
      </c>
      <c r="FI47" t="s">
        <v>59</v>
      </c>
      <c r="FJ47" t="s">
        <v>59</v>
      </c>
      <c r="FK47" t="s">
        <v>59</v>
      </c>
      <c r="FL47" t="s">
        <v>59</v>
      </c>
      <c r="FM47" t="s">
        <v>59</v>
      </c>
      <c r="FN47" t="s">
        <v>59</v>
      </c>
      <c r="FO47" t="s">
        <v>59</v>
      </c>
      <c r="FP47" t="s">
        <v>59</v>
      </c>
      <c r="FQ47" t="s">
        <v>59</v>
      </c>
      <c r="FR47" t="s">
        <v>59</v>
      </c>
      <c r="FS47" t="s">
        <v>218</v>
      </c>
      <c r="FT47" t="s">
        <v>59</v>
      </c>
      <c r="FU47" t="s">
        <v>59</v>
      </c>
      <c r="FV47" t="s">
        <v>59</v>
      </c>
      <c r="FW47" t="s">
        <v>59</v>
      </c>
      <c r="FX47" t="s">
        <v>59</v>
      </c>
      <c r="FY47" t="s">
        <v>59</v>
      </c>
      <c r="FZ47" t="s">
        <v>59</v>
      </c>
      <c r="GA47" t="s">
        <v>59</v>
      </c>
      <c r="GB47" t="s">
        <v>59</v>
      </c>
      <c r="GC47" t="s">
        <v>59</v>
      </c>
      <c r="GD47" t="s">
        <v>59</v>
      </c>
      <c r="GE47" t="s">
        <v>59</v>
      </c>
      <c r="GF47" t="s">
        <v>59</v>
      </c>
      <c r="GG47" t="s">
        <v>59</v>
      </c>
      <c r="GH47" t="s">
        <v>59</v>
      </c>
      <c r="GI47" t="s">
        <v>59</v>
      </c>
      <c r="GJ47" t="s">
        <v>59</v>
      </c>
      <c r="GK47" t="s">
        <v>218</v>
      </c>
      <c r="GL47" t="s">
        <v>59</v>
      </c>
      <c r="GM47" t="s">
        <v>59</v>
      </c>
      <c r="GN47" t="s">
        <v>59</v>
      </c>
      <c r="GO47" t="s">
        <v>59</v>
      </c>
      <c r="GP47" t="s">
        <v>59</v>
      </c>
      <c r="GQ47" t="s">
        <v>59</v>
      </c>
      <c r="GR47" t="s">
        <v>59</v>
      </c>
      <c r="GS47" t="s">
        <v>59</v>
      </c>
      <c r="GT47" t="s">
        <v>218</v>
      </c>
      <c r="GU47" t="s">
        <v>218</v>
      </c>
      <c r="GV47" t="s">
        <v>59</v>
      </c>
      <c r="GW47" t="s">
        <v>59</v>
      </c>
      <c r="GX47" t="s">
        <v>59</v>
      </c>
      <c r="GY47" t="s">
        <v>59</v>
      </c>
      <c r="GZ47" t="s">
        <v>59</v>
      </c>
      <c r="HA47" t="s">
        <v>59</v>
      </c>
      <c r="HB47" t="s">
        <v>59</v>
      </c>
      <c r="HC47" t="s">
        <v>59</v>
      </c>
      <c r="HD47" t="s">
        <v>59</v>
      </c>
      <c r="HE47" t="s">
        <v>59</v>
      </c>
      <c r="HF47" t="s">
        <v>59</v>
      </c>
      <c r="HG47" t="s">
        <v>59</v>
      </c>
      <c r="HH47" t="s">
        <v>59</v>
      </c>
      <c r="HI47" t="s">
        <v>59</v>
      </c>
      <c r="HJ47" t="s">
        <v>59</v>
      </c>
      <c r="HK47" t="s">
        <v>59</v>
      </c>
      <c r="HL47" t="s">
        <v>59</v>
      </c>
      <c r="HM47" t="s">
        <v>59</v>
      </c>
      <c r="HN47" t="s">
        <v>59</v>
      </c>
      <c r="HO47" t="s">
        <v>218</v>
      </c>
      <c r="HP47" t="s">
        <v>59</v>
      </c>
      <c r="HQ47" t="s">
        <v>59</v>
      </c>
      <c r="HR47" t="s">
        <v>59</v>
      </c>
      <c r="HS47" t="s">
        <v>59</v>
      </c>
      <c r="HT47" t="s">
        <v>59</v>
      </c>
      <c r="HU47" t="s">
        <v>59</v>
      </c>
      <c r="HV47" t="s">
        <v>59</v>
      </c>
      <c r="HW47" t="s">
        <v>59</v>
      </c>
      <c r="HX47" t="s">
        <v>59</v>
      </c>
      <c r="HY47" t="s">
        <v>59</v>
      </c>
      <c r="HZ47" t="s">
        <v>59</v>
      </c>
      <c r="IA47" t="s">
        <v>59</v>
      </c>
      <c r="IB47" t="s">
        <v>59</v>
      </c>
      <c r="IC47" t="s">
        <v>59</v>
      </c>
      <c r="ID47" t="s">
        <v>59</v>
      </c>
      <c r="IE47" t="s">
        <v>59</v>
      </c>
      <c r="IF47" t="s">
        <v>59</v>
      </c>
      <c r="IG47" t="s">
        <v>59</v>
      </c>
      <c r="IH47" t="s">
        <v>59</v>
      </c>
      <c r="II47" t="s">
        <v>59</v>
      </c>
      <c r="IJ47" t="s">
        <v>129</v>
      </c>
      <c r="IK47" t="s">
        <v>191</v>
      </c>
      <c r="IL47" t="s">
        <v>128</v>
      </c>
      <c r="IM47" t="s">
        <v>199</v>
      </c>
      <c r="IN47">
        <v>31</v>
      </c>
      <c r="IO47" t="s">
        <v>2730</v>
      </c>
      <c r="IP47" t="s">
        <v>2730</v>
      </c>
      <c r="IQ47" t="s">
        <v>2730</v>
      </c>
      <c r="IR47">
        <v>15</v>
      </c>
      <c r="IS47" t="s">
        <v>2730</v>
      </c>
      <c r="IT47" t="s">
        <v>2730</v>
      </c>
      <c r="IU47" t="s">
        <v>2730</v>
      </c>
      <c r="IV47">
        <v>16</v>
      </c>
      <c r="IW47" t="s">
        <v>2730</v>
      </c>
      <c r="IX47" t="s">
        <v>2730</v>
      </c>
      <c r="IY47" t="s">
        <v>2730</v>
      </c>
      <c r="IZ47">
        <v>57</v>
      </c>
      <c r="JA47" t="s">
        <v>2730</v>
      </c>
      <c r="JB47" t="s">
        <v>2730</v>
      </c>
      <c r="JC47" t="s">
        <v>2730</v>
      </c>
      <c r="JD47">
        <v>24</v>
      </c>
      <c r="JE47" t="s">
        <v>2730</v>
      </c>
      <c r="JF47" t="s">
        <v>2730</v>
      </c>
      <c r="JG47" t="s">
        <v>2730</v>
      </c>
      <c r="JH47">
        <v>27</v>
      </c>
      <c r="JI47" t="s">
        <v>2730</v>
      </c>
      <c r="JJ47" t="s">
        <v>2730</v>
      </c>
      <c r="JK47" t="s">
        <v>2730</v>
      </c>
      <c r="JL47">
        <v>16</v>
      </c>
      <c r="JM47" t="s">
        <v>2730</v>
      </c>
      <c r="JN47" t="s">
        <v>2730</v>
      </c>
      <c r="JO47">
        <v>4</v>
      </c>
      <c r="JP47" t="s">
        <v>2730</v>
      </c>
      <c r="JQ47" t="s">
        <v>2730</v>
      </c>
    </row>
    <row r="48" spans="1:277">
      <c r="A48" s="149" t="str">
        <f>HYPERLINK("http://www.ofsted.gov.uk/inspection-reports/find-inspection-report/provider/ELS/135526 ","Ofsted School Webpage")</f>
        <v>Ofsted School Webpage</v>
      </c>
      <c r="B48">
        <v>1134915</v>
      </c>
      <c r="C48">
        <v>135526</v>
      </c>
      <c r="D48">
        <v>3566031</v>
      </c>
      <c r="E48" t="s">
        <v>465</v>
      </c>
      <c r="F48" t="s">
        <v>37</v>
      </c>
      <c r="G48" t="s">
        <v>209</v>
      </c>
      <c r="H48" t="s">
        <v>205</v>
      </c>
      <c r="I48" t="s">
        <v>205</v>
      </c>
      <c r="J48" t="s">
        <v>346</v>
      </c>
      <c r="K48" t="s">
        <v>466</v>
      </c>
      <c r="L48" t="s">
        <v>184</v>
      </c>
      <c r="M48" t="s">
        <v>185</v>
      </c>
      <c r="N48" t="s">
        <v>184</v>
      </c>
      <c r="O48" t="s">
        <v>2730</v>
      </c>
      <c r="P48" t="s">
        <v>186</v>
      </c>
      <c r="Q48">
        <v>10040275</v>
      </c>
      <c r="R48" s="120">
        <v>43039</v>
      </c>
      <c r="S48" s="120">
        <v>43041</v>
      </c>
      <c r="T48" s="120">
        <v>43066</v>
      </c>
      <c r="U48" t="s">
        <v>2730</v>
      </c>
      <c r="V48" t="s">
        <v>196</v>
      </c>
      <c r="W48" t="s">
        <v>2730</v>
      </c>
      <c r="X48" t="s">
        <v>197</v>
      </c>
      <c r="Y48">
        <v>3</v>
      </c>
      <c r="Z48">
        <v>3</v>
      </c>
      <c r="AA48">
        <v>2</v>
      </c>
      <c r="AB48">
        <v>3</v>
      </c>
      <c r="AC48">
        <v>3</v>
      </c>
      <c r="AD48" t="s">
        <v>2730</v>
      </c>
      <c r="AE48">
        <v>2</v>
      </c>
      <c r="AF48" t="s">
        <v>128</v>
      </c>
      <c r="AG48" t="s">
        <v>2730</v>
      </c>
      <c r="AH48" t="s">
        <v>2732</v>
      </c>
      <c r="AI48" t="s">
        <v>59</v>
      </c>
      <c r="AJ48" t="s">
        <v>59</v>
      </c>
      <c r="AK48" t="s">
        <v>59</v>
      </c>
      <c r="AL48" t="s">
        <v>59</v>
      </c>
      <c r="AM48" t="s">
        <v>59</v>
      </c>
      <c r="AN48" t="s">
        <v>59</v>
      </c>
      <c r="AO48" t="s">
        <v>59</v>
      </c>
      <c r="AP48" t="s">
        <v>59</v>
      </c>
      <c r="AQ48" t="s">
        <v>59</v>
      </c>
      <c r="AR48" t="s">
        <v>59</v>
      </c>
      <c r="AS48" t="s">
        <v>59</v>
      </c>
      <c r="AT48" t="s">
        <v>59</v>
      </c>
      <c r="AU48" t="s">
        <v>59</v>
      </c>
      <c r="AV48" t="s">
        <v>59</v>
      </c>
      <c r="AW48" t="s">
        <v>59</v>
      </c>
      <c r="AX48" t="s">
        <v>59</v>
      </c>
      <c r="AY48" t="s">
        <v>218</v>
      </c>
      <c r="AZ48" t="s">
        <v>59</v>
      </c>
      <c r="BA48" t="s">
        <v>59</v>
      </c>
      <c r="BB48" t="s">
        <v>59</v>
      </c>
      <c r="BC48" t="s">
        <v>59</v>
      </c>
      <c r="BD48" t="s">
        <v>59</v>
      </c>
      <c r="BE48" t="s">
        <v>59</v>
      </c>
      <c r="BF48" t="s">
        <v>59</v>
      </c>
      <c r="BG48" t="s">
        <v>218</v>
      </c>
      <c r="BH48" t="s">
        <v>59</v>
      </c>
      <c r="BI48" t="s">
        <v>59</v>
      </c>
      <c r="BJ48" t="s">
        <v>59</v>
      </c>
      <c r="BK48" t="s">
        <v>59</v>
      </c>
      <c r="BL48" t="s">
        <v>59</v>
      </c>
      <c r="BM48" t="s">
        <v>59</v>
      </c>
      <c r="BN48" t="s">
        <v>59</v>
      </c>
      <c r="BO48" t="s">
        <v>59</v>
      </c>
      <c r="BP48" t="s">
        <v>59</v>
      </c>
      <c r="BQ48" t="s">
        <v>59</v>
      </c>
      <c r="BR48" t="s">
        <v>59</v>
      </c>
      <c r="BS48" t="s">
        <v>59</v>
      </c>
      <c r="BT48" t="s">
        <v>59</v>
      </c>
      <c r="BU48" t="s">
        <v>59</v>
      </c>
      <c r="BV48" t="s">
        <v>59</v>
      </c>
      <c r="BW48" t="s">
        <v>59</v>
      </c>
      <c r="BX48" t="s">
        <v>59</v>
      </c>
      <c r="BY48" t="s">
        <v>59</v>
      </c>
      <c r="BZ48" t="s">
        <v>59</v>
      </c>
      <c r="CA48" t="s">
        <v>59</v>
      </c>
      <c r="CB48" t="s">
        <v>59</v>
      </c>
      <c r="CC48" t="s">
        <v>59</v>
      </c>
      <c r="CD48" t="s">
        <v>59</v>
      </c>
      <c r="CE48" t="s">
        <v>59</v>
      </c>
      <c r="CF48" t="s">
        <v>59</v>
      </c>
      <c r="CG48" t="s">
        <v>59</v>
      </c>
      <c r="CH48" t="s">
        <v>59</v>
      </c>
      <c r="CI48" t="s">
        <v>59</v>
      </c>
      <c r="CJ48" t="s">
        <v>59</v>
      </c>
      <c r="CK48" t="s">
        <v>59</v>
      </c>
      <c r="CL48" t="s">
        <v>59</v>
      </c>
      <c r="CM48" t="s">
        <v>59</v>
      </c>
      <c r="CN48" t="s">
        <v>59</v>
      </c>
      <c r="CO48" t="s">
        <v>218</v>
      </c>
      <c r="CP48" t="s">
        <v>218</v>
      </c>
      <c r="CQ48" t="s">
        <v>218</v>
      </c>
      <c r="CR48" t="s">
        <v>59</v>
      </c>
      <c r="CS48" t="s">
        <v>59</v>
      </c>
      <c r="CT48" t="s">
        <v>59</v>
      </c>
      <c r="CU48" t="s">
        <v>59</v>
      </c>
      <c r="CV48" t="s">
        <v>59</v>
      </c>
      <c r="CW48" t="s">
        <v>59</v>
      </c>
      <c r="CX48" t="s">
        <v>59</v>
      </c>
      <c r="CY48" t="s">
        <v>59</v>
      </c>
      <c r="CZ48" t="s">
        <v>59</v>
      </c>
      <c r="DA48" t="s">
        <v>59</v>
      </c>
      <c r="DB48" t="s">
        <v>59</v>
      </c>
      <c r="DC48" t="s">
        <v>59</v>
      </c>
      <c r="DD48" t="s">
        <v>59</v>
      </c>
      <c r="DE48" t="s">
        <v>59</v>
      </c>
      <c r="DF48" t="s">
        <v>59</v>
      </c>
      <c r="DG48" t="s">
        <v>59</v>
      </c>
      <c r="DH48" t="s">
        <v>59</v>
      </c>
      <c r="DI48" t="s">
        <v>59</v>
      </c>
      <c r="DJ48" t="s">
        <v>59</v>
      </c>
      <c r="DK48" t="s">
        <v>59</v>
      </c>
      <c r="DL48" t="s">
        <v>59</v>
      </c>
      <c r="DM48" t="s">
        <v>59</v>
      </c>
      <c r="DN48" t="s">
        <v>59</v>
      </c>
      <c r="DO48" t="s">
        <v>218</v>
      </c>
      <c r="DP48" t="s">
        <v>59</v>
      </c>
      <c r="DQ48" t="s">
        <v>59</v>
      </c>
      <c r="DR48" t="s">
        <v>59</v>
      </c>
      <c r="DS48" t="s">
        <v>59</v>
      </c>
      <c r="DT48" t="s">
        <v>59</v>
      </c>
      <c r="DU48" t="s">
        <v>59</v>
      </c>
      <c r="DV48" t="s">
        <v>59</v>
      </c>
      <c r="DW48" t="s">
        <v>59</v>
      </c>
      <c r="DX48" t="s">
        <v>59</v>
      </c>
      <c r="DY48" t="s">
        <v>59</v>
      </c>
      <c r="DZ48" t="s">
        <v>59</v>
      </c>
      <c r="EA48" t="s">
        <v>59</v>
      </c>
      <c r="EB48" t="s">
        <v>59</v>
      </c>
      <c r="EC48" t="s">
        <v>218</v>
      </c>
      <c r="ED48" t="s">
        <v>59</v>
      </c>
      <c r="EE48" t="s">
        <v>218</v>
      </c>
      <c r="EF48" t="s">
        <v>218</v>
      </c>
      <c r="EG48" t="s">
        <v>218</v>
      </c>
      <c r="EH48" t="s">
        <v>218</v>
      </c>
      <c r="EI48" t="s">
        <v>218</v>
      </c>
      <c r="EJ48" t="s">
        <v>218</v>
      </c>
      <c r="EK48" t="s">
        <v>218</v>
      </c>
      <c r="EL48" t="s">
        <v>218</v>
      </c>
      <c r="EM48" t="s">
        <v>218</v>
      </c>
      <c r="EN48" t="s">
        <v>59</v>
      </c>
      <c r="EO48" t="s">
        <v>59</v>
      </c>
      <c r="EP48" t="s">
        <v>59</v>
      </c>
      <c r="EQ48" t="s">
        <v>59</v>
      </c>
      <c r="ER48" t="s">
        <v>59</v>
      </c>
      <c r="ES48" t="s">
        <v>59</v>
      </c>
      <c r="ET48" t="s">
        <v>59</v>
      </c>
      <c r="EU48" t="s">
        <v>59</v>
      </c>
      <c r="EV48" t="s">
        <v>59</v>
      </c>
      <c r="EW48" t="s">
        <v>59</v>
      </c>
      <c r="EX48" t="s">
        <v>59</v>
      </c>
      <c r="EY48" t="s">
        <v>59</v>
      </c>
      <c r="EZ48" t="s">
        <v>59</v>
      </c>
      <c r="FA48" t="s">
        <v>59</v>
      </c>
      <c r="FB48" t="s">
        <v>59</v>
      </c>
      <c r="FC48" t="s">
        <v>59</v>
      </c>
      <c r="FD48" t="s">
        <v>59</v>
      </c>
      <c r="FE48" t="s">
        <v>59</v>
      </c>
      <c r="FF48" t="s">
        <v>59</v>
      </c>
      <c r="FG48" t="s">
        <v>59</v>
      </c>
      <c r="FH48" t="s">
        <v>59</v>
      </c>
      <c r="FI48" t="s">
        <v>59</v>
      </c>
      <c r="FJ48" t="s">
        <v>59</v>
      </c>
      <c r="FK48" t="s">
        <v>59</v>
      </c>
      <c r="FL48" t="s">
        <v>59</v>
      </c>
      <c r="FM48" t="s">
        <v>59</v>
      </c>
      <c r="FN48" t="s">
        <v>59</v>
      </c>
      <c r="FO48" t="s">
        <v>59</v>
      </c>
      <c r="FP48" t="s">
        <v>59</v>
      </c>
      <c r="FQ48" t="s">
        <v>59</v>
      </c>
      <c r="FR48" t="s">
        <v>59</v>
      </c>
      <c r="FS48" t="s">
        <v>218</v>
      </c>
      <c r="FT48" t="s">
        <v>59</v>
      </c>
      <c r="FU48" t="s">
        <v>59</v>
      </c>
      <c r="FV48" t="s">
        <v>59</v>
      </c>
      <c r="FW48" t="s">
        <v>59</v>
      </c>
      <c r="FX48" t="s">
        <v>59</v>
      </c>
      <c r="FY48" t="s">
        <v>59</v>
      </c>
      <c r="FZ48" t="s">
        <v>59</v>
      </c>
      <c r="GA48" t="s">
        <v>59</v>
      </c>
      <c r="GB48" t="s">
        <v>59</v>
      </c>
      <c r="GC48" t="s">
        <v>59</v>
      </c>
      <c r="GD48" t="s">
        <v>59</v>
      </c>
      <c r="GE48" t="s">
        <v>59</v>
      </c>
      <c r="GF48" t="s">
        <v>59</v>
      </c>
      <c r="GG48" t="s">
        <v>59</v>
      </c>
      <c r="GH48" t="s">
        <v>59</v>
      </c>
      <c r="GI48" t="s">
        <v>59</v>
      </c>
      <c r="GJ48" t="s">
        <v>59</v>
      </c>
      <c r="GK48" t="s">
        <v>218</v>
      </c>
      <c r="GL48" t="s">
        <v>59</v>
      </c>
      <c r="GM48" t="s">
        <v>59</v>
      </c>
      <c r="GN48" t="s">
        <v>59</v>
      </c>
      <c r="GO48" t="s">
        <v>59</v>
      </c>
      <c r="GP48" t="s">
        <v>59</v>
      </c>
      <c r="GQ48" t="s">
        <v>218</v>
      </c>
      <c r="GR48" t="s">
        <v>59</v>
      </c>
      <c r="GS48" t="s">
        <v>59</v>
      </c>
      <c r="GT48" t="s">
        <v>59</v>
      </c>
      <c r="GU48" t="s">
        <v>59</v>
      </c>
      <c r="GV48" t="s">
        <v>59</v>
      </c>
      <c r="GW48" t="s">
        <v>59</v>
      </c>
      <c r="GX48" t="s">
        <v>59</v>
      </c>
      <c r="GY48" t="s">
        <v>59</v>
      </c>
      <c r="GZ48" t="s">
        <v>59</v>
      </c>
      <c r="HA48" t="s">
        <v>218</v>
      </c>
      <c r="HB48" t="s">
        <v>59</v>
      </c>
      <c r="HC48" t="s">
        <v>59</v>
      </c>
      <c r="HD48" t="s">
        <v>59</v>
      </c>
      <c r="HE48" t="s">
        <v>59</v>
      </c>
      <c r="HF48" t="s">
        <v>59</v>
      </c>
      <c r="HG48" t="s">
        <v>59</v>
      </c>
      <c r="HH48" t="s">
        <v>59</v>
      </c>
      <c r="HI48" t="s">
        <v>59</v>
      </c>
      <c r="HJ48" t="s">
        <v>59</v>
      </c>
      <c r="HK48" t="s">
        <v>59</v>
      </c>
      <c r="HL48" t="s">
        <v>59</v>
      </c>
      <c r="HM48" t="s">
        <v>218</v>
      </c>
      <c r="HN48" t="s">
        <v>218</v>
      </c>
      <c r="HO48" t="s">
        <v>218</v>
      </c>
      <c r="HP48" t="s">
        <v>59</v>
      </c>
      <c r="HQ48" t="s">
        <v>59</v>
      </c>
      <c r="HR48" t="s">
        <v>59</v>
      </c>
      <c r="HS48" t="s">
        <v>59</v>
      </c>
      <c r="HT48" t="s">
        <v>59</v>
      </c>
      <c r="HU48" t="s">
        <v>59</v>
      </c>
      <c r="HV48" t="s">
        <v>59</v>
      </c>
      <c r="HW48" t="s">
        <v>59</v>
      </c>
      <c r="HX48" t="s">
        <v>59</v>
      </c>
      <c r="HY48" t="s">
        <v>59</v>
      </c>
      <c r="HZ48" t="s">
        <v>59</v>
      </c>
      <c r="IA48" t="s">
        <v>59</v>
      </c>
      <c r="IB48" t="s">
        <v>59</v>
      </c>
      <c r="IC48" t="s">
        <v>59</v>
      </c>
      <c r="ID48" t="s">
        <v>59</v>
      </c>
      <c r="IE48" t="s">
        <v>59</v>
      </c>
      <c r="IF48" t="s">
        <v>59</v>
      </c>
      <c r="IG48" t="s">
        <v>59</v>
      </c>
      <c r="IH48" t="s">
        <v>59</v>
      </c>
      <c r="II48" t="s">
        <v>59</v>
      </c>
      <c r="IJ48" t="s">
        <v>129</v>
      </c>
      <c r="IK48" t="s">
        <v>191</v>
      </c>
      <c r="IL48" t="s">
        <v>128</v>
      </c>
      <c r="IM48" t="s">
        <v>199</v>
      </c>
      <c r="IN48">
        <v>30</v>
      </c>
      <c r="IO48" t="s">
        <v>2730</v>
      </c>
      <c r="IP48" t="s">
        <v>2730</v>
      </c>
      <c r="IQ48" t="s">
        <v>2730</v>
      </c>
      <c r="IR48">
        <v>15</v>
      </c>
      <c r="IS48" t="s">
        <v>2730</v>
      </c>
      <c r="IT48" t="s">
        <v>2730</v>
      </c>
      <c r="IU48" t="s">
        <v>2730</v>
      </c>
      <c r="IV48">
        <v>16</v>
      </c>
      <c r="IW48" t="s">
        <v>2730</v>
      </c>
      <c r="IX48" t="s">
        <v>2730</v>
      </c>
      <c r="IY48" t="s">
        <v>2730</v>
      </c>
      <c r="IZ48">
        <v>48</v>
      </c>
      <c r="JA48" t="s">
        <v>2730</v>
      </c>
      <c r="JB48" t="s">
        <v>2730</v>
      </c>
      <c r="JC48" t="s">
        <v>2730</v>
      </c>
      <c r="JD48">
        <v>24</v>
      </c>
      <c r="JE48" t="s">
        <v>2730</v>
      </c>
      <c r="JF48" t="s">
        <v>2730</v>
      </c>
      <c r="JG48" t="s">
        <v>2730</v>
      </c>
      <c r="JH48">
        <v>25</v>
      </c>
      <c r="JI48" t="s">
        <v>2730</v>
      </c>
      <c r="JJ48" t="s">
        <v>2730</v>
      </c>
      <c r="JK48" t="s">
        <v>2730</v>
      </c>
      <c r="JL48">
        <v>16</v>
      </c>
      <c r="JM48" t="s">
        <v>2730</v>
      </c>
      <c r="JN48" t="s">
        <v>2730</v>
      </c>
      <c r="JO48">
        <v>4</v>
      </c>
      <c r="JP48" t="s">
        <v>2730</v>
      </c>
      <c r="JQ48" t="s">
        <v>2730</v>
      </c>
    </row>
    <row r="49" spans="1:277">
      <c r="A49" s="149" t="str">
        <f>HYPERLINK("http://www.ofsted.gov.uk/inspection-reports/find-inspection-report/provider/ELS/139784 ","Ofsted School Webpage")</f>
        <v>Ofsted School Webpage</v>
      </c>
      <c r="B49">
        <v>1134890</v>
      </c>
      <c r="C49">
        <v>139784</v>
      </c>
      <c r="D49">
        <v>8616010</v>
      </c>
      <c r="E49" t="s">
        <v>507</v>
      </c>
      <c r="F49" t="s">
        <v>37</v>
      </c>
      <c r="G49" t="s">
        <v>209</v>
      </c>
      <c r="H49" t="s">
        <v>193</v>
      </c>
      <c r="I49" t="s">
        <v>193</v>
      </c>
      <c r="J49" t="s">
        <v>492</v>
      </c>
      <c r="K49" t="s">
        <v>508</v>
      </c>
      <c r="L49" t="s">
        <v>184</v>
      </c>
      <c r="M49" t="s">
        <v>185</v>
      </c>
      <c r="N49" t="s">
        <v>223</v>
      </c>
      <c r="O49" t="s">
        <v>2730</v>
      </c>
      <c r="P49" t="s">
        <v>186</v>
      </c>
      <c r="Q49">
        <v>10033576</v>
      </c>
      <c r="R49" s="120">
        <v>43018</v>
      </c>
      <c r="S49" s="120">
        <v>43020</v>
      </c>
      <c r="T49" s="120">
        <v>43067</v>
      </c>
      <c r="U49" t="s">
        <v>2730</v>
      </c>
      <c r="V49" t="s">
        <v>196</v>
      </c>
      <c r="W49" t="s">
        <v>2730</v>
      </c>
      <c r="X49" t="s">
        <v>197</v>
      </c>
      <c r="Y49">
        <v>4</v>
      </c>
      <c r="Z49">
        <v>4</v>
      </c>
      <c r="AA49">
        <v>4</v>
      </c>
      <c r="AB49">
        <v>3</v>
      </c>
      <c r="AC49">
        <v>3</v>
      </c>
      <c r="AD49" t="s">
        <v>2730</v>
      </c>
      <c r="AE49" t="s">
        <v>2730</v>
      </c>
      <c r="AF49" t="s">
        <v>129</v>
      </c>
      <c r="AG49" t="s">
        <v>2730</v>
      </c>
      <c r="AH49" t="s">
        <v>2733</v>
      </c>
      <c r="AI49" t="s">
        <v>60</v>
      </c>
      <c r="AJ49" t="s">
        <v>59</v>
      </c>
      <c r="AK49" t="s">
        <v>60</v>
      </c>
      <c r="AL49" t="s">
        <v>60</v>
      </c>
      <c r="AM49" t="s">
        <v>60</v>
      </c>
      <c r="AN49" t="s">
        <v>60</v>
      </c>
      <c r="AO49" t="s">
        <v>59</v>
      </c>
      <c r="AP49" t="s">
        <v>60</v>
      </c>
      <c r="AQ49" t="s">
        <v>60</v>
      </c>
      <c r="AR49" t="s">
        <v>60</v>
      </c>
      <c r="AS49" t="s">
        <v>60</v>
      </c>
      <c r="AT49" t="s">
        <v>59</v>
      </c>
      <c r="AU49" t="s">
        <v>59</v>
      </c>
      <c r="AV49" t="s">
        <v>59</v>
      </c>
      <c r="AW49" t="s">
        <v>59</v>
      </c>
      <c r="AX49" t="s">
        <v>59</v>
      </c>
      <c r="AY49" t="s">
        <v>218</v>
      </c>
      <c r="AZ49" t="s">
        <v>59</v>
      </c>
      <c r="BA49" t="s">
        <v>59</v>
      </c>
      <c r="BB49" t="s">
        <v>59</v>
      </c>
      <c r="BC49" t="s">
        <v>59</v>
      </c>
      <c r="BD49" t="s">
        <v>59</v>
      </c>
      <c r="BE49" t="s">
        <v>59</v>
      </c>
      <c r="BF49" t="s">
        <v>59</v>
      </c>
      <c r="BG49" t="s">
        <v>218</v>
      </c>
      <c r="BH49" t="s">
        <v>218</v>
      </c>
      <c r="BI49" t="s">
        <v>59</v>
      </c>
      <c r="BJ49" t="s">
        <v>59</v>
      </c>
      <c r="BK49" t="s">
        <v>60</v>
      </c>
      <c r="BL49" t="s">
        <v>60</v>
      </c>
      <c r="BM49" t="s">
        <v>60</v>
      </c>
      <c r="BN49" t="s">
        <v>60</v>
      </c>
      <c r="BO49" t="s">
        <v>60</v>
      </c>
      <c r="BP49" t="s">
        <v>59</v>
      </c>
      <c r="BQ49" t="s">
        <v>60</v>
      </c>
      <c r="BR49" t="s">
        <v>60</v>
      </c>
      <c r="BS49" t="s">
        <v>59</v>
      </c>
      <c r="BT49" t="s">
        <v>59</v>
      </c>
      <c r="BU49" t="s">
        <v>59</v>
      </c>
      <c r="BV49" t="s">
        <v>59</v>
      </c>
      <c r="BW49" t="s">
        <v>59</v>
      </c>
      <c r="BX49" t="s">
        <v>59</v>
      </c>
      <c r="BY49" t="s">
        <v>59</v>
      </c>
      <c r="BZ49" t="s">
        <v>59</v>
      </c>
      <c r="CA49" t="s">
        <v>59</v>
      </c>
      <c r="CB49" t="s">
        <v>59</v>
      </c>
      <c r="CC49" t="s">
        <v>59</v>
      </c>
      <c r="CD49" t="s">
        <v>59</v>
      </c>
      <c r="CE49" t="s">
        <v>59</v>
      </c>
      <c r="CF49" t="s">
        <v>59</v>
      </c>
      <c r="CG49" t="s">
        <v>59</v>
      </c>
      <c r="CH49" t="s">
        <v>59</v>
      </c>
      <c r="CI49" t="s">
        <v>59</v>
      </c>
      <c r="CJ49" t="s">
        <v>59</v>
      </c>
      <c r="CK49" t="s">
        <v>59</v>
      </c>
      <c r="CL49" t="s">
        <v>60</v>
      </c>
      <c r="CM49" t="s">
        <v>60</v>
      </c>
      <c r="CN49" t="s">
        <v>60</v>
      </c>
      <c r="CO49" t="s">
        <v>218</v>
      </c>
      <c r="CP49" t="s">
        <v>218</v>
      </c>
      <c r="CQ49" t="s">
        <v>218</v>
      </c>
      <c r="CR49" t="s">
        <v>59</v>
      </c>
      <c r="CS49" t="s">
        <v>59</v>
      </c>
      <c r="CT49" t="s">
        <v>59</v>
      </c>
      <c r="CU49" t="s">
        <v>59</v>
      </c>
      <c r="CV49" t="s">
        <v>59</v>
      </c>
      <c r="CW49" t="s">
        <v>60</v>
      </c>
      <c r="CX49" t="s">
        <v>60</v>
      </c>
      <c r="CY49" t="s">
        <v>59</v>
      </c>
      <c r="CZ49" t="s">
        <v>59</v>
      </c>
      <c r="DA49" t="s">
        <v>60</v>
      </c>
      <c r="DB49" t="s">
        <v>60</v>
      </c>
      <c r="DC49" t="s">
        <v>60</v>
      </c>
      <c r="DD49" t="s">
        <v>60</v>
      </c>
      <c r="DE49" t="s">
        <v>60</v>
      </c>
      <c r="DF49" t="s">
        <v>59</v>
      </c>
      <c r="DG49" t="s">
        <v>59</v>
      </c>
      <c r="DH49" t="s">
        <v>59</v>
      </c>
      <c r="DI49" t="s">
        <v>59</v>
      </c>
      <c r="DJ49" t="s">
        <v>59</v>
      </c>
      <c r="DK49" t="s">
        <v>59</v>
      </c>
      <c r="DL49" t="s">
        <v>509</v>
      </c>
      <c r="DM49" t="s">
        <v>59</v>
      </c>
      <c r="DN49" t="s">
        <v>60</v>
      </c>
      <c r="DO49" t="s">
        <v>218</v>
      </c>
      <c r="DP49" t="s">
        <v>60</v>
      </c>
      <c r="DQ49" t="s">
        <v>218</v>
      </c>
      <c r="DR49" t="s">
        <v>218</v>
      </c>
      <c r="DS49" t="s">
        <v>218</v>
      </c>
      <c r="DT49" t="s">
        <v>218</v>
      </c>
      <c r="DU49" t="s">
        <v>218</v>
      </c>
      <c r="DV49" t="s">
        <v>218</v>
      </c>
      <c r="DW49" t="s">
        <v>218</v>
      </c>
      <c r="DX49" t="s">
        <v>218</v>
      </c>
      <c r="DY49" t="s">
        <v>218</v>
      </c>
      <c r="DZ49" t="s">
        <v>218</v>
      </c>
      <c r="EA49" t="s">
        <v>218</v>
      </c>
      <c r="EB49" t="s">
        <v>218</v>
      </c>
      <c r="EC49" t="s">
        <v>218</v>
      </c>
      <c r="ED49" t="s">
        <v>59</v>
      </c>
      <c r="EE49" t="s">
        <v>60</v>
      </c>
      <c r="EF49" t="s">
        <v>60</v>
      </c>
      <c r="EG49" t="s">
        <v>60</v>
      </c>
      <c r="EH49" t="s">
        <v>60</v>
      </c>
      <c r="EI49" t="s">
        <v>59</v>
      </c>
      <c r="EJ49" t="s">
        <v>59</v>
      </c>
      <c r="EK49" t="s">
        <v>59</v>
      </c>
      <c r="EL49" t="s">
        <v>218</v>
      </c>
      <c r="EM49" t="s">
        <v>59</v>
      </c>
      <c r="EN49" t="s">
        <v>60</v>
      </c>
      <c r="EO49" t="s">
        <v>59</v>
      </c>
      <c r="EP49" t="s">
        <v>60</v>
      </c>
      <c r="EQ49" t="s">
        <v>60</v>
      </c>
      <c r="ER49" t="s">
        <v>59</v>
      </c>
      <c r="ES49" t="s">
        <v>59</v>
      </c>
      <c r="ET49" t="s">
        <v>59</v>
      </c>
      <c r="EU49" t="s">
        <v>59</v>
      </c>
      <c r="EV49" t="s">
        <v>59</v>
      </c>
      <c r="EW49" t="s">
        <v>59</v>
      </c>
      <c r="EX49" t="s">
        <v>59</v>
      </c>
      <c r="EY49" t="s">
        <v>60</v>
      </c>
      <c r="EZ49" t="s">
        <v>59</v>
      </c>
      <c r="FA49" t="s">
        <v>218</v>
      </c>
      <c r="FB49" t="s">
        <v>218</v>
      </c>
      <c r="FC49" t="s">
        <v>218</v>
      </c>
      <c r="FD49" t="s">
        <v>218</v>
      </c>
      <c r="FE49" t="s">
        <v>218</v>
      </c>
      <c r="FF49" t="s">
        <v>218</v>
      </c>
      <c r="FG49" t="s">
        <v>218</v>
      </c>
      <c r="FH49" t="s">
        <v>60</v>
      </c>
      <c r="FI49" t="s">
        <v>218</v>
      </c>
      <c r="FJ49" t="s">
        <v>191</v>
      </c>
      <c r="FK49" t="s">
        <v>218</v>
      </c>
      <c r="FL49" t="s">
        <v>60</v>
      </c>
      <c r="FM49" t="s">
        <v>60</v>
      </c>
      <c r="FN49" t="s">
        <v>218</v>
      </c>
      <c r="FO49" t="s">
        <v>60</v>
      </c>
      <c r="FP49" t="s">
        <v>60</v>
      </c>
      <c r="FQ49" t="s">
        <v>60</v>
      </c>
      <c r="FR49" t="s">
        <v>60</v>
      </c>
      <c r="FS49" t="s">
        <v>218</v>
      </c>
      <c r="FT49" t="s">
        <v>59</v>
      </c>
      <c r="FU49" t="s">
        <v>60</v>
      </c>
      <c r="FV49" t="s">
        <v>59</v>
      </c>
      <c r="FW49" t="s">
        <v>60</v>
      </c>
      <c r="FX49" t="s">
        <v>60</v>
      </c>
      <c r="FY49" t="s">
        <v>60</v>
      </c>
      <c r="FZ49" t="s">
        <v>60</v>
      </c>
      <c r="GA49" t="s">
        <v>60</v>
      </c>
      <c r="GB49" t="s">
        <v>59</v>
      </c>
      <c r="GC49" t="s">
        <v>59</v>
      </c>
      <c r="GD49" t="s">
        <v>59</v>
      </c>
      <c r="GE49" t="s">
        <v>60</v>
      </c>
      <c r="GF49" t="s">
        <v>60</v>
      </c>
      <c r="GG49" t="s">
        <v>60</v>
      </c>
      <c r="GH49" t="s">
        <v>59</v>
      </c>
      <c r="GI49" t="s">
        <v>59</v>
      </c>
      <c r="GJ49" t="s">
        <v>59</v>
      </c>
      <c r="GK49" t="s">
        <v>218</v>
      </c>
      <c r="GL49" t="s">
        <v>60</v>
      </c>
      <c r="GM49" t="s">
        <v>60</v>
      </c>
      <c r="GN49" t="s">
        <v>59</v>
      </c>
      <c r="GO49" t="s">
        <v>59</v>
      </c>
      <c r="GP49" t="s">
        <v>59</v>
      </c>
      <c r="GQ49" t="s">
        <v>218</v>
      </c>
      <c r="GR49" t="s">
        <v>59</v>
      </c>
      <c r="GS49" t="s">
        <v>59</v>
      </c>
      <c r="GT49" t="s">
        <v>218</v>
      </c>
      <c r="GU49" t="s">
        <v>218</v>
      </c>
      <c r="GV49" t="s">
        <v>59</v>
      </c>
      <c r="GW49" t="s">
        <v>59</v>
      </c>
      <c r="GX49" t="s">
        <v>59</v>
      </c>
      <c r="GY49" t="s">
        <v>218</v>
      </c>
      <c r="GZ49" t="s">
        <v>218</v>
      </c>
      <c r="HA49" t="s">
        <v>59</v>
      </c>
      <c r="HB49" t="s">
        <v>59</v>
      </c>
      <c r="HC49" t="s">
        <v>59</v>
      </c>
      <c r="HD49" t="s">
        <v>60</v>
      </c>
      <c r="HE49" t="s">
        <v>60</v>
      </c>
      <c r="HF49" t="s">
        <v>218</v>
      </c>
      <c r="HG49" t="s">
        <v>60</v>
      </c>
      <c r="HH49" t="s">
        <v>59</v>
      </c>
      <c r="HI49" t="s">
        <v>60</v>
      </c>
      <c r="HJ49" t="s">
        <v>60</v>
      </c>
      <c r="HK49" t="s">
        <v>59</v>
      </c>
      <c r="HL49" t="s">
        <v>218</v>
      </c>
      <c r="HM49" t="s">
        <v>218</v>
      </c>
      <c r="HN49" t="s">
        <v>218</v>
      </c>
      <c r="HO49" t="s">
        <v>218</v>
      </c>
      <c r="HP49" t="s">
        <v>59</v>
      </c>
      <c r="HQ49" t="s">
        <v>59</v>
      </c>
      <c r="HR49" t="s">
        <v>59</v>
      </c>
      <c r="HS49" t="s">
        <v>59</v>
      </c>
      <c r="HT49" t="s">
        <v>59</v>
      </c>
      <c r="HU49" t="s">
        <v>59</v>
      </c>
      <c r="HV49" t="s">
        <v>59</v>
      </c>
      <c r="HW49" t="s">
        <v>59</v>
      </c>
      <c r="HX49" t="s">
        <v>59</v>
      </c>
      <c r="HY49" t="s">
        <v>59</v>
      </c>
      <c r="HZ49" t="s">
        <v>59</v>
      </c>
      <c r="IA49" t="s">
        <v>59</v>
      </c>
      <c r="IB49" t="s">
        <v>59</v>
      </c>
      <c r="IC49" t="s">
        <v>59</v>
      </c>
      <c r="ID49" t="s">
        <v>59</v>
      </c>
      <c r="IE49" t="s">
        <v>59</v>
      </c>
      <c r="IF49" t="s">
        <v>60</v>
      </c>
      <c r="IG49" t="s">
        <v>60</v>
      </c>
      <c r="IH49" t="s">
        <v>60</v>
      </c>
      <c r="II49" t="s">
        <v>60</v>
      </c>
      <c r="IJ49" t="s">
        <v>129</v>
      </c>
      <c r="IK49" t="s">
        <v>191</v>
      </c>
      <c r="IL49" t="s">
        <v>128</v>
      </c>
      <c r="IM49" t="s">
        <v>407</v>
      </c>
      <c r="IN49">
        <v>19</v>
      </c>
      <c r="IO49" t="s">
        <v>2730</v>
      </c>
      <c r="IP49" t="s">
        <v>2730</v>
      </c>
      <c r="IQ49">
        <v>10</v>
      </c>
      <c r="IR49">
        <v>15</v>
      </c>
      <c r="IS49" t="s">
        <v>2730</v>
      </c>
      <c r="IT49" t="s">
        <v>2730</v>
      </c>
      <c r="IU49" t="s">
        <v>2730</v>
      </c>
      <c r="IV49">
        <v>7</v>
      </c>
      <c r="IW49" t="s">
        <v>2730</v>
      </c>
      <c r="IX49" t="s">
        <v>2730</v>
      </c>
      <c r="IY49">
        <v>9</v>
      </c>
      <c r="IZ49">
        <v>21</v>
      </c>
      <c r="JA49" t="s">
        <v>2730</v>
      </c>
      <c r="JB49">
        <v>1</v>
      </c>
      <c r="JC49">
        <v>12</v>
      </c>
      <c r="JD49">
        <v>8</v>
      </c>
      <c r="JE49" t="s">
        <v>2730</v>
      </c>
      <c r="JF49" t="s">
        <v>2730</v>
      </c>
      <c r="JG49">
        <v>15</v>
      </c>
      <c r="JH49">
        <v>13</v>
      </c>
      <c r="JI49" t="s">
        <v>2730</v>
      </c>
      <c r="JJ49" t="s">
        <v>2730</v>
      </c>
      <c r="JK49">
        <v>7</v>
      </c>
      <c r="JL49">
        <v>16</v>
      </c>
      <c r="JM49" t="s">
        <v>2730</v>
      </c>
      <c r="JN49" t="s">
        <v>2730</v>
      </c>
      <c r="JO49" t="s">
        <v>2730</v>
      </c>
      <c r="JP49" t="s">
        <v>2730</v>
      </c>
      <c r="JQ49">
        <v>4</v>
      </c>
    </row>
    <row r="50" spans="1:277">
      <c r="A50" s="149" t="str">
        <f>HYPERLINK("http://www.ofsted.gov.uk/inspection-reports/find-inspection-report/provider/ELS/135111 ","Ofsted School Webpage")</f>
        <v>Ofsted School Webpage</v>
      </c>
      <c r="B50">
        <v>1132340</v>
      </c>
      <c r="C50">
        <v>135111</v>
      </c>
      <c r="D50">
        <v>9386272</v>
      </c>
      <c r="E50" t="s">
        <v>394</v>
      </c>
      <c r="F50" t="s">
        <v>38</v>
      </c>
      <c r="G50" t="s">
        <v>180</v>
      </c>
      <c r="H50" t="s">
        <v>181</v>
      </c>
      <c r="I50" t="s">
        <v>181</v>
      </c>
      <c r="J50" t="s">
        <v>395</v>
      </c>
      <c r="K50" t="s">
        <v>396</v>
      </c>
      <c r="L50" t="s">
        <v>184</v>
      </c>
      <c r="M50" t="s">
        <v>185</v>
      </c>
      <c r="N50" t="s">
        <v>184</v>
      </c>
      <c r="O50" t="s">
        <v>2730</v>
      </c>
      <c r="P50" t="s">
        <v>186</v>
      </c>
      <c r="Q50">
        <v>10026024</v>
      </c>
      <c r="R50" s="120">
        <v>42997</v>
      </c>
      <c r="S50" s="120">
        <v>42999</v>
      </c>
      <c r="T50" s="120">
        <v>43020</v>
      </c>
      <c r="U50" t="s">
        <v>2730</v>
      </c>
      <c r="V50" t="s">
        <v>196</v>
      </c>
      <c r="W50" t="s">
        <v>2730</v>
      </c>
      <c r="X50" t="s">
        <v>197</v>
      </c>
      <c r="Y50">
        <v>2</v>
      </c>
      <c r="Z50">
        <v>2</v>
      </c>
      <c r="AA50">
        <v>2</v>
      </c>
      <c r="AB50">
        <v>2</v>
      </c>
      <c r="AC50">
        <v>2</v>
      </c>
      <c r="AD50" t="s">
        <v>2730</v>
      </c>
      <c r="AE50" t="s">
        <v>2730</v>
      </c>
      <c r="AF50" t="s">
        <v>128</v>
      </c>
      <c r="AG50" t="s">
        <v>2730</v>
      </c>
      <c r="AH50" t="s">
        <v>2732</v>
      </c>
      <c r="AI50" t="s">
        <v>59</v>
      </c>
      <c r="AJ50" t="s">
        <v>59</v>
      </c>
      <c r="AK50" t="s">
        <v>59</v>
      </c>
      <c r="AL50" t="s">
        <v>59</v>
      </c>
      <c r="AM50" t="s">
        <v>59</v>
      </c>
      <c r="AN50" t="s">
        <v>59</v>
      </c>
      <c r="AO50" t="s">
        <v>59</v>
      </c>
      <c r="AP50" t="s">
        <v>59</v>
      </c>
      <c r="AQ50" t="s">
        <v>59</v>
      </c>
      <c r="AR50" t="s">
        <v>59</v>
      </c>
      <c r="AS50" t="s">
        <v>59</v>
      </c>
      <c r="AT50" t="s">
        <v>59</v>
      </c>
      <c r="AU50" t="s">
        <v>59</v>
      </c>
      <c r="AV50" t="s">
        <v>59</v>
      </c>
      <c r="AW50" t="s">
        <v>59</v>
      </c>
      <c r="AX50" t="s">
        <v>59</v>
      </c>
      <c r="AY50" t="s">
        <v>218</v>
      </c>
      <c r="AZ50" t="s">
        <v>59</v>
      </c>
      <c r="BA50" t="s">
        <v>59</v>
      </c>
      <c r="BB50" t="s">
        <v>59</v>
      </c>
      <c r="BC50" t="s">
        <v>59</v>
      </c>
      <c r="BD50" t="s">
        <v>59</v>
      </c>
      <c r="BE50" t="s">
        <v>59</v>
      </c>
      <c r="BF50" t="s">
        <v>59</v>
      </c>
      <c r="BG50" t="s">
        <v>218</v>
      </c>
      <c r="BH50" t="s">
        <v>218</v>
      </c>
      <c r="BI50" t="s">
        <v>59</v>
      </c>
      <c r="BJ50" t="s">
        <v>59</v>
      </c>
      <c r="BK50" t="s">
        <v>59</v>
      </c>
      <c r="BL50" t="s">
        <v>59</v>
      </c>
      <c r="BM50" t="s">
        <v>59</v>
      </c>
      <c r="BN50" t="s">
        <v>59</v>
      </c>
      <c r="BO50" t="s">
        <v>59</v>
      </c>
      <c r="BP50" t="s">
        <v>59</v>
      </c>
      <c r="BQ50" t="s">
        <v>59</v>
      </c>
      <c r="BR50" t="s">
        <v>59</v>
      </c>
      <c r="BS50" t="s">
        <v>59</v>
      </c>
      <c r="BT50" t="s">
        <v>59</v>
      </c>
      <c r="BU50" t="s">
        <v>59</v>
      </c>
      <c r="BV50" t="s">
        <v>59</v>
      </c>
      <c r="BW50" t="s">
        <v>59</v>
      </c>
      <c r="BX50" t="s">
        <v>59</v>
      </c>
      <c r="BY50" t="s">
        <v>59</v>
      </c>
      <c r="BZ50" t="s">
        <v>59</v>
      </c>
      <c r="CA50" t="s">
        <v>59</v>
      </c>
      <c r="CB50" t="s">
        <v>59</v>
      </c>
      <c r="CC50" t="s">
        <v>59</v>
      </c>
      <c r="CD50" t="s">
        <v>59</v>
      </c>
      <c r="CE50" t="s">
        <v>59</v>
      </c>
      <c r="CF50" t="s">
        <v>59</v>
      </c>
      <c r="CG50" t="s">
        <v>59</v>
      </c>
      <c r="CH50" t="s">
        <v>59</v>
      </c>
      <c r="CI50" t="s">
        <v>59</v>
      </c>
      <c r="CJ50" t="s">
        <v>59</v>
      </c>
      <c r="CK50" t="s">
        <v>59</v>
      </c>
      <c r="CL50" t="s">
        <v>59</v>
      </c>
      <c r="CM50" t="s">
        <v>59</v>
      </c>
      <c r="CN50" t="s">
        <v>59</v>
      </c>
      <c r="CO50" t="s">
        <v>218</v>
      </c>
      <c r="CP50" t="s">
        <v>218</v>
      </c>
      <c r="CQ50" t="s">
        <v>218</v>
      </c>
      <c r="CR50" t="s">
        <v>59</v>
      </c>
      <c r="CS50" t="s">
        <v>59</v>
      </c>
      <c r="CT50" t="s">
        <v>59</v>
      </c>
      <c r="CU50" t="s">
        <v>59</v>
      </c>
      <c r="CV50" t="s">
        <v>59</v>
      </c>
      <c r="CW50" t="s">
        <v>59</v>
      </c>
      <c r="CX50" t="s">
        <v>59</v>
      </c>
      <c r="CY50" t="s">
        <v>59</v>
      </c>
      <c r="CZ50" t="s">
        <v>59</v>
      </c>
      <c r="DA50" t="s">
        <v>59</v>
      </c>
      <c r="DB50" t="s">
        <v>59</v>
      </c>
      <c r="DC50" t="s">
        <v>59</v>
      </c>
      <c r="DD50" t="s">
        <v>59</v>
      </c>
      <c r="DE50" t="s">
        <v>59</v>
      </c>
      <c r="DF50" t="s">
        <v>59</v>
      </c>
      <c r="DG50" t="s">
        <v>59</v>
      </c>
      <c r="DH50" t="s">
        <v>59</v>
      </c>
      <c r="DI50" t="s">
        <v>59</v>
      </c>
      <c r="DJ50" t="s">
        <v>59</v>
      </c>
      <c r="DK50" t="s">
        <v>59</v>
      </c>
      <c r="DL50" t="s">
        <v>59</v>
      </c>
      <c r="DM50" t="s">
        <v>59</v>
      </c>
      <c r="DN50" t="s">
        <v>59</v>
      </c>
      <c r="DO50" t="s">
        <v>218</v>
      </c>
      <c r="DP50" t="s">
        <v>218</v>
      </c>
      <c r="DQ50" t="s">
        <v>59</v>
      </c>
      <c r="DR50" t="s">
        <v>59</v>
      </c>
      <c r="DS50" t="s">
        <v>59</v>
      </c>
      <c r="DT50" t="s">
        <v>59</v>
      </c>
      <c r="DU50" t="s">
        <v>59</v>
      </c>
      <c r="DV50" t="s">
        <v>59</v>
      </c>
      <c r="DW50" t="s">
        <v>59</v>
      </c>
      <c r="DX50" t="s">
        <v>59</v>
      </c>
      <c r="DY50" t="s">
        <v>59</v>
      </c>
      <c r="DZ50" t="s">
        <v>59</v>
      </c>
      <c r="EA50" t="s">
        <v>59</v>
      </c>
      <c r="EB50" t="s">
        <v>59</v>
      </c>
      <c r="EC50" t="s">
        <v>218</v>
      </c>
      <c r="ED50" t="s">
        <v>218</v>
      </c>
      <c r="EE50" t="s">
        <v>59</v>
      </c>
      <c r="EF50" t="s">
        <v>59</v>
      </c>
      <c r="EG50" t="s">
        <v>59</v>
      </c>
      <c r="EH50" t="s">
        <v>59</v>
      </c>
      <c r="EI50" t="s">
        <v>59</v>
      </c>
      <c r="EJ50" t="s">
        <v>59</v>
      </c>
      <c r="EK50" t="s">
        <v>59</v>
      </c>
      <c r="EL50" t="s">
        <v>59</v>
      </c>
      <c r="EM50" t="s">
        <v>59</v>
      </c>
      <c r="EN50" t="s">
        <v>59</v>
      </c>
      <c r="EO50" t="s">
        <v>59</v>
      </c>
      <c r="EP50" t="s">
        <v>59</v>
      </c>
      <c r="EQ50" t="s">
        <v>59</v>
      </c>
      <c r="ER50" t="s">
        <v>59</v>
      </c>
      <c r="ES50" t="s">
        <v>59</v>
      </c>
      <c r="ET50" t="s">
        <v>59</v>
      </c>
      <c r="EU50" t="s">
        <v>59</v>
      </c>
      <c r="EV50" t="s">
        <v>59</v>
      </c>
      <c r="EW50" t="s">
        <v>59</v>
      </c>
      <c r="EX50" t="s">
        <v>59</v>
      </c>
      <c r="EY50" t="s">
        <v>59</v>
      </c>
      <c r="EZ50" t="s">
        <v>59</v>
      </c>
      <c r="FA50" t="s">
        <v>59</v>
      </c>
      <c r="FB50" t="s">
        <v>59</v>
      </c>
      <c r="FC50" t="s">
        <v>59</v>
      </c>
      <c r="FD50" t="s">
        <v>59</v>
      </c>
      <c r="FE50" t="s">
        <v>59</v>
      </c>
      <c r="FF50" t="s">
        <v>59</v>
      </c>
      <c r="FG50" t="s">
        <v>59</v>
      </c>
      <c r="FH50" t="s">
        <v>59</v>
      </c>
      <c r="FI50" t="s">
        <v>59</v>
      </c>
      <c r="FJ50" t="s">
        <v>59</v>
      </c>
      <c r="FK50" t="s">
        <v>59</v>
      </c>
      <c r="FL50" t="s">
        <v>59</v>
      </c>
      <c r="FM50" t="s">
        <v>59</v>
      </c>
      <c r="FN50" t="s">
        <v>59</v>
      </c>
      <c r="FO50" t="s">
        <v>59</v>
      </c>
      <c r="FP50" t="s">
        <v>59</v>
      </c>
      <c r="FQ50" t="s">
        <v>59</v>
      </c>
      <c r="FR50" t="s">
        <v>59</v>
      </c>
      <c r="FS50" t="s">
        <v>218</v>
      </c>
      <c r="FT50" t="s">
        <v>59</v>
      </c>
      <c r="FU50" t="s">
        <v>59</v>
      </c>
      <c r="FV50" t="s">
        <v>59</v>
      </c>
      <c r="FW50" t="s">
        <v>59</v>
      </c>
      <c r="FX50" t="s">
        <v>59</v>
      </c>
      <c r="FY50" t="s">
        <v>59</v>
      </c>
      <c r="FZ50" t="s">
        <v>59</v>
      </c>
      <c r="GA50" t="s">
        <v>59</v>
      </c>
      <c r="GB50" t="s">
        <v>59</v>
      </c>
      <c r="GC50" t="s">
        <v>59</v>
      </c>
      <c r="GD50" t="s">
        <v>59</v>
      </c>
      <c r="GE50" t="s">
        <v>59</v>
      </c>
      <c r="GF50" t="s">
        <v>59</v>
      </c>
      <c r="GG50" t="s">
        <v>59</v>
      </c>
      <c r="GH50" t="s">
        <v>59</v>
      </c>
      <c r="GI50" t="s">
        <v>59</v>
      </c>
      <c r="GJ50" t="s">
        <v>59</v>
      </c>
      <c r="GK50" t="s">
        <v>218</v>
      </c>
      <c r="GL50" t="s">
        <v>59</v>
      </c>
      <c r="GM50" t="s">
        <v>59</v>
      </c>
      <c r="GN50" t="s">
        <v>59</v>
      </c>
      <c r="GO50" t="s">
        <v>59</v>
      </c>
      <c r="GP50" t="s">
        <v>59</v>
      </c>
      <c r="GQ50" t="s">
        <v>59</v>
      </c>
      <c r="GR50" t="s">
        <v>59</v>
      </c>
      <c r="GS50" t="s">
        <v>59</v>
      </c>
      <c r="GT50" t="s">
        <v>59</v>
      </c>
      <c r="GU50" t="s">
        <v>59</v>
      </c>
      <c r="GV50" t="s">
        <v>59</v>
      </c>
      <c r="GW50" t="s">
        <v>59</v>
      </c>
      <c r="GX50" t="s">
        <v>59</v>
      </c>
      <c r="GY50" t="s">
        <v>59</v>
      </c>
      <c r="GZ50" t="s">
        <v>59</v>
      </c>
      <c r="HA50" t="s">
        <v>59</v>
      </c>
      <c r="HB50" t="s">
        <v>218</v>
      </c>
      <c r="HC50" t="s">
        <v>59</v>
      </c>
      <c r="HD50" t="s">
        <v>59</v>
      </c>
      <c r="HE50" t="s">
        <v>59</v>
      </c>
      <c r="HF50" t="s">
        <v>59</v>
      </c>
      <c r="HG50" t="s">
        <v>59</v>
      </c>
      <c r="HH50" t="s">
        <v>59</v>
      </c>
      <c r="HI50" t="s">
        <v>59</v>
      </c>
      <c r="HJ50" t="s">
        <v>59</v>
      </c>
      <c r="HK50" t="s">
        <v>59</v>
      </c>
      <c r="HL50" t="s">
        <v>59</v>
      </c>
      <c r="HM50" t="s">
        <v>59</v>
      </c>
      <c r="HN50" t="s">
        <v>59</v>
      </c>
      <c r="HO50" t="s">
        <v>59</v>
      </c>
      <c r="HP50" t="s">
        <v>59</v>
      </c>
      <c r="HQ50" t="s">
        <v>59</v>
      </c>
      <c r="HR50" t="s">
        <v>59</v>
      </c>
      <c r="HS50" t="s">
        <v>59</v>
      </c>
      <c r="HT50" t="s">
        <v>59</v>
      </c>
      <c r="HU50" t="s">
        <v>59</v>
      </c>
      <c r="HV50" t="s">
        <v>59</v>
      </c>
      <c r="HW50" t="s">
        <v>59</v>
      </c>
      <c r="HX50" t="s">
        <v>59</v>
      </c>
      <c r="HY50" t="s">
        <v>59</v>
      </c>
      <c r="HZ50" t="s">
        <v>59</v>
      </c>
      <c r="IA50" t="s">
        <v>59</v>
      </c>
      <c r="IB50" t="s">
        <v>59</v>
      </c>
      <c r="IC50" t="s">
        <v>59</v>
      </c>
      <c r="ID50" t="s">
        <v>59</v>
      </c>
      <c r="IE50" t="s">
        <v>59</v>
      </c>
      <c r="IF50" t="s">
        <v>59</v>
      </c>
      <c r="IG50" t="s">
        <v>59</v>
      </c>
      <c r="IH50" t="s">
        <v>59</v>
      </c>
      <c r="II50" t="s">
        <v>59</v>
      </c>
      <c r="IJ50" t="s">
        <v>129</v>
      </c>
      <c r="IK50" t="s">
        <v>191</v>
      </c>
      <c r="IL50" t="s">
        <v>128</v>
      </c>
      <c r="IM50" t="s">
        <v>199</v>
      </c>
      <c r="IN50">
        <v>29</v>
      </c>
      <c r="IO50" t="s">
        <v>2730</v>
      </c>
      <c r="IP50" t="s">
        <v>2730</v>
      </c>
      <c r="IQ50" t="s">
        <v>2730</v>
      </c>
      <c r="IR50">
        <v>15</v>
      </c>
      <c r="IS50" t="s">
        <v>2730</v>
      </c>
      <c r="IT50" t="s">
        <v>2730</v>
      </c>
      <c r="IU50" t="s">
        <v>2730</v>
      </c>
      <c r="IV50">
        <v>16</v>
      </c>
      <c r="IW50" t="s">
        <v>2730</v>
      </c>
      <c r="IX50" t="s">
        <v>2730</v>
      </c>
      <c r="IY50" t="s">
        <v>2730</v>
      </c>
      <c r="IZ50">
        <v>55</v>
      </c>
      <c r="JA50" t="s">
        <v>2730</v>
      </c>
      <c r="JB50" t="s">
        <v>2730</v>
      </c>
      <c r="JC50" t="s">
        <v>2730</v>
      </c>
      <c r="JD50">
        <v>24</v>
      </c>
      <c r="JE50" t="s">
        <v>2730</v>
      </c>
      <c r="JF50" t="s">
        <v>2730</v>
      </c>
      <c r="JG50" t="s">
        <v>2730</v>
      </c>
      <c r="JH50">
        <v>29</v>
      </c>
      <c r="JI50" t="s">
        <v>2730</v>
      </c>
      <c r="JJ50" t="s">
        <v>2730</v>
      </c>
      <c r="JK50" t="s">
        <v>2730</v>
      </c>
      <c r="JL50">
        <v>16</v>
      </c>
      <c r="JM50" t="s">
        <v>2730</v>
      </c>
      <c r="JN50" t="s">
        <v>2730</v>
      </c>
      <c r="JO50">
        <v>4</v>
      </c>
      <c r="JP50" t="s">
        <v>2730</v>
      </c>
      <c r="JQ50" t="s">
        <v>2730</v>
      </c>
    </row>
    <row r="51" spans="1:277">
      <c r="A51" s="149" t="str">
        <f>HYPERLINK("http://www.ofsted.gov.uk/inspection-reports/find-inspection-report/provider/ELS/136227 ","Ofsted School Webpage")</f>
        <v>Ofsted School Webpage</v>
      </c>
      <c r="B51">
        <v>1132385</v>
      </c>
      <c r="C51">
        <v>136227</v>
      </c>
      <c r="D51">
        <v>9286073</v>
      </c>
      <c r="E51" t="s">
        <v>992</v>
      </c>
      <c r="F51" t="s">
        <v>38</v>
      </c>
      <c r="G51" t="s">
        <v>180</v>
      </c>
      <c r="H51" t="s">
        <v>214</v>
      </c>
      <c r="I51" t="s">
        <v>214</v>
      </c>
      <c r="J51" t="s">
        <v>215</v>
      </c>
      <c r="K51" t="s">
        <v>993</v>
      </c>
      <c r="L51" t="s">
        <v>184</v>
      </c>
      <c r="M51" t="s">
        <v>185</v>
      </c>
      <c r="N51" t="s">
        <v>184</v>
      </c>
      <c r="O51" t="s">
        <v>2730</v>
      </c>
      <c r="P51" t="s">
        <v>186</v>
      </c>
      <c r="Q51">
        <v>10039190</v>
      </c>
      <c r="R51" s="120">
        <v>43053</v>
      </c>
      <c r="S51" s="120">
        <v>43055</v>
      </c>
      <c r="T51" s="120">
        <v>43076</v>
      </c>
      <c r="U51" t="s">
        <v>2730</v>
      </c>
      <c r="V51" t="s">
        <v>196</v>
      </c>
      <c r="W51" t="s">
        <v>2730</v>
      </c>
      <c r="X51" t="s">
        <v>197</v>
      </c>
      <c r="Y51">
        <v>2</v>
      </c>
      <c r="Z51">
        <v>2</v>
      </c>
      <c r="AA51">
        <v>2</v>
      </c>
      <c r="AB51">
        <v>2</v>
      </c>
      <c r="AC51">
        <v>2</v>
      </c>
      <c r="AD51" t="s">
        <v>2730</v>
      </c>
      <c r="AE51">
        <v>2</v>
      </c>
      <c r="AF51" t="s">
        <v>128</v>
      </c>
      <c r="AG51" t="s">
        <v>2730</v>
      </c>
      <c r="AH51" t="s">
        <v>2732</v>
      </c>
      <c r="AI51" t="s">
        <v>59</v>
      </c>
      <c r="AJ51" t="s">
        <v>59</v>
      </c>
      <c r="AK51" t="s">
        <v>59</v>
      </c>
      <c r="AL51" t="s">
        <v>59</v>
      </c>
      <c r="AM51" t="s">
        <v>59</v>
      </c>
      <c r="AN51" t="s">
        <v>59</v>
      </c>
      <c r="AO51" t="s">
        <v>59</v>
      </c>
      <c r="AP51" t="s">
        <v>59</v>
      </c>
      <c r="AQ51" t="s">
        <v>59</v>
      </c>
      <c r="AR51" t="s">
        <v>59</v>
      </c>
      <c r="AS51" t="s">
        <v>59</v>
      </c>
      <c r="AT51" t="s">
        <v>59</v>
      </c>
      <c r="AU51" t="s">
        <v>59</v>
      </c>
      <c r="AV51" t="s">
        <v>59</v>
      </c>
      <c r="AW51" t="s">
        <v>59</v>
      </c>
      <c r="AX51" t="s">
        <v>59</v>
      </c>
      <c r="AY51" t="s">
        <v>218</v>
      </c>
      <c r="AZ51" t="s">
        <v>59</v>
      </c>
      <c r="BA51" t="s">
        <v>59</v>
      </c>
      <c r="BB51" t="s">
        <v>59</v>
      </c>
      <c r="BC51" t="s">
        <v>59</v>
      </c>
      <c r="BD51" t="s">
        <v>59</v>
      </c>
      <c r="BE51" t="s">
        <v>59</v>
      </c>
      <c r="BF51" t="s">
        <v>59</v>
      </c>
      <c r="BG51" t="s">
        <v>218</v>
      </c>
      <c r="BH51" t="s">
        <v>59</v>
      </c>
      <c r="BI51" t="s">
        <v>59</v>
      </c>
      <c r="BJ51" t="s">
        <v>59</v>
      </c>
      <c r="BK51" t="s">
        <v>59</v>
      </c>
      <c r="BL51" t="s">
        <v>59</v>
      </c>
      <c r="BM51" t="s">
        <v>59</v>
      </c>
      <c r="BN51" t="s">
        <v>59</v>
      </c>
      <c r="BO51" t="s">
        <v>59</v>
      </c>
      <c r="BP51" t="s">
        <v>59</v>
      </c>
      <c r="BQ51" t="s">
        <v>59</v>
      </c>
      <c r="BR51" t="s">
        <v>59</v>
      </c>
      <c r="BS51" t="s">
        <v>59</v>
      </c>
      <c r="BT51" t="s">
        <v>59</v>
      </c>
      <c r="BU51" t="s">
        <v>59</v>
      </c>
      <c r="BV51" t="s">
        <v>59</v>
      </c>
      <c r="BW51" t="s">
        <v>59</v>
      </c>
      <c r="BX51" t="s">
        <v>59</v>
      </c>
      <c r="BY51" t="s">
        <v>59</v>
      </c>
      <c r="BZ51" t="s">
        <v>59</v>
      </c>
      <c r="CA51" t="s">
        <v>59</v>
      </c>
      <c r="CB51" t="s">
        <v>59</v>
      </c>
      <c r="CC51" t="s">
        <v>59</v>
      </c>
      <c r="CD51" t="s">
        <v>59</v>
      </c>
      <c r="CE51" t="s">
        <v>59</v>
      </c>
      <c r="CF51" t="s">
        <v>59</v>
      </c>
      <c r="CG51" t="s">
        <v>59</v>
      </c>
      <c r="CH51" t="s">
        <v>59</v>
      </c>
      <c r="CI51" t="s">
        <v>59</v>
      </c>
      <c r="CJ51" t="s">
        <v>59</v>
      </c>
      <c r="CK51" t="s">
        <v>59</v>
      </c>
      <c r="CL51" t="s">
        <v>59</v>
      </c>
      <c r="CM51" t="s">
        <v>59</v>
      </c>
      <c r="CN51" t="s">
        <v>59</v>
      </c>
      <c r="CO51" t="s">
        <v>218</v>
      </c>
      <c r="CP51" t="s">
        <v>218</v>
      </c>
      <c r="CQ51" t="s">
        <v>218</v>
      </c>
      <c r="CR51" t="s">
        <v>59</v>
      </c>
      <c r="CS51" t="s">
        <v>59</v>
      </c>
      <c r="CT51" t="s">
        <v>59</v>
      </c>
      <c r="CU51" t="s">
        <v>59</v>
      </c>
      <c r="CV51" t="s">
        <v>59</v>
      </c>
      <c r="CW51" t="s">
        <v>59</v>
      </c>
      <c r="CX51" t="s">
        <v>59</v>
      </c>
      <c r="CY51" t="s">
        <v>59</v>
      </c>
      <c r="CZ51" t="s">
        <v>59</v>
      </c>
      <c r="DA51" t="s">
        <v>59</v>
      </c>
      <c r="DB51" t="s">
        <v>59</v>
      </c>
      <c r="DC51" t="s">
        <v>59</v>
      </c>
      <c r="DD51" t="s">
        <v>59</v>
      </c>
      <c r="DE51" t="s">
        <v>59</v>
      </c>
      <c r="DF51" t="s">
        <v>59</v>
      </c>
      <c r="DG51" t="s">
        <v>59</v>
      </c>
      <c r="DH51" t="s">
        <v>59</v>
      </c>
      <c r="DI51" t="s">
        <v>59</v>
      </c>
      <c r="DJ51" t="s">
        <v>59</v>
      </c>
      <c r="DK51" t="s">
        <v>59</v>
      </c>
      <c r="DL51" t="s">
        <v>59</v>
      </c>
      <c r="DM51" t="s">
        <v>59</v>
      </c>
      <c r="DN51" t="s">
        <v>59</v>
      </c>
      <c r="DO51" t="s">
        <v>218</v>
      </c>
      <c r="DP51" t="s">
        <v>59</v>
      </c>
      <c r="DQ51" t="s">
        <v>218</v>
      </c>
      <c r="DR51" t="s">
        <v>218</v>
      </c>
      <c r="DS51" t="s">
        <v>218</v>
      </c>
      <c r="DT51" t="s">
        <v>218</v>
      </c>
      <c r="DU51" t="s">
        <v>218</v>
      </c>
      <c r="DV51" t="s">
        <v>218</v>
      </c>
      <c r="DW51" t="s">
        <v>218</v>
      </c>
      <c r="DX51" t="s">
        <v>218</v>
      </c>
      <c r="DY51" t="s">
        <v>218</v>
      </c>
      <c r="DZ51" t="s">
        <v>218</v>
      </c>
      <c r="EA51" t="s">
        <v>218</v>
      </c>
      <c r="EB51" t="s">
        <v>218</v>
      </c>
      <c r="EC51" t="s">
        <v>218</v>
      </c>
      <c r="ED51" t="s">
        <v>59</v>
      </c>
      <c r="EE51" t="s">
        <v>59</v>
      </c>
      <c r="EF51" t="s">
        <v>59</v>
      </c>
      <c r="EG51" t="s">
        <v>59</v>
      </c>
      <c r="EH51" t="s">
        <v>59</v>
      </c>
      <c r="EI51" t="s">
        <v>59</v>
      </c>
      <c r="EJ51" t="s">
        <v>59</v>
      </c>
      <c r="EK51" t="s">
        <v>59</v>
      </c>
      <c r="EL51" t="s">
        <v>59</v>
      </c>
      <c r="EM51" t="s">
        <v>59</v>
      </c>
      <c r="EN51" t="s">
        <v>59</v>
      </c>
      <c r="EO51" t="s">
        <v>59</v>
      </c>
      <c r="EP51" t="s">
        <v>59</v>
      </c>
      <c r="EQ51" t="s">
        <v>59</v>
      </c>
      <c r="ER51" t="s">
        <v>59</v>
      </c>
      <c r="ES51" t="s">
        <v>59</v>
      </c>
      <c r="ET51" t="s">
        <v>59</v>
      </c>
      <c r="EU51" t="s">
        <v>59</v>
      </c>
      <c r="EV51" t="s">
        <v>59</v>
      </c>
      <c r="EW51" t="s">
        <v>59</v>
      </c>
      <c r="EX51" t="s">
        <v>59</v>
      </c>
      <c r="EY51" t="s">
        <v>59</v>
      </c>
      <c r="EZ51" t="s">
        <v>59</v>
      </c>
      <c r="FA51" t="s">
        <v>59</v>
      </c>
      <c r="FB51" t="s">
        <v>218</v>
      </c>
      <c r="FC51" t="s">
        <v>218</v>
      </c>
      <c r="FD51" t="s">
        <v>218</v>
      </c>
      <c r="FE51" t="s">
        <v>218</v>
      </c>
      <c r="FF51" t="s">
        <v>218</v>
      </c>
      <c r="FG51" t="s">
        <v>218</v>
      </c>
      <c r="FH51" t="s">
        <v>59</v>
      </c>
      <c r="FI51" t="s">
        <v>59</v>
      </c>
      <c r="FJ51" t="s">
        <v>59</v>
      </c>
      <c r="FK51" t="s">
        <v>59</v>
      </c>
      <c r="FL51" t="s">
        <v>59</v>
      </c>
      <c r="FM51" t="s">
        <v>59</v>
      </c>
      <c r="FN51" t="s">
        <v>59</v>
      </c>
      <c r="FO51" t="s">
        <v>59</v>
      </c>
      <c r="FP51" t="s">
        <v>59</v>
      </c>
      <c r="FQ51" t="s">
        <v>59</v>
      </c>
      <c r="FR51" t="s">
        <v>59</v>
      </c>
      <c r="FS51" t="s">
        <v>218</v>
      </c>
      <c r="FT51" t="s">
        <v>59</v>
      </c>
      <c r="FU51" t="s">
        <v>59</v>
      </c>
      <c r="FV51" t="s">
        <v>59</v>
      </c>
      <c r="FW51" t="s">
        <v>59</v>
      </c>
      <c r="FX51" t="s">
        <v>59</v>
      </c>
      <c r="FY51" t="s">
        <v>59</v>
      </c>
      <c r="FZ51" t="s">
        <v>59</v>
      </c>
      <c r="GA51" t="s">
        <v>59</v>
      </c>
      <c r="GB51" t="s">
        <v>59</v>
      </c>
      <c r="GC51" t="s">
        <v>59</v>
      </c>
      <c r="GD51" t="s">
        <v>59</v>
      </c>
      <c r="GE51" t="s">
        <v>59</v>
      </c>
      <c r="GF51" t="s">
        <v>59</v>
      </c>
      <c r="GG51" t="s">
        <v>59</v>
      </c>
      <c r="GH51" t="s">
        <v>59</v>
      </c>
      <c r="GI51" t="s">
        <v>59</v>
      </c>
      <c r="GJ51" t="s">
        <v>59</v>
      </c>
      <c r="GK51" t="s">
        <v>218</v>
      </c>
      <c r="GL51" t="s">
        <v>59</v>
      </c>
      <c r="GM51" t="s">
        <v>59</v>
      </c>
      <c r="GN51" t="s">
        <v>59</v>
      </c>
      <c r="GO51" t="s">
        <v>59</v>
      </c>
      <c r="GP51" t="s">
        <v>59</v>
      </c>
      <c r="GQ51" t="s">
        <v>218</v>
      </c>
      <c r="GR51" t="s">
        <v>59</v>
      </c>
      <c r="GS51" t="s">
        <v>59</v>
      </c>
      <c r="GT51" t="s">
        <v>59</v>
      </c>
      <c r="GU51" t="s">
        <v>59</v>
      </c>
      <c r="GV51" t="s">
        <v>218</v>
      </c>
      <c r="GW51" t="s">
        <v>59</v>
      </c>
      <c r="GX51" t="s">
        <v>59</v>
      </c>
      <c r="GY51" t="s">
        <v>59</v>
      </c>
      <c r="GZ51" t="s">
        <v>218</v>
      </c>
      <c r="HA51" t="s">
        <v>59</v>
      </c>
      <c r="HB51" t="s">
        <v>59</v>
      </c>
      <c r="HC51" t="s">
        <v>59</v>
      </c>
      <c r="HD51" t="s">
        <v>59</v>
      </c>
      <c r="HE51" t="s">
        <v>59</v>
      </c>
      <c r="HF51" t="s">
        <v>59</v>
      </c>
      <c r="HG51" t="s">
        <v>59</v>
      </c>
      <c r="HH51" t="s">
        <v>59</v>
      </c>
      <c r="HI51" t="s">
        <v>59</v>
      </c>
      <c r="HJ51" t="s">
        <v>59</v>
      </c>
      <c r="HK51" t="s">
        <v>59</v>
      </c>
      <c r="HL51" t="s">
        <v>218</v>
      </c>
      <c r="HM51" t="s">
        <v>218</v>
      </c>
      <c r="HN51" t="s">
        <v>218</v>
      </c>
      <c r="HO51" t="s">
        <v>218</v>
      </c>
      <c r="HP51" t="s">
        <v>59</v>
      </c>
      <c r="HQ51" t="s">
        <v>59</v>
      </c>
      <c r="HR51" t="s">
        <v>59</v>
      </c>
      <c r="HS51" t="s">
        <v>59</v>
      </c>
      <c r="HT51" t="s">
        <v>59</v>
      </c>
      <c r="HU51" t="s">
        <v>59</v>
      </c>
      <c r="HV51" t="s">
        <v>59</v>
      </c>
      <c r="HW51" t="s">
        <v>59</v>
      </c>
      <c r="HX51" t="s">
        <v>59</v>
      </c>
      <c r="HY51" t="s">
        <v>59</v>
      </c>
      <c r="HZ51" t="s">
        <v>59</v>
      </c>
      <c r="IA51" t="s">
        <v>59</v>
      </c>
      <c r="IB51" t="s">
        <v>59</v>
      </c>
      <c r="IC51" t="s">
        <v>59</v>
      </c>
      <c r="ID51" t="s">
        <v>59</v>
      </c>
      <c r="IE51" t="s">
        <v>59</v>
      </c>
      <c r="IF51" t="s">
        <v>59</v>
      </c>
      <c r="IG51" t="s">
        <v>59</v>
      </c>
      <c r="IH51" t="s">
        <v>59</v>
      </c>
      <c r="II51" t="s">
        <v>59</v>
      </c>
      <c r="IJ51" t="s">
        <v>129</v>
      </c>
      <c r="IK51" t="s">
        <v>191</v>
      </c>
      <c r="IL51" t="s">
        <v>128</v>
      </c>
      <c r="IM51" t="s">
        <v>199</v>
      </c>
      <c r="IN51">
        <v>30</v>
      </c>
      <c r="IO51" t="s">
        <v>2730</v>
      </c>
      <c r="IP51" t="s">
        <v>2730</v>
      </c>
      <c r="IQ51" t="s">
        <v>2730</v>
      </c>
      <c r="IR51">
        <v>15</v>
      </c>
      <c r="IS51" t="s">
        <v>2730</v>
      </c>
      <c r="IT51" t="s">
        <v>2730</v>
      </c>
      <c r="IU51" t="s">
        <v>2730</v>
      </c>
      <c r="IV51">
        <v>16</v>
      </c>
      <c r="IW51" t="s">
        <v>2730</v>
      </c>
      <c r="IX51" t="s">
        <v>2730</v>
      </c>
      <c r="IY51" t="s">
        <v>2730</v>
      </c>
      <c r="IZ51">
        <v>39</v>
      </c>
      <c r="JA51" t="s">
        <v>2730</v>
      </c>
      <c r="JB51" t="s">
        <v>2730</v>
      </c>
      <c r="JC51" t="s">
        <v>2730</v>
      </c>
      <c r="JD51">
        <v>24</v>
      </c>
      <c r="JE51" t="s">
        <v>2730</v>
      </c>
      <c r="JF51" t="s">
        <v>2730</v>
      </c>
      <c r="JG51" t="s">
        <v>2730</v>
      </c>
      <c r="JH51">
        <v>23</v>
      </c>
      <c r="JI51" t="s">
        <v>2730</v>
      </c>
      <c r="JJ51" t="s">
        <v>2730</v>
      </c>
      <c r="JK51" t="s">
        <v>2730</v>
      </c>
      <c r="JL51">
        <v>16</v>
      </c>
      <c r="JM51" t="s">
        <v>2730</v>
      </c>
      <c r="JN51" t="s">
        <v>2730</v>
      </c>
      <c r="JO51">
        <v>4</v>
      </c>
      <c r="JP51" t="s">
        <v>2730</v>
      </c>
      <c r="JQ51" t="s">
        <v>2730</v>
      </c>
    </row>
    <row r="52" spans="1:277">
      <c r="A52" s="149" t="str">
        <f>HYPERLINK("http://www.ofsted.gov.uk/inspection-reports/find-inspection-report/provider/ELS/142828 ","Ofsted School Webpage")</f>
        <v>Ofsted School Webpage</v>
      </c>
      <c r="B52">
        <v>1236494</v>
      </c>
      <c r="C52">
        <v>142828</v>
      </c>
      <c r="D52">
        <v>8126004</v>
      </c>
      <c r="E52" t="s">
        <v>244</v>
      </c>
      <c r="F52" t="s">
        <v>38</v>
      </c>
      <c r="G52" t="s">
        <v>180</v>
      </c>
      <c r="H52" t="s">
        <v>245</v>
      </c>
      <c r="I52" t="s">
        <v>246</v>
      </c>
      <c r="J52" t="s">
        <v>247</v>
      </c>
      <c r="K52" t="s">
        <v>248</v>
      </c>
      <c r="L52" t="s">
        <v>184</v>
      </c>
      <c r="M52" t="s">
        <v>185</v>
      </c>
      <c r="N52" t="s">
        <v>184</v>
      </c>
      <c r="O52" t="s">
        <v>2730</v>
      </c>
      <c r="P52" t="s">
        <v>186</v>
      </c>
      <c r="Q52">
        <v>10040148</v>
      </c>
      <c r="R52" s="120">
        <v>43018</v>
      </c>
      <c r="S52" s="120">
        <v>43019</v>
      </c>
      <c r="T52" s="120">
        <v>43063</v>
      </c>
      <c r="U52" t="s">
        <v>2730</v>
      </c>
      <c r="V52" t="s">
        <v>249</v>
      </c>
      <c r="W52" t="s">
        <v>2730</v>
      </c>
      <c r="X52" t="s">
        <v>197</v>
      </c>
      <c r="Y52">
        <v>3</v>
      </c>
      <c r="Z52">
        <v>3</v>
      </c>
      <c r="AA52">
        <v>3</v>
      </c>
      <c r="AB52">
        <v>3</v>
      </c>
      <c r="AC52">
        <v>3</v>
      </c>
      <c r="AD52" t="s">
        <v>2730</v>
      </c>
      <c r="AE52" t="s">
        <v>2730</v>
      </c>
      <c r="AF52" t="s">
        <v>128</v>
      </c>
      <c r="AG52" t="s">
        <v>2730</v>
      </c>
      <c r="AH52" t="s">
        <v>2733</v>
      </c>
      <c r="AI52" t="s">
        <v>59</v>
      </c>
      <c r="AJ52" t="s">
        <v>59</v>
      </c>
      <c r="AK52" t="s">
        <v>59</v>
      </c>
      <c r="AL52" t="s">
        <v>59</v>
      </c>
      <c r="AM52" t="s">
        <v>59</v>
      </c>
      <c r="AN52" t="s">
        <v>59</v>
      </c>
      <c r="AO52" t="s">
        <v>59</v>
      </c>
      <c r="AP52" t="s">
        <v>60</v>
      </c>
      <c r="AQ52" t="s">
        <v>59</v>
      </c>
      <c r="AR52" t="s">
        <v>59</v>
      </c>
      <c r="AS52" t="s">
        <v>59</v>
      </c>
      <c r="AT52" t="s">
        <v>59</v>
      </c>
      <c r="AU52" t="s">
        <v>59</v>
      </c>
      <c r="AV52" t="s">
        <v>59</v>
      </c>
      <c r="AW52" t="s">
        <v>59</v>
      </c>
      <c r="AX52" t="s">
        <v>59</v>
      </c>
      <c r="AY52" t="s">
        <v>59</v>
      </c>
      <c r="AZ52" t="s">
        <v>59</v>
      </c>
      <c r="BA52" t="s">
        <v>59</v>
      </c>
      <c r="BB52" t="s">
        <v>59</v>
      </c>
      <c r="BC52" t="s">
        <v>59</v>
      </c>
      <c r="BD52" t="s">
        <v>59</v>
      </c>
      <c r="BE52" t="s">
        <v>59</v>
      </c>
      <c r="BF52" t="s">
        <v>59</v>
      </c>
      <c r="BG52" t="s">
        <v>59</v>
      </c>
      <c r="BH52" t="s">
        <v>59</v>
      </c>
      <c r="BI52" t="s">
        <v>59</v>
      </c>
      <c r="BJ52" t="s">
        <v>59</v>
      </c>
      <c r="BK52" t="s">
        <v>60</v>
      </c>
      <c r="BL52" t="s">
        <v>60</v>
      </c>
      <c r="BM52" t="s">
        <v>59</v>
      </c>
      <c r="BN52" t="s">
        <v>60</v>
      </c>
      <c r="BO52" t="s">
        <v>59</v>
      </c>
      <c r="BP52" t="s">
        <v>59</v>
      </c>
      <c r="BQ52" t="s">
        <v>59</v>
      </c>
      <c r="BR52" t="s">
        <v>59</v>
      </c>
      <c r="BS52" t="s">
        <v>59</v>
      </c>
      <c r="BT52" t="s">
        <v>59</v>
      </c>
      <c r="BU52" t="s">
        <v>59</v>
      </c>
      <c r="BV52" t="s">
        <v>59</v>
      </c>
      <c r="BW52" t="s">
        <v>59</v>
      </c>
      <c r="BX52" t="s">
        <v>59</v>
      </c>
      <c r="BY52" t="s">
        <v>59</v>
      </c>
      <c r="BZ52" t="s">
        <v>59</v>
      </c>
      <c r="CA52" t="s">
        <v>59</v>
      </c>
      <c r="CB52" t="s">
        <v>59</v>
      </c>
      <c r="CC52" t="s">
        <v>59</v>
      </c>
      <c r="CD52" t="s">
        <v>59</v>
      </c>
      <c r="CE52" t="s">
        <v>59</v>
      </c>
      <c r="CF52" t="s">
        <v>59</v>
      </c>
      <c r="CG52" t="s">
        <v>59</v>
      </c>
      <c r="CH52" t="s">
        <v>59</v>
      </c>
      <c r="CI52" t="s">
        <v>59</v>
      </c>
      <c r="CJ52" t="s">
        <v>59</v>
      </c>
      <c r="CK52" t="s">
        <v>59</v>
      </c>
      <c r="CL52" t="s">
        <v>59</v>
      </c>
      <c r="CM52" t="s">
        <v>59</v>
      </c>
      <c r="CN52" t="s">
        <v>59</v>
      </c>
      <c r="CO52" t="s">
        <v>59</v>
      </c>
      <c r="CP52" t="s">
        <v>59</v>
      </c>
      <c r="CQ52" t="s">
        <v>59</v>
      </c>
      <c r="CR52" t="s">
        <v>59</v>
      </c>
      <c r="CS52" t="s">
        <v>59</v>
      </c>
      <c r="CT52" t="s">
        <v>59</v>
      </c>
      <c r="CU52" t="s">
        <v>59</v>
      </c>
      <c r="CV52" t="s">
        <v>59</v>
      </c>
      <c r="CW52" t="s">
        <v>59</v>
      </c>
      <c r="CX52" t="s">
        <v>59</v>
      </c>
      <c r="CY52" t="s">
        <v>59</v>
      </c>
      <c r="CZ52" t="s">
        <v>59</v>
      </c>
      <c r="DA52" t="s">
        <v>59</v>
      </c>
      <c r="DB52" t="s">
        <v>59</v>
      </c>
      <c r="DC52" t="s">
        <v>59</v>
      </c>
      <c r="DD52" t="s">
        <v>59</v>
      </c>
      <c r="DE52" t="s">
        <v>59</v>
      </c>
      <c r="DF52" t="s">
        <v>59</v>
      </c>
      <c r="DG52" t="s">
        <v>59</v>
      </c>
      <c r="DH52" t="s">
        <v>59</v>
      </c>
      <c r="DI52" t="s">
        <v>59</v>
      </c>
      <c r="DJ52" t="s">
        <v>59</v>
      </c>
      <c r="DK52" t="s">
        <v>59</v>
      </c>
      <c r="DL52" t="s">
        <v>59</v>
      </c>
      <c r="DM52" t="s">
        <v>59</v>
      </c>
      <c r="DN52" t="s">
        <v>59</v>
      </c>
      <c r="DO52" t="s">
        <v>218</v>
      </c>
      <c r="DP52" t="s">
        <v>59</v>
      </c>
      <c r="DQ52" t="s">
        <v>59</v>
      </c>
      <c r="DR52" t="s">
        <v>59</v>
      </c>
      <c r="DS52" t="s">
        <v>59</v>
      </c>
      <c r="DT52" t="s">
        <v>59</v>
      </c>
      <c r="DU52" t="s">
        <v>59</v>
      </c>
      <c r="DV52" t="s">
        <v>59</v>
      </c>
      <c r="DW52" t="s">
        <v>59</v>
      </c>
      <c r="DX52" t="s">
        <v>59</v>
      </c>
      <c r="DY52" t="s">
        <v>59</v>
      </c>
      <c r="DZ52" t="s">
        <v>59</v>
      </c>
      <c r="EA52" t="s">
        <v>59</v>
      </c>
      <c r="EB52" t="s">
        <v>59</v>
      </c>
      <c r="EC52" t="s">
        <v>218</v>
      </c>
      <c r="ED52" t="s">
        <v>59</v>
      </c>
      <c r="EE52" t="s">
        <v>59</v>
      </c>
      <c r="EF52" t="s">
        <v>59</v>
      </c>
      <c r="EG52" t="s">
        <v>59</v>
      </c>
      <c r="EH52" t="s">
        <v>59</v>
      </c>
      <c r="EI52" t="s">
        <v>59</v>
      </c>
      <c r="EJ52" t="s">
        <v>59</v>
      </c>
      <c r="EK52" t="s">
        <v>59</v>
      </c>
      <c r="EL52" t="s">
        <v>59</v>
      </c>
      <c r="EM52" t="s">
        <v>59</v>
      </c>
      <c r="EN52" t="s">
        <v>59</v>
      </c>
      <c r="EO52" t="s">
        <v>59</v>
      </c>
      <c r="EP52" t="s">
        <v>59</v>
      </c>
      <c r="EQ52" t="s">
        <v>59</v>
      </c>
      <c r="ER52" t="s">
        <v>59</v>
      </c>
      <c r="ES52" t="s">
        <v>59</v>
      </c>
      <c r="ET52" t="s">
        <v>59</v>
      </c>
      <c r="EU52" t="s">
        <v>59</v>
      </c>
      <c r="EV52" t="s">
        <v>59</v>
      </c>
      <c r="EW52" t="s">
        <v>59</v>
      </c>
      <c r="EX52" t="s">
        <v>59</v>
      </c>
      <c r="EY52" t="s">
        <v>59</v>
      </c>
      <c r="EZ52" t="s">
        <v>59</v>
      </c>
      <c r="FA52" t="s">
        <v>59</v>
      </c>
      <c r="FB52" t="s">
        <v>59</v>
      </c>
      <c r="FC52" t="s">
        <v>59</v>
      </c>
      <c r="FD52" t="s">
        <v>59</v>
      </c>
      <c r="FE52" t="s">
        <v>59</v>
      </c>
      <c r="FF52" t="s">
        <v>59</v>
      </c>
      <c r="FG52" t="s">
        <v>59</v>
      </c>
      <c r="FH52" t="s">
        <v>59</v>
      </c>
      <c r="FI52" t="s">
        <v>59</v>
      </c>
      <c r="FJ52" t="s">
        <v>59</v>
      </c>
      <c r="FK52" t="s">
        <v>59</v>
      </c>
      <c r="FL52" t="s">
        <v>59</v>
      </c>
      <c r="FM52" t="s">
        <v>59</v>
      </c>
      <c r="FN52" t="s">
        <v>59</v>
      </c>
      <c r="FO52" t="s">
        <v>59</v>
      </c>
      <c r="FP52" t="s">
        <v>60</v>
      </c>
      <c r="FQ52" t="s">
        <v>60</v>
      </c>
      <c r="FR52" t="s">
        <v>60</v>
      </c>
      <c r="FS52" t="s">
        <v>218</v>
      </c>
      <c r="FT52" t="s">
        <v>60</v>
      </c>
      <c r="FU52" t="s">
        <v>59</v>
      </c>
      <c r="FV52" t="s">
        <v>59</v>
      </c>
      <c r="FW52" t="s">
        <v>59</v>
      </c>
      <c r="FX52" t="s">
        <v>59</v>
      </c>
      <c r="FY52" t="s">
        <v>59</v>
      </c>
      <c r="FZ52" t="s">
        <v>59</v>
      </c>
      <c r="GA52" t="s">
        <v>59</v>
      </c>
      <c r="GB52" t="s">
        <v>59</v>
      </c>
      <c r="GC52" t="s">
        <v>59</v>
      </c>
      <c r="GD52" t="s">
        <v>59</v>
      </c>
      <c r="GE52" t="s">
        <v>59</v>
      </c>
      <c r="GF52" t="s">
        <v>59</v>
      </c>
      <c r="GG52" t="s">
        <v>59</v>
      </c>
      <c r="GH52" t="s">
        <v>59</v>
      </c>
      <c r="GI52" t="s">
        <v>59</v>
      </c>
      <c r="GJ52" t="s">
        <v>59</v>
      </c>
      <c r="GK52" t="s">
        <v>59</v>
      </c>
      <c r="GL52" t="s">
        <v>59</v>
      </c>
      <c r="GM52" t="s">
        <v>59</v>
      </c>
      <c r="GN52" t="s">
        <v>59</v>
      </c>
      <c r="GO52" t="s">
        <v>59</v>
      </c>
      <c r="GP52" t="s">
        <v>59</v>
      </c>
      <c r="GQ52" t="s">
        <v>218</v>
      </c>
      <c r="GR52" t="s">
        <v>59</v>
      </c>
      <c r="GS52" t="s">
        <v>59</v>
      </c>
      <c r="GT52" t="s">
        <v>59</v>
      </c>
      <c r="GU52" t="s">
        <v>59</v>
      </c>
      <c r="GV52" t="s">
        <v>59</v>
      </c>
      <c r="GW52" t="s">
        <v>59</v>
      </c>
      <c r="GX52" t="s">
        <v>59</v>
      </c>
      <c r="GY52" t="s">
        <v>59</v>
      </c>
      <c r="GZ52" t="s">
        <v>59</v>
      </c>
      <c r="HA52" t="s">
        <v>59</v>
      </c>
      <c r="HB52" t="s">
        <v>59</v>
      </c>
      <c r="HC52" t="s">
        <v>59</v>
      </c>
      <c r="HD52" t="s">
        <v>59</v>
      </c>
      <c r="HE52" t="s">
        <v>59</v>
      </c>
      <c r="HF52" t="s">
        <v>59</v>
      </c>
      <c r="HG52" t="s">
        <v>59</v>
      </c>
      <c r="HH52" t="s">
        <v>59</v>
      </c>
      <c r="HI52" t="s">
        <v>59</v>
      </c>
      <c r="HJ52" t="s">
        <v>59</v>
      </c>
      <c r="HK52" t="s">
        <v>59</v>
      </c>
      <c r="HL52" t="s">
        <v>59</v>
      </c>
      <c r="HM52" t="s">
        <v>59</v>
      </c>
      <c r="HN52" t="s">
        <v>59</v>
      </c>
      <c r="HO52" t="s">
        <v>59</v>
      </c>
      <c r="HP52" t="s">
        <v>59</v>
      </c>
      <c r="HQ52" t="s">
        <v>59</v>
      </c>
      <c r="HR52" t="s">
        <v>59</v>
      </c>
      <c r="HS52" t="s">
        <v>59</v>
      </c>
      <c r="HT52" t="s">
        <v>59</v>
      </c>
      <c r="HU52" t="s">
        <v>59</v>
      </c>
      <c r="HV52" t="s">
        <v>59</v>
      </c>
      <c r="HW52" t="s">
        <v>59</v>
      </c>
      <c r="HX52" t="s">
        <v>59</v>
      </c>
      <c r="HY52" t="s">
        <v>59</v>
      </c>
      <c r="HZ52" t="s">
        <v>59</v>
      </c>
      <c r="IA52" t="s">
        <v>59</v>
      </c>
      <c r="IB52" t="s">
        <v>59</v>
      </c>
      <c r="IC52" t="s">
        <v>59</v>
      </c>
      <c r="ID52" t="s">
        <v>59</v>
      </c>
      <c r="IE52" t="s">
        <v>59</v>
      </c>
      <c r="IF52" t="s">
        <v>60</v>
      </c>
      <c r="IG52" t="s">
        <v>60</v>
      </c>
      <c r="IH52" t="s">
        <v>60</v>
      </c>
      <c r="II52" t="s">
        <v>59</v>
      </c>
      <c r="IJ52" t="s">
        <v>129</v>
      </c>
      <c r="IK52" t="s">
        <v>191</v>
      </c>
      <c r="IL52" t="s">
        <v>128</v>
      </c>
      <c r="IM52" t="s">
        <v>199</v>
      </c>
      <c r="IN52">
        <v>29</v>
      </c>
      <c r="IO52" t="s">
        <v>2730</v>
      </c>
      <c r="IP52" t="s">
        <v>2730</v>
      </c>
      <c r="IQ52">
        <v>3</v>
      </c>
      <c r="IR52">
        <v>15</v>
      </c>
      <c r="IS52" t="s">
        <v>2730</v>
      </c>
      <c r="IT52" t="s">
        <v>2730</v>
      </c>
      <c r="IU52" t="s">
        <v>2730</v>
      </c>
      <c r="IV52">
        <v>19</v>
      </c>
      <c r="IW52" t="s">
        <v>2730</v>
      </c>
      <c r="IX52" t="s">
        <v>2730</v>
      </c>
      <c r="IY52" t="s">
        <v>2730</v>
      </c>
      <c r="IZ52">
        <v>57</v>
      </c>
      <c r="JA52" t="s">
        <v>2730</v>
      </c>
      <c r="JB52" t="s">
        <v>2730</v>
      </c>
      <c r="JC52" t="s">
        <v>2730</v>
      </c>
      <c r="JD52">
        <v>21</v>
      </c>
      <c r="JE52" t="s">
        <v>2730</v>
      </c>
      <c r="JF52" t="s">
        <v>2730</v>
      </c>
      <c r="JG52">
        <v>4</v>
      </c>
      <c r="JH52">
        <v>29</v>
      </c>
      <c r="JI52" t="s">
        <v>2730</v>
      </c>
      <c r="JJ52" t="s">
        <v>2730</v>
      </c>
      <c r="JK52" t="s">
        <v>2730</v>
      </c>
      <c r="JL52">
        <v>16</v>
      </c>
      <c r="JM52" t="s">
        <v>2730</v>
      </c>
      <c r="JN52" t="s">
        <v>2730</v>
      </c>
      <c r="JO52">
        <v>1</v>
      </c>
      <c r="JP52" t="s">
        <v>2730</v>
      </c>
      <c r="JQ52">
        <v>3</v>
      </c>
    </row>
    <row r="53" spans="1:277">
      <c r="A53" s="149" t="str">
        <f>HYPERLINK("http://www.ofsted.gov.uk/inspection-reports/find-inspection-report/provider/ELS/142763 ","Ofsted School Webpage")</f>
        <v>Ofsted School Webpage</v>
      </c>
      <c r="B53">
        <v>1233576</v>
      </c>
      <c r="C53">
        <v>142763</v>
      </c>
      <c r="D53">
        <v>8786065</v>
      </c>
      <c r="E53" t="s">
        <v>514</v>
      </c>
      <c r="F53" t="s">
        <v>38</v>
      </c>
      <c r="G53" t="s">
        <v>180</v>
      </c>
      <c r="H53" t="s">
        <v>225</v>
      </c>
      <c r="I53" t="s">
        <v>225</v>
      </c>
      <c r="J53" t="s">
        <v>367</v>
      </c>
      <c r="K53" t="s">
        <v>515</v>
      </c>
      <c r="L53" t="s">
        <v>184</v>
      </c>
      <c r="M53" t="s">
        <v>185</v>
      </c>
      <c r="N53" t="s">
        <v>184</v>
      </c>
      <c r="O53" t="s">
        <v>2730</v>
      </c>
      <c r="P53" t="s">
        <v>186</v>
      </c>
      <c r="Q53">
        <v>10033896</v>
      </c>
      <c r="R53" s="120">
        <v>43026</v>
      </c>
      <c r="S53" s="120">
        <v>43028</v>
      </c>
      <c r="T53" s="120">
        <v>43052</v>
      </c>
      <c r="U53" t="s">
        <v>2730</v>
      </c>
      <c r="V53" t="s">
        <v>249</v>
      </c>
      <c r="W53" t="s">
        <v>2730</v>
      </c>
      <c r="X53" t="s">
        <v>197</v>
      </c>
      <c r="Y53">
        <v>2</v>
      </c>
      <c r="Z53">
        <v>2</v>
      </c>
      <c r="AA53">
        <v>2</v>
      </c>
      <c r="AB53">
        <v>2</v>
      </c>
      <c r="AC53">
        <v>2</v>
      </c>
      <c r="AD53" t="s">
        <v>2730</v>
      </c>
      <c r="AE53" t="s">
        <v>2730</v>
      </c>
      <c r="AF53" t="s">
        <v>128</v>
      </c>
      <c r="AG53" t="s">
        <v>2730</v>
      </c>
      <c r="AH53" t="s">
        <v>2732</v>
      </c>
      <c r="AI53" t="s">
        <v>59</v>
      </c>
      <c r="AJ53" t="s">
        <v>59</v>
      </c>
      <c r="AK53" t="s">
        <v>59</v>
      </c>
      <c r="AL53" t="s">
        <v>59</v>
      </c>
      <c r="AM53" t="s">
        <v>59</v>
      </c>
      <c r="AN53" t="s">
        <v>59</v>
      </c>
      <c r="AO53" t="s">
        <v>59</v>
      </c>
      <c r="AP53" t="s">
        <v>59</v>
      </c>
      <c r="AQ53" t="s">
        <v>59</v>
      </c>
      <c r="AR53" t="s">
        <v>59</v>
      </c>
      <c r="AS53" t="s">
        <v>59</v>
      </c>
      <c r="AT53" t="s">
        <v>59</v>
      </c>
      <c r="AU53" t="s">
        <v>59</v>
      </c>
      <c r="AV53" t="s">
        <v>59</v>
      </c>
      <c r="AW53" t="s">
        <v>59</v>
      </c>
      <c r="AX53" t="s">
        <v>59</v>
      </c>
      <c r="AY53" t="s">
        <v>191</v>
      </c>
      <c r="AZ53" t="s">
        <v>59</v>
      </c>
      <c r="BA53" t="s">
        <v>59</v>
      </c>
      <c r="BB53" t="s">
        <v>59</v>
      </c>
      <c r="BC53" t="s">
        <v>191</v>
      </c>
      <c r="BD53" t="s">
        <v>191</v>
      </c>
      <c r="BE53" t="s">
        <v>191</v>
      </c>
      <c r="BF53" t="s">
        <v>191</v>
      </c>
      <c r="BG53" t="s">
        <v>59</v>
      </c>
      <c r="BH53" t="s">
        <v>191</v>
      </c>
      <c r="BI53" t="s">
        <v>59</v>
      </c>
      <c r="BJ53" t="s">
        <v>59</v>
      </c>
      <c r="BK53" t="s">
        <v>59</v>
      </c>
      <c r="BL53" t="s">
        <v>59</v>
      </c>
      <c r="BM53" t="s">
        <v>59</v>
      </c>
      <c r="BN53" t="s">
        <v>59</v>
      </c>
      <c r="BO53" t="s">
        <v>59</v>
      </c>
      <c r="BP53" t="s">
        <v>59</v>
      </c>
      <c r="BQ53" t="s">
        <v>59</v>
      </c>
      <c r="BR53" t="s">
        <v>59</v>
      </c>
      <c r="BS53" t="s">
        <v>59</v>
      </c>
      <c r="BT53" t="s">
        <v>59</v>
      </c>
      <c r="BU53" t="s">
        <v>59</v>
      </c>
      <c r="BV53" t="s">
        <v>59</v>
      </c>
      <c r="BW53" t="s">
        <v>59</v>
      </c>
      <c r="BX53" t="s">
        <v>59</v>
      </c>
      <c r="BY53" t="s">
        <v>59</v>
      </c>
      <c r="BZ53" t="s">
        <v>59</v>
      </c>
      <c r="CA53" t="s">
        <v>59</v>
      </c>
      <c r="CB53" t="s">
        <v>59</v>
      </c>
      <c r="CC53" t="s">
        <v>59</v>
      </c>
      <c r="CD53" t="s">
        <v>59</v>
      </c>
      <c r="CE53" t="s">
        <v>59</v>
      </c>
      <c r="CF53" t="s">
        <v>59</v>
      </c>
      <c r="CG53" t="s">
        <v>59</v>
      </c>
      <c r="CH53" t="s">
        <v>59</v>
      </c>
      <c r="CI53" t="s">
        <v>59</v>
      </c>
      <c r="CJ53" t="s">
        <v>59</v>
      </c>
      <c r="CK53" t="s">
        <v>59</v>
      </c>
      <c r="CL53" t="s">
        <v>59</v>
      </c>
      <c r="CM53" t="s">
        <v>59</v>
      </c>
      <c r="CN53" t="s">
        <v>59</v>
      </c>
      <c r="CO53" t="s">
        <v>191</v>
      </c>
      <c r="CP53" t="s">
        <v>191</v>
      </c>
      <c r="CQ53" t="s">
        <v>191</v>
      </c>
      <c r="CR53" t="s">
        <v>59</v>
      </c>
      <c r="CS53" t="s">
        <v>59</v>
      </c>
      <c r="CT53" t="s">
        <v>59</v>
      </c>
      <c r="CU53" t="s">
        <v>59</v>
      </c>
      <c r="CV53" t="s">
        <v>59</v>
      </c>
      <c r="CW53" t="s">
        <v>59</v>
      </c>
      <c r="CX53" t="s">
        <v>59</v>
      </c>
      <c r="CY53" t="s">
        <v>59</v>
      </c>
      <c r="CZ53" t="s">
        <v>59</v>
      </c>
      <c r="DA53" t="s">
        <v>59</v>
      </c>
      <c r="DB53" t="s">
        <v>59</v>
      </c>
      <c r="DC53" t="s">
        <v>59</v>
      </c>
      <c r="DD53" t="s">
        <v>59</v>
      </c>
      <c r="DE53" t="s">
        <v>59</v>
      </c>
      <c r="DF53" t="s">
        <v>59</v>
      </c>
      <c r="DG53" t="s">
        <v>59</v>
      </c>
      <c r="DH53" t="s">
        <v>59</v>
      </c>
      <c r="DI53" t="s">
        <v>59</v>
      </c>
      <c r="DJ53" t="s">
        <v>59</v>
      </c>
      <c r="DK53" t="s">
        <v>59</v>
      </c>
      <c r="DL53" t="s">
        <v>59</v>
      </c>
      <c r="DM53" t="s">
        <v>59</v>
      </c>
      <c r="DN53" t="s">
        <v>191</v>
      </c>
      <c r="DO53" t="s">
        <v>191</v>
      </c>
      <c r="DP53" t="s">
        <v>59</v>
      </c>
      <c r="DQ53" t="s">
        <v>59</v>
      </c>
      <c r="DR53" t="s">
        <v>59</v>
      </c>
      <c r="DS53" t="s">
        <v>59</v>
      </c>
      <c r="DT53" t="s">
        <v>59</v>
      </c>
      <c r="DU53" t="s">
        <v>59</v>
      </c>
      <c r="DV53" t="s">
        <v>59</v>
      </c>
      <c r="DW53" t="s">
        <v>59</v>
      </c>
      <c r="DX53" t="s">
        <v>59</v>
      </c>
      <c r="DY53" t="s">
        <v>59</v>
      </c>
      <c r="DZ53" t="s">
        <v>59</v>
      </c>
      <c r="EA53" t="s">
        <v>59</v>
      </c>
      <c r="EB53" t="s">
        <v>59</v>
      </c>
      <c r="EC53" t="s">
        <v>191</v>
      </c>
      <c r="ED53" t="s">
        <v>59</v>
      </c>
      <c r="EE53" t="s">
        <v>59</v>
      </c>
      <c r="EF53" t="s">
        <v>59</v>
      </c>
      <c r="EG53" t="s">
        <v>59</v>
      </c>
      <c r="EH53" t="s">
        <v>59</v>
      </c>
      <c r="EI53" t="s">
        <v>59</v>
      </c>
      <c r="EJ53" t="s">
        <v>59</v>
      </c>
      <c r="EK53" t="s">
        <v>203</v>
      </c>
      <c r="EL53" t="s">
        <v>59</v>
      </c>
      <c r="EM53" t="s">
        <v>59</v>
      </c>
      <c r="EN53" t="s">
        <v>59</v>
      </c>
      <c r="EO53" t="s">
        <v>59</v>
      </c>
      <c r="EP53" t="s">
        <v>59</v>
      </c>
      <c r="EQ53" t="s">
        <v>59</v>
      </c>
      <c r="ER53" t="s">
        <v>59</v>
      </c>
      <c r="ES53" t="s">
        <v>59</v>
      </c>
      <c r="ET53" t="s">
        <v>59</v>
      </c>
      <c r="EU53" t="s">
        <v>59</v>
      </c>
      <c r="EV53" t="s">
        <v>59</v>
      </c>
      <c r="EW53" t="s">
        <v>59</v>
      </c>
      <c r="EX53" t="s">
        <v>59</v>
      </c>
      <c r="EY53" t="s">
        <v>59</v>
      </c>
      <c r="EZ53" t="s">
        <v>59</v>
      </c>
      <c r="FA53" t="s">
        <v>59</v>
      </c>
      <c r="FB53" t="s">
        <v>59</v>
      </c>
      <c r="FC53" t="s">
        <v>59</v>
      </c>
      <c r="FD53" t="s">
        <v>59</v>
      </c>
      <c r="FE53" t="s">
        <v>59</v>
      </c>
      <c r="FF53" t="s">
        <v>59</v>
      </c>
      <c r="FG53" t="s">
        <v>59</v>
      </c>
      <c r="FH53" t="s">
        <v>59</v>
      </c>
      <c r="FI53" t="s">
        <v>59</v>
      </c>
      <c r="FJ53" t="s">
        <v>59</v>
      </c>
      <c r="FK53" t="s">
        <v>59</v>
      </c>
      <c r="FL53" t="s">
        <v>59</v>
      </c>
      <c r="FM53" t="s">
        <v>59</v>
      </c>
      <c r="FN53" t="s">
        <v>59</v>
      </c>
      <c r="FO53" t="s">
        <v>191</v>
      </c>
      <c r="FP53" t="s">
        <v>191</v>
      </c>
      <c r="FQ53" t="s">
        <v>191</v>
      </c>
      <c r="FR53" t="s">
        <v>59</v>
      </c>
      <c r="FS53" t="s">
        <v>191</v>
      </c>
      <c r="FT53" t="s">
        <v>59</v>
      </c>
      <c r="FU53" t="s">
        <v>59</v>
      </c>
      <c r="FV53" t="s">
        <v>59</v>
      </c>
      <c r="FW53" t="s">
        <v>59</v>
      </c>
      <c r="FX53" t="s">
        <v>59</v>
      </c>
      <c r="FY53" t="s">
        <v>59</v>
      </c>
      <c r="FZ53" t="s">
        <v>59</v>
      </c>
      <c r="GA53" t="s">
        <v>59</v>
      </c>
      <c r="GB53" t="s">
        <v>59</v>
      </c>
      <c r="GC53" t="s">
        <v>59</v>
      </c>
      <c r="GD53" t="s">
        <v>59</v>
      </c>
      <c r="GE53" t="s">
        <v>59</v>
      </c>
      <c r="GF53" t="s">
        <v>59</v>
      </c>
      <c r="GG53" t="s">
        <v>59</v>
      </c>
      <c r="GH53" t="s">
        <v>59</v>
      </c>
      <c r="GI53" t="s">
        <v>59</v>
      </c>
      <c r="GJ53" t="s">
        <v>59</v>
      </c>
      <c r="GK53" t="s">
        <v>191</v>
      </c>
      <c r="GL53" t="s">
        <v>59</v>
      </c>
      <c r="GM53" t="s">
        <v>59</v>
      </c>
      <c r="GN53" t="s">
        <v>59</v>
      </c>
      <c r="GO53" t="s">
        <v>59</v>
      </c>
      <c r="GP53" t="s">
        <v>191</v>
      </c>
      <c r="GQ53" t="s">
        <v>191</v>
      </c>
      <c r="GR53" t="s">
        <v>59</v>
      </c>
      <c r="GS53" t="s">
        <v>59</v>
      </c>
      <c r="GT53" t="s">
        <v>59</v>
      </c>
      <c r="GU53" t="s">
        <v>59</v>
      </c>
      <c r="GV53" t="s">
        <v>59</v>
      </c>
      <c r="GW53" t="s">
        <v>59</v>
      </c>
      <c r="GX53" t="s">
        <v>59</v>
      </c>
      <c r="GY53" t="s">
        <v>191</v>
      </c>
      <c r="GZ53" t="s">
        <v>59</v>
      </c>
      <c r="HA53" t="s">
        <v>59</v>
      </c>
      <c r="HB53" t="s">
        <v>59</v>
      </c>
      <c r="HC53" t="s">
        <v>59</v>
      </c>
      <c r="HD53" t="s">
        <v>59</v>
      </c>
      <c r="HE53" t="s">
        <v>59</v>
      </c>
      <c r="HF53" t="s">
        <v>59</v>
      </c>
      <c r="HG53" t="s">
        <v>59</v>
      </c>
      <c r="HH53" t="s">
        <v>59</v>
      </c>
      <c r="HI53" t="s">
        <v>191</v>
      </c>
      <c r="HJ53" t="s">
        <v>59</v>
      </c>
      <c r="HK53" t="s">
        <v>191</v>
      </c>
      <c r="HL53" t="s">
        <v>191</v>
      </c>
      <c r="HM53" t="s">
        <v>191</v>
      </c>
      <c r="HN53" t="s">
        <v>191</v>
      </c>
      <c r="HO53" t="s">
        <v>191</v>
      </c>
      <c r="HP53" t="s">
        <v>59</v>
      </c>
      <c r="HQ53" t="s">
        <v>59</v>
      </c>
      <c r="HR53" t="s">
        <v>59</v>
      </c>
      <c r="HS53" t="s">
        <v>59</v>
      </c>
      <c r="HT53" t="s">
        <v>59</v>
      </c>
      <c r="HU53" t="s">
        <v>59</v>
      </c>
      <c r="HV53" t="s">
        <v>59</v>
      </c>
      <c r="HW53" t="s">
        <v>59</v>
      </c>
      <c r="HX53" t="s">
        <v>59</v>
      </c>
      <c r="HY53" t="s">
        <v>59</v>
      </c>
      <c r="HZ53" t="s">
        <v>59</v>
      </c>
      <c r="IA53" t="s">
        <v>59</v>
      </c>
      <c r="IB53" t="s">
        <v>59</v>
      </c>
      <c r="IC53" t="s">
        <v>191</v>
      </c>
      <c r="ID53" t="s">
        <v>191</v>
      </c>
      <c r="IE53" t="s">
        <v>191</v>
      </c>
      <c r="IF53" t="s">
        <v>59</v>
      </c>
      <c r="IG53" t="s">
        <v>59</v>
      </c>
      <c r="IH53" t="s">
        <v>59</v>
      </c>
      <c r="II53" t="s">
        <v>59</v>
      </c>
      <c r="IJ53" t="s">
        <v>129</v>
      </c>
      <c r="IK53" t="s">
        <v>198</v>
      </c>
      <c r="IL53" t="s">
        <v>128</v>
      </c>
      <c r="IM53" t="s">
        <v>199</v>
      </c>
      <c r="IN53">
        <v>26</v>
      </c>
      <c r="IO53" t="s">
        <v>2730</v>
      </c>
      <c r="IP53">
        <v>6</v>
      </c>
      <c r="IQ53" t="s">
        <v>2730</v>
      </c>
      <c r="IR53">
        <v>15</v>
      </c>
      <c r="IS53" t="s">
        <v>2730</v>
      </c>
      <c r="IT53" t="s">
        <v>2730</v>
      </c>
      <c r="IU53" t="s">
        <v>2730</v>
      </c>
      <c r="IV53">
        <v>16</v>
      </c>
      <c r="IW53" t="s">
        <v>2730</v>
      </c>
      <c r="IX53">
        <v>3</v>
      </c>
      <c r="IY53" t="s">
        <v>2730</v>
      </c>
      <c r="IZ53">
        <v>55</v>
      </c>
      <c r="JA53">
        <v>1</v>
      </c>
      <c r="JB53">
        <v>3</v>
      </c>
      <c r="JC53" t="s">
        <v>2730</v>
      </c>
      <c r="JD53">
        <v>21</v>
      </c>
      <c r="JE53" t="s">
        <v>2730</v>
      </c>
      <c r="JF53">
        <v>5</v>
      </c>
      <c r="JG53" t="s">
        <v>2730</v>
      </c>
      <c r="JH53">
        <v>21</v>
      </c>
      <c r="JI53" t="s">
        <v>2730</v>
      </c>
      <c r="JJ53">
        <v>9</v>
      </c>
      <c r="JK53" t="s">
        <v>2730</v>
      </c>
      <c r="JL53">
        <v>13</v>
      </c>
      <c r="JM53" t="s">
        <v>2730</v>
      </c>
      <c r="JN53" t="s">
        <v>2730</v>
      </c>
      <c r="JO53">
        <v>4</v>
      </c>
      <c r="JP53" t="s">
        <v>2730</v>
      </c>
      <c r="JQ53" t="s">
        <v>2730</v>
      </c>
    </row>
    <row r="54" spans="1:277">
      <c r="A54" s="149" t="str">
        <f>HYPERLINK("http://www.ofsted.gov.uk/inspection-reports/find-inspection-report/provider/ELS/135180 ","Ofsted School Webpage")</f>
        <v>Ofsted School Webpage</v>
      </c>
      <c r="B54">
        <v>1132507</v>
      </c>
      <c r="C54">
        <v>135180</v>
      </c>
      <c r="D54">
        <v>9386050</v>
      </c>
      <c r="E54" t="s">
        <v>1187</v>
      </c>
      <c r="F54" t="s">
        <v>38</v>
      </c>
      <c r="G54" t="s">
        <v>180</v>
      </c>
      <c r="H54" t="s">
        <v>181</v>
      </c>
      <c r="I54" t="s">
        <v>181</v>
      </c>
      <c r="J54" t="s">
        <v>395</v>
      </c>
      <c r="K54" t="s">
        <v>1188</v>
      </c>
      <c r="L54" t="s">
        <v>184</v>
      </c>
      <c r="M54" t="s">
        <v>185</v>
      </c>
      <c r="N54" t="s">
        <v>184</v>
      </c>
      <c r="O54" t="s">
        <v>2730</v>
      </c>
      <c r="P54" t="s">
        <v>186</v>
      </c>
      <c r="Q54">
        <v>10020930</v>
      </c>
      <c r="R54" s="120">
        <v>43060</v>
      </c>
      <c r="S54" s="120">
        <v>43062</v>
      </c>
      <c r="T54" s="120">
        <v>43080</v>
      </c>
      <c r="U54" t="s">
        <v>2730</v>
      </c>
      <c r="V54" t="s">
        <v>196</v>
      </c>
      <c r="W54" t="s">
        <v>2730</v>
      </c>
      <c r="X54" t="s">
        <v>197</v>
      </c>
      <c r="Y54">
        <v>3</v>
      </c>
      <c r="Z54">
        <v>3</v>
      </c>
      <c r="AA54">
        <v>1</v>
      </c>
      <c r="AB54">
        <v>3</v>
      </c>
      <c r="AC54">
        <v>3</v>
      </c>
      <c r="AD54" t="s">
        <v>2730</v>
      </c>
      <c r="AE54" t="s">
        <v>2730</v>
      </c>
      <c r="AF54" t="s">
        <v>128</v>
      </c>
      <c r="AG54" t="s">
        <v>2730</v>
      </c>
      <c r="AH54" t="s">
        <v>2732</v>
      </c>
      <c r="AI54" t="s">
        <v>59</v>
      </c>
      <c r="AJ54" t="s">
        <v>59</v>
      </c>
      <c r="AK54" t="s">
        <v>59</v>
      </c>
      <c r="AL54" t="s">
        <v>59</v>
      </c>
      <c r="AM54" t="s">
        <v>59</v>
      </c>
      <c r="AN54" t="s">
        <v>59</v>
      </c>
      <c r="AO54" t="s">
        <v>59</v>
      </c>
      <c r="AP54" t="s">
        <v>59</v>
      </c>
      <c r="AQ54" t="s">
        <v>59</v>
      </c>
      <c r="AR54" t="s">
        <v>59</v>
      </c>
      <c r="AS54" t="s">
        <v>59</v>
      </c>
      <c r="AT54" t="s">
        <v>59</v>
      </c>
      <c r="AU54" t="s">
        <v>59</v>
      </c>
      <c r="AV54" t="s">
        <v>59</v>
      </c>
      <c r="AW54" t="s">
        <v>59</v>
      </c>
      <c r="AX54" t="s">
        <v>59</v>
      </c>
      <c r="AY54" t="s">
        <v>191</v>
      </c>
      <c r="AZ54" t="s">
        <v>59</v>
      </c>
      <c r="BA54" t="s">
        <v>59</v>
      </c>
      <c r="BB54" t="s">
        <v>59</v>
      </c>
      <c r="BC54" t="s">
        <v>59</v>
      </c>
      <c r="BD54" t="s">
        <v>59</v>
      </c>
      <c r="BE54" t="s">
        <v>59</v>
      </c>
      <c r="BF54" t="s">
        <v>59</v>
      </c>
      <c r="BG54" t="s">
        <v>191</v>
      </c>
      <c r="BH54" t="s">
        <v>59</v>
      </c>
      <c r="BI54" t="s">
        <v>59</v>
      </c>
      <c r="BJ54" t="s">
        <v>59</v>
      </c>
      <c r="BK54" t="s">
        <v>59</v>
      </c>
      <c r="BL54" t="s">
        <v>59</v>
      </c>
      <c r="BM54" t="s">
        <v>59</v>
      </c>
      <c r="BN54" t="s">
        <v>59</v>
      </c>
      <c r="BO54" t="s">
        <v>59</v>
      </c>
      <c r="BP54" t="s">
        <v>59</v>
      </c>
      <c r="BQ54" t="s">
        <v>59</v>
      </c>
      <c r="BR54" t="s">
        <v>59</v>
      </c>
      <c r="BS54" t="s">
        <v>59</v>
      </c>
      <c r="BT54" t="s">
        <v>59</v>
      </c>
      <c r="BU54" t="s">
        <v>59</v>
      </c>
      <c r="BV54" t="s">
        <v>59</v>
      </c>
      <c r="BW54" t="s">
        <v>59</v>
      </c>
      <c r="BX54" t="s">
        <v>59</v>
      </c>
      <c r="BY54" t="s">
        <v>59</v>
      </c>
      <c r="BZ54" t="s">
        <v>59</v>
      </c>
      <c r="CA54" t="s">
        <v>59</v>
      </c>
      <c r="CB54" t="s">
        <v>59</v>
      </c>
      <c r="CC54" t="s">
        <v>59</v>
      </c>
      <c r="CD54" t="s">
        <v>59</v>
      </c>
      <c r="CE54" t="s">
        <v>59</v>
      </c>
      <c r="CF54" t="s">
        <v>59</v>
      </c>
      <c r="CG54" t="s">
        <v>59</v>
      </c>
      <c r="CH54" t="s">
        <v>59</v>
      </c>
      <c r="CI54" t="s">
        <v>59</v>
      </c>
      <c r="CJ54" t="s">
        <v>59</v>
      </c>
      <c r="CK54" t="s">
        <v>59</v>
      </c>
      <c r="CL54" t="s">
        <v>59</v>
      </c>
      <c r="CM54" t="s">
        <v>59</v>
      </c>
      <c r="CN54" t="s">
        <v>59</v>
      </c>
      <c r="CO54" t="s">
        <v>191</v>
      </c>
      <c r="CP54" t="s">
        <v>191</v>
      </c>
      <c r="CQ54" t="s">
        <v>191</v>
      </c>
      <c r="CR54" t="s">
        <v>59</v>
      </c>
      <c r="CS54" t="s">
        <v>59</v>
      </c>
      <c r="CT54" t="s">
        <v>59</v>
      </c>
      <c r="CU54" t="s">
        <v>59</v>
      </c>
      <c r="CV54" t="s">
        <v>59</v>
      </c>
      <c r="CW54" t="s">
        <v>59</v>
      </c>
      <c r="CX54" t="s">
        <v>59</v>
      </c>
      <c r="CY54" t="s">
        <v>59</v>
      </c>
      <c r="CZ54" t="s">
        <v>59</v>
      </c>
      <c r="DA54" t="s">
        <v>59</v>
      </c>
      <c r="DB54" t="s">
        <v>59</v>
      </c>
      <c r="DC54" t="s">
        <v>59</v>
      </c>
      <c r="DD54" t="s">
        <v>59</v>
      </c>
      <c r="DE54" t="s">
        <v>59</v>
      </c>
      <c r="DF54" t="s">
        <v>59</v>
      </c>
      <c r="DG54" t="s">
        <v>59</v>
      </c>
      <c r="DH54" t="s">
        <v>59</v>
      </c>
      <c r="DI54" t="s">
        <v>59</v>
      </c>
      <c r="DJ54" t="s">
        <v>59</v>
      </c>
      <c r="DK54" t="s">
        <v>59</v>
      </c>
      <c r="DL54" t="s">
        <v>59</v>
      </c>
      <c r="DM54" t="s">
        <v>59</v>
      </c>
      <c r="DN54" t="s">
        <v>59</v>
      </c>
      <c r="DO54" t="s">
        <v>191</v>
      </c>
      <c r="DP54" t="s">
        <v>59</v>
      </c>
      <c r="DQ54" t="s">
        <v>59</v>
      </c>
      <c r="DR54" t="s">
        <v>59</v>
      </c>
      <c r="DS54" t="s">
        <v>59</v>
      </c>
      <c r="DT54" t="s">
        <v>59</v>
      </c>
      <c r="DU54" t="s">
        <v>59</v>
      </c>
      <c r="DV54" t="s">
        <v>59</v>
      </c>
      <c r="DW54" t="s">
        <v>59</v>
      </c>
      <c r="DX54" t="s">
        <v>59</v>
      </c>
      <c r="DY54" t="s">
        <v>59</v>
      </c>
      <c r="DZ54" t="s">
        <v>59</v>
      </c>
      <c r="EA54" t="s">
        <v>59</v>
      </c>
      <c r="EB54" t="s">
        <v>59</v>
      </c>
      <c r="EC54" t="s">
        <v>191</v>
      </c>
      <c r="ED54" t="s">
        <v>59</v>
      </c>
      <c r="EE54" t="s">
        <v>59</v>
      </c>
      <c r="EF54" t="s">
        <v>59</v>
      </c>
      <c r="EG54" t="s">
        <v>59</v>
      </c>
      <c r="EH54" t="s">
        <v>59</v>
      </c>
      <c r="EI54" t="s">
        <v>59</v>
      </c>
      <c r="EJ54" t="s">
        <v>59</v>
      </c>
      <c r="EK54" t="s">
        <v>59</v>
      </c>
      <c r="EL54" t="s">
        <v>59</v>
      </c>
      <c r="EM54" t="s">
        <v>59</v>
      </c>
      <c r="EN54" t="s">
        <v>59</v>
      </c>
      <c r="EO54" t="s">
        <v>59</v>
      </c>
      <c r="EP54" t="s">
        <v>59</v>
      </c>
      <c r="EQ54" t="s">
        <v>59</v>
      </c>
      <c r="ER54" t="s">
        <v>59</v>
      </c>
      <c r="ES54" t="s">
        <v>59</v>
      </c>
      <c r="ET54" t="s">
        <v>59</v>
      </c>
      <c r="EU54" t="s">
        <v>59</v>
      </c>
      <c r="EV54" t="s">
        <v>59</v>
      </c>
      <c r="EW54" t="s">
        <v>59</v>
      </c>
      <c r="EX54" t="s">
        <v>59</v>
      </c>
      <c r="EY54" t="s">
        <v>59</v>
      </c>
      <c r="EZ54" t="s">
        <v>59</v>
      </c>
      <c r="FA54" t="s">
        <v>59</v>
      </c>
      <c r="FB54" t="s">
        <v>59</v>
      </c>
      <c r="FC54" t="s">
        <v>59</v>
      </c>
      <c r="FD54" t="s">
        <v>59</v>
      </c>
      <c r="FE54" t="s">
        <v>59</v>
      </c>
      <c r="FF54" t="s">
        <v>59</v>
      </c>
      <c r="FG54" t="s">
        <v>59</v>
      </c>
      <c r="FH54" t="s">
        <v>59</v>
      </c>
      <c r="FI54" t="s">
        <v>59</v>
      </c>
      <c r="FJ54" t="s">
        <v>59</v>
      </c>
      <c r="FK54" t="s">
        <v>59</v>
      </c>
      <c r="FL54" t="s">
        <v>59</v>
      </c>
      <c r="FM54" t="s">
        <v>59</v>
      </c>
      <c r="FN54" t="s">
        <v>59</v>
      </c>
      <c r="FO54" t="s">
        <v>59</v>
      </c>
      <c r="FP54" t="s">
        <v>59</v>
      </c>
      <c r="FQ54" t="s">
        <v>59</v>
      </c>
      <c r="FR54" t="s">
        <v>59</v>
      </c>
      <c r="FS54" t="s">
        <v>191</v>
      </c>
      <c r="FT54" t="s">
        <v>59</v>
      </c>
      <c r="FU54" t="s">
        <v>59</v>
      </c>
      <c r="FV54" t="s">
        <v>59</v>
      </c>
      <c r="FW54" t="s">
        <v>59</v>
      </c>
      <c r="FX54" t="s">
        <v>59</v>
      </c>
      <c r="FY54" t="s">
        <v>59</v>
      </c>
      <c r="FZ54" t="s">
        <v>59</v>
      </c>
      <c r="GA54" t="s">
        <v>59</v>
      </c>
      <c r="GB54" t="s">
        <v>59</v>
      </c>
      <c r="GC54" t="s">
        <v>59</v>
      </c>
      <c r="GD54" t="s">
        <v>59</v>
      </c>
      <c r="GE54" t="s">
        <v>59</v>
      </c>
      <c r="GF54" t="s">
        <v>59</v>
      </c>
      <c r="GG54" t="s">
        <v>59</v>
      </c>
      <c r="GH54" t="s">
        <v>59</v>
      </c>
      <c r="GI54" t="s">
        <v>59</v>
      </c>
      <c r="GJ54" t="s">
        <v>59</v>
      </c>
      <c r="GK54" t="s">
        <v>191</v>
      </c>
      <c r="GL54" t="s">
        <v>59</v>
      </c>
      <c r="GM54" t="s">
        <v>59</v>
      </c>
      <c r="GN54" t="s">
        <v>59</v>
      </c>
      <c r="GO54" t="s">
        <v>59</v>
      </c>
      <c r="GP54" t="s">
        <v>59</v>
      </c>
      <c r="GQ54" t="s">
        <v>191</v>
      </c>
      <c r="GR54" t="s">
        <v>59</v>
      </c>
      <c r="GS54" t="s">
        <v>59</v>
      </c>
      <c r="GT54" t="s">
        <v>59</v>
      </c>
      <c r="GU54" t="s">
        <v>59</v>
      </c>
      <c r="GV54" t="s">
        <v>59</v>
      </c>
      <c r="GW54" t="s">
        <v>59</v>
      </c>
      <c r="GX54" t="s">
        <v>59</v>
      </c>
      <c r="GY54" t="s">
        <v>59</v>
      </c>
      <c r="GZ54" t="s">
        <v>59</v>
      </c>
      <c r="HA54" t="s">
        <v>59</v>
      </c>
      <c r="HB54" t="s">
        <v>191</v>
      </c>
      <c r="HC54" t="s">
        <v>59</v>
      </c>
      <c r="HD54" t="s">
        <v>59</v>
      </c>
      <c r="HE54" t="s">
        <v>59</v>
      </c>
      <c r="HF54" t="s">
        <v>59</v>
      </c>
      <c r="HG54" t="s">
        <v>59</v>
      </c>
      <c r="HH54" t="s">
        <v>59</v>
      </c>
      <c r="HI54" t="s">
        <v>59</v>
      </c>
      <c r="HJ54" t="s">
        <v>59</v>
      </c>
      <c r="HK54" t="s">
        <v>59</v>
      </c>
      <c r="HL54" t="s">
        <v>59</v>
      </c>
      <c r="HM54" t="s">
        <v>191</v>
      </c>
      <c r="HN54" t="s">
        <v>191</v>
      </c>
      <c r="HO54" t="s">
        <v>191</v>
      </c>
      <c r="HP54" t="s">
        <v>59</v>
      </c>
      <c r="HQ54" t="s">
        <v>59</v>
      </c>
      <c r="HR54" t="s">
        <v>59</v>
      </c>
      <c r="HS54" t="s">
        <v>59</v>
      </c>
      <c r="HT54" t="s">
        <v>59</v>
      </c>
      <c r="HU54" t="s">
        <v>59</v>
      </c>
      <c r="HV54" t="s">
        <v>59</v>
      </c>
      <c r="HW54" t="s">
        <v>59</v>
      </c>
      <c r="HX54" t="s">
        <v>59</v>
      </c>
      <c r="HY54" t="s">
        <v>59</v>
      </c>
      <c r="HZ54" t="s">
        <v>59</v>
      </c>
      <c r="IA54" t="s">
        <v>59</v>
      </c>
      <c r="IB54" t="s">
        <v>59</v>
      </c>
      <c r="IC54" t="s">
        <v>59</v>
      </c>
      <c r="ID54" t="s">
        <v>59</v>
      </c>
      <c r="IE54" t="s">
        <v>59</v>
      </c>
      <c r="IF54" t="s">
        <v>59</v>
      </c>
      <c r="IG54" t="s">
        <v>59</v>
      </c>
      <c r="IH54" t="s">
        <v>59</v>
      </c>
      <c r="II54" t="s">
        <v>59</v>
      </c>
      <c r="IJ54" t="s">
        <v>129</v>
      </c>
      <c r="IK54" t="s">
        <v>198</v>
      </c>
      <c r="IL54" t="s">
        <v>128</v>
      </c>
      <c r="IM54" t="s">
        <v>199</v>
      </c>
      <c r="IN54">
        <v>30</v>
      </c>
      <c r="IO54" t="s">
        <v>2730</v>
      </c>
      <c r="IP54">
        <v>2</v>
      </c>
      <c r="IQ54" t="s">
        <v>2730</v>
      </c>
      <c r="IR54">
        <v>15</v>
      </c>
      <c r="IS54" t="s">
        <v>2730</v>
      </c>
      <c r="IT54" t="s">
        <v>2730</v>
      </c>
      <c r="IU54" t="s">
        <v>2730</v>
      </c>
      <c r="IV54">
        <v>16</v>
      </c>
      <c r="IW54" t="s">
        <v>2730</v>
      </c>
      <c r="IX54">
        <v>3</v>
      </c>
      <c r="IY54" t="s">
        <v>2730</v>
      </c>
      <c r="IZ54">
        <v>57</v>
      </c>
      <c r="JA54" t="s">
        <v>2730</v>
      </c>
      <c r="JB54">
        <v>2</v>
      </c>
      <c r="JC54" t="s">
        <v>2730</v>
      </c>
      <c r="JD54">
        <v>24</v>
      </c>
      <c r="JE54" t="s">
        <v>2730</v>
      </c>
      <c r="JF54">
        <v>2</v>
      </c>
      <c r="JG54" t="s">
        <v>2730</v>
      </c>
      <c r="JH54">
        <v>25</v>
      </c>
      <c r="JI54" t="s">
        <v>2730</v>
      </c>
      <c r="JJ54">
        <v>5</v>
      </c>
      <c r="JK54" t="s">
        <v>2730</v>
      </c>
      <c r="JL54">
        <v>16</v>
      </c>
      <c r="JM54" t="s">
        <v>2730</v>
      </c>
      <c r="JN54" t="s">
        <v>2730</v>
      </c>
      <c r="JO54">
        <v>4</v>
      </c>
      <c r="JP54" t="s">
        <v>2730</v>
      </c>
      <c r="JQ54" t="s">
        <v>2730</v>
      </c>
    </row>
    <row r="55" spans="1:277">
      <c r="A55" s="149" t="str">
        <f>HYPERLINK("http://www.ofsted.gov.uk/inspection-reports/find-inspection-report/provider/ELS/136230 ","Ofsted School Webpage")</f>
        <v>Ofsted School Webpage</v>
      </c>
      <c r="B55">
        <v>1132681</v>
      </c>
      <c r="C55">
        <v>136230</v>
      </c>
      <c r="D55">
        <v>3566035</v>
      </c>
      <c r="E55" t="s">
        <v>345</v>
      </c>
      <c r="F55" t="s">
        <v>38</v>
      </c>
      <c r="G55" t="s">
        <v>180</v>
      </c>
      <c r="H55" t="s">
        <v>205</v>
      </c>
      <c r="I55" t="s">
        <v>205</v>
      </c>
      <c r="J55" t="s">
        <v>346</v>
      </c>
      <c r="K55" t="s">
        <v>347</v>
      </c>
      <c r="L55" t="s">
        <v>184</v>
      </c>
      <c r="M55" t="s">
        <v>185</v>
      </c>
      <c r="N55" t="s">
        <v>184</v>
      </c>
      <c r="O55" t="s">
        <v>2730</v>
      </c>
      <c r="P55" t="s">
        <v>186</v>
      </c>
      <c r="Q55">
        <v>10038932</v>
      </c>
      <c r="R55" s="120">
        <v>43025</v>
      </c>
      <c r="S55" s="120">
        <v>43027</v>
      </c>
      <c r="T55" s="120">
        <v>43053</v>
      </c>
      <c r="U55" t="s">
        <v>2730</v>
      </c>
      <c r="V55" t="s">
        <v>196</v>
      </c>
      <c r="W55" t="s">
        <v>2730</v>
      </c>
      <c r="X55" t="s">
        <v>197</v>
      </c>
      <c r="Y55">
        <v>2</v>
      </c>
      <c r="Z55">
        <v>2</v>
      </c>
      <c r="AA55">
        <v>2</v>
      </c>
      <c r="AB55">
        <v>2</v>
      </c>
      <c r="AC55">
        <v>2</v>
      </c>
      <c r="AD55" t="s">
        <v>2730</v>
      </c>
      <c r="AE55" t="s">
        <v>2730</v>
      </c>
      <c r="AF55" t="s">
        <v>128</v>
      </c>
      <c r="AG55" t="s">
        <v>2730</v>
      </c>
      <c r="AH55" t="s">
        <v>2732</v>
      </c>
      <c r="AI55" t="s">
        <v>59</v>
      </c>
      <c r="AJ55" t="s">
        <v>59</v>
      </c>
      <c r="AK55" t="s">
        <v>59</v>
      </c>
      <c r="AL55" t="s">
        <v>59</v>
      </c>
      <c r="AM55" t="s">
        <v>59</v>
      </c>
      <c r="AN55" t="s">
        <v>59</v>
      </c>
      <c r="AO55" t="s">
        <v>59</v>
      </c>
      <c r="AP55" t="s">
        <v>59</v>
      </c>
      <c r="AQ55" t="s">
        <v>59</v>
      </c>
      <c r="AR55" t="s">
        <v>59</v>
      </c>
      <c r="AS55" t="s">
        <v>59</v>
      </c>
      <c r="AT55" t="s">
        <v>59</v>
      </c>
      <c r="AU55" t="s">
        <v>59</v>
      </c>
      <c r="AV55" t="s">
        <v>59</v>
      </c>
      <c r="AW55" t="s">
        <v>59</v>
      </c>
      <c r="AX55" t="s">
        <v>59</v>
      </c>
      <c r="AY55" t="s">
        <v>218</v>
      </c>
      <c r="AZ55" t="s">
        <v>59</v>
      </c>
      <c r="BA55" t="s">
        <v>59</v>
      </c>
      <c r="BB55" t="s">
        <v>59</v>
      </c>
      <c r="BC55" t="s">
        <v>59</v>
      </c>
      <c r="BD55" t="s">
        <v>59</v>
      </c>
      <c r="BE55" t="s">
        <v>59</v>
      </c>
      <c r="BF55" t="s">
        <v>59</v>
      </c>
      <c r="BG55" t="s">
        <v>218</v>
      </c>
      <c r="BH55" t="s">
        <v>218</v>
      </c>
      <c r="BI55" t="s">
        <v>59</v>
      </c>
      <c r="BJ55" t="s">
        <v>59</v>
      </c>
      <c r="BK55" t="s">
        <v>59</v>
      </c>
      <c r="BL55" t="s">
        <v>59</v>
      </c>
      <c r="BM55" t="s">
        <v>59</v>
      </c>
      <c r="BN55" t="s">
        <v>59</v>
      </c>
      <c r="BO55" t="s">
        <v>59</v>
      </c>
      <c r="BP55" t="s">
        <v>59</v>
      </c>
      <c r="BQ55" t="s">
        <v>59</v>
      </c>
      <c r="BR55" t="s">
        <v>59</v>
      </c>
      <c r="BS55" t="s">
        <v>59</v>
      </c>
      <c r="BT55" t="s">
        <v>59</v>
      </c>
      <c r="BU55" t="s">
        <v>59</v>
      </c>
      <c r="BV55" t="s">
        <v>59</v>
      </c>
      <c r="BW55" t="s">
        <v>59</v>
      </c>
      <c r="BX55" t="s">
        <v>59</v>
      </c>
      <c r="BY55" t="s">
        <v>59</v>
      </c>
      <c r="BZ55" t="s">
        <v>59</v>
      </c>
      <c r="CA55" t="s">
        <v>59</v>
      </c>
      <c r="CB55" t="s">
        <v>59</v>
      </c>
      <c r="CC55" t="s">
        <v>59</v>
      </c>
      <c r="CD55" t="s">
        <v>59</v>
      </c>
      <c r="CE55" t="s">
        <v>59</v>
      </c>
      <c r="CF55" t="s">
        <v>59</v>
      </c>
      <c r="CG55" t="s">
        <v>59</v>
      </c>
      <c r="CH55" t="s">
        <v>59</v>
      </c>
      <c r="CI55" t="s">
        <v>59</v>
      </c>
      <c r="CJ55" t="s">
        <v>59</v>
      </c>
      <c r="CK55" t="s">
        <v>59</v>
      </c>
      <c r="CL55" t="s">
        <v>59</v>
      </c>
      <c r="CM55" t="s">
        <v>59</v>
      </c>
      <c r="CN55" t="s">
        <v>59</v>
      </c>
      <c r="CO55" t="s">
        <v>218</v>
      </c>
      <c r="CP55" t="s">
        <v>218</v>
      </c>
      <c r="CQ55" t="s">
        <v>218</v>
      </c>
      <c r="CR55" t="s">
        <v>59</v>
      </c>
      <c r="CS55" t="s">
        <v>59</v>
      </c>
      <c r="CT55" t="s">
        <v>59</v>
      </c>
      <c r="CU55" t="s">
        <v>59</v>
      </c>
      <c r="CV55" t="s">
        <v>59</v>
      </c>
      <c r="CW55" t="s">
        <v>59</v>
      </c>
      <c r="CX55" t="s">
        <v>59</v>
      </c>
      <c r="CY55" t="s">
        <v>59</v>
      </c>
      <c r="CZ55" t="s">
        <v>59</v>
      </c>
      <c r="DA55" t="s">
        <v>59</v>
      </c>
      <c r="DB55" t="s">
        <v>59</v>
      </c>
      <c r="DC55" t="s">
        <v>59</v>
      </c>
      <c r="DD55" t="s">
        <v>59</v>
      </c>
      <c r="DE55" t="s">
        <v>59</v>
      </c>
      <c r="DF55" t="s">
        <v>59</v>
      </c>
      <c r="DG55" t="s">
        <v>59</v>
      </c>
      <c r="DH55" t="s">
        <v>59</v>
      </c>
      <c r="DI55" t="s">
        <v>59</v>
      </c>
      <c r="DJ55" t="s">
        <v>59</v>
      </c>
      <c r="DK55" t="s">
        <v>59</v>
      </c>
      <c r="DL55" t="s">
        <v>59</v>
      </c>
      <c r="DM55" t="s">
        <v>59</v>
      </c>
      <c r="DN55" t="s">
        <v>59</v>
      </c>
      <c r="DO55" t="s">
        <v>218</v>
      </c>
      <c r="DP55" t="s">
        <v>59</v>
      </c>
      <c r="DQ55" t="s">
        <v>59</v>
      </c>
      <c r="DR55" t="s">
        <v>59</v>
      </c>
      <c r="DS55" t="s">
        <v>59</v>
      </c>
      <c r="DT55" t="s">
        <v>59</v>
      </c>
      <c r="DU55" t="s">
        <v>59</v>
      </c>
      <c r="DV55" t="s">
        <v>59</v>
      </c>
      <c r="DW55" t="s">
        <v>59</v>
      </c>
      <c r="DX55" t="s">
        <v>59</v>
      </c>
      <c r="DY55" t="s">
        <v>59</v>
      </c>
      <c r="DZ55" t="s">
        <v>59</v>
      </c>
      <c r="EA55" t="s">
        <v>59</v>
      </c>
      <c r="EB55" t="s">
        <v>59</v>
      </c>
      <c r="EC55" t="s">
        <v>218</v>
      </c>
      <c r="ED55" t="s">
        <v>59</v>
      </c>
      <c r="EE55" t="s">
        <v>59</v>
      </c>
      <c r="EF55" t="s">
        <v>59</v>
      </c>
      <c r="EG55" t="s">
        <v>59</v>
      </c>
      <c r="EH55" t="s">
        <v>59</v>
      </c>
      <c r="EI55" t="s">
        <v>59</v>
      </c>
      <c r="EJ55" t="s">
        <v>59</v>
      </c>
      <c r="EK55" t="s">
        <v>59</v>
      </c>
      <c r="EL55" t="s">
        <v>59</v>
      </c>
      <c r="EM55" t="s">
        <v>59</v>
      </c>
      <c r="EN55" t="s">
        <v>59</v>
      </c>
      <c r="EO55" t="s">
        <v>59</v>
      </c>
      <c r="EP55" t="s">
        <v>59</v>
      </c>
      <c r="EQ55" t="s">
        <v>59</v>
      </c>
      <c r="ER55" t="s">
        <v>59</v>
      </c>
      <c r="ES55" t="s">
        <v>59</v>
      </c>
      <c r="ET55" t="s">
        <v>59</v>
      </c>
      <c r="EU55" t="s">
        <v>59</v>
      </c>
      <c r="EV55" t="s">
        <v>59</v>
      </c>
      <c r="EW55" t="s">
        <v>59</v>
      </c>
      <c r="EX55" t="s">
        <v>59</v>
      </c>
      <c r="EY55" t="s">
        <v>59</v>
      </c>
      <c r="EZ55" t="s">
        <v>59</v>
      </c>
      <c r="FA55" t="s">
        <v>59</v>
      </c>
      <c r="FB55" t="s">
        <v>59</v>
      </c>
      <c r="FC55" t="s">
        <v>59</v>
      </c>
      <c r="FD55" t="s">
        <v>59</v>
      </c>
      <c r="FE55" t="s">
        <v>59</v>
      </c>
      <c r="FF55" t="s">
        <v>59</v>
      </c>
      <c r="FG55" t="s">
        <v>59</v>
      </c>
      <c r="FH55" t="s">
        <v>59</v>
      </c>
      <c r="FI55" t="s">
        <v>59</v>
      </c>
      <c r="FJ55" t="s">
        <v>59</v>
      </c>
      <c r="FK55" t="s">
        <v>59</v>
      </c>
      <c r="FL55" t="s">
        <v>59</v>
      </c>
      <c r="FM55" t="s">
        <v>59</v>
      </c>
      <c r="FN55" t="s">
        <v>59</v>
      </c>
      <c r="FO55" t="s">
        <v>59</v>
      </c>
      <c r="FP55" t="s">
        <v>59</v>
      </c>
      <c r="FQ55" t="s">
        <v>59</v>
      </c>
      <c r="FR55" t="s">
        <v>59</v>
      </c>
      <c r="FS55" t="s">
        <v>218</v>
      </c>
      <c r="FT55" t="s">
        <v>59</v>
      </c>
      <c r="FU55" t="s">
        <v>59</v>
      </c>
      <c r="FV55" t="s">
        <v>59</v>
      </c>
      <c r="FW55" t="s">
        <v>59</v>
      </c>
      <c r="FX55" t="s">
        <v>59</v>
      </c>
      <c r="FY55" t="s">
        <v>59</v>
      </c>
      <c r="FZ55" t="s">
        <v>59</v>
      </c>
      <c r="GA55" t="s">
        <v>59</v>
      </c>
      <c r="GB55" t="s">
        <v>59</v>
      </c>
      <c r="GC55" t="s">
        <v>59</v>
      </c>
      <c r="GD55" t="s">
        <v>59</v>
      </c>
      <c r="GE55" t="s">
        <v>59</v>
      </c>
      <c r="GF55" t="s">
        <v>59</v>
      </c>
      <c r="GG55" t="s">
        <v>59</v>
      </c>
      <c r="GH55" t="s">
        <v>59</v>
      </c>
      <c r="GI55" t="s">
        <v>59</v>
      </c>
      <c r="GJ55" t="s">
        <v>59</v>
      </c>
      <c r="GK55" t="s">
        <v>218</v>
      </c>
      <c r="GL55" t="s">
        <v>59</v>
      </c>
      <c r="GM55" t="s">
        <v>59</v>
      </c>
      <c r="GN55" t="s">
        <v>59</v>
      </c>
      <c r="GO55" t="s">
        <v>59</v>
      </c>
      <c r="GP55" t="s">
        <v>59</v>
      </c>
      <c r="GQ55" t="s">
        <v>59</v>
      </c>
      <c r="GR55" t="s">
        <v>59</v>
      </c>
      <c r="GS55" t="s">
        <v>59</v>
      </c>
      <c r="GT55" t="s">
        <v>59</v>
      </c>
      <c r="GU55" t="s">
        <v>59</v>
      </c>
      <c r="GV55" t="s">
        <v>59</v>
      </c>
      <c r="GW55" t="s">
        <v>59</v>
      </c>
      <c r="GX55" t="s">
        <v>59</v>
      </c>
      <c r="GY55" t="s">
        <v>59</v>
      </c>
      <c r="GZ55" t="s">
        <v>218</v>
      </c>
      <c r="HA55" t="s">
        <v>59</v>
      </c>
      <c r="HB55" t="s">
        <v>59</v>
      </c>
      <c r="HC55" t="s">
        <v>59</v>
      </c>
      <c r="HD55" t="s">
        <v>59</v>
      </c>
      <c r="HE55" t="s">
        <v>59</v>
      </c>
      <c r="HF55" t="s">
        <v>59</v>
      </c>
      <c r="HG55" t="s">
        <v>59</v>
      </c>
      <c r="HH55" t="s">
        <v>59</v>
      </c>
      <c r="HI55" t="s">
        <v>59</v>
      </c>
      <c r="HJ55" t="s">
        <v>59</v>
      </c>
      <c r="HK55" t="s">
        <v>59</v>
      </c>
      <c r="HL55" t="s">
        <v>59</v>
      </c>
      <c r="HM55" t="s">
        <v>59</v>
      </c>
      <c r="HN55" t="s">
        <v>59</v>
      </c>
      <c r="HO55" t="s">
        <v>59</v>
      </c>
      <c r="HP55" t="s">
        <v>59</v>
      </c>
      <c r="HQ55" t="s">
        <v>59</v>
      </c>
      <c r="HR55" t="s">
        <v>59</v>
      </c>
      <c r="HS55" t="s">
        <v>59</v>
      </c>
      <c r="HT55" t="s">
        <v>59</v>
      </c>
      <c r="HU55" t="s">
        <v>59</v>
      </c>
      <c r="HV55" t="s">
        <v>59</v>
      </c>
      <c r="HW55" t="s">
        <v>59</v>
      </c>
      <c r="HX55" t="s">
        <v>59</v>
      </c>
      <c r="HY55" t="s">
        <v>59</v>
      </c>
      <c r="HZ55" t="s">
        <v>59</v>
      </c>
      <c r="IA55" t="s">
        <v>59</v>
      </c>
      <c r="IB55" t="s">
        <v>59</v>
      </c>
      <c r="IC55" t="s">
        <v>59</v>
      </c>
      <c r="ID55" t="s">
        <v>59</v>
      </c>
      <c r="IE55" t="s">
        <v>59</v>
      </c>
      <c r="IF55" t="s">
        <v>59</v>
      </c>
      <c r="IG55" t="s">
        <v>59</v>
      </c>
      <c r="IH55" t="s">
        <v>59</v>
      </c>
      <c r="II55" t="s">
        <v>59</v>
      </c>
      <c r="IJ55" t="s">
        <v>129</v>
      </c>
      <c r="IK55" t="s">
        <v>191</v>
      </c>
      <c r="IL55" t="s">
        <v>128</v>
      </c>
      <c r="IM55" t="s">
        <v>199</v>
      </c>
      <c r="IN55">
        <v>29</v>
      </c>
      <c r="IO55" t="s">
        <v>2730</v>
      </c>
      <c r="IP55" t="s">
        <v>2730</v>
      </c>
      <c r="IQ55" t="s">
        <v>2730</v>
      </c>
      <c r="IR55">
        <v>15</v>
      </c>
      <c r="IS55" t="s">
        <v>2730</v>
      </c>
      <c r="IT55" t="s">
        <v>2730</v>
      </c>
      <c r="IU55" t="s">
        <v>2730</v>
      </c>
      <c r="IV55">
        <v>16</v>
      </c>
      <c r="IW55" t="s">
        <v>2730</v>
      </c>
      <c r="IX55" t="s">
        <v>2730</v>
      </c>
      <c r="IY55" t="s">
        <v>2730</v>
      </c>
      <c r="IZ55">
        <v>57</v>
      </c>
      <c r="JA55" t="s">
        <v>2730</v>
      </c>
      <c r="JB55" t="s">
        <v>2730</v>
      </c>
      <c r="JC55" t="s">
        <v>2730</v>
      </c>
      <c r="JD55">
        <v>24</v>
      </c>
      <c r="JE55" t="s">
        <v>2730</v>
      </c>
      <c r="JF55" t="s">
        <v>2730</v>
      </c>
      <c r="JG55" t="s">
        <v>2730</v>
      </c>
      <c r="JH55">
        <v>29</v>
      </c>
      <c r="JI55" t="s">
        <v>2730</v>
      </c>
      <c r="JJ55" t="s">
        <v>2730</v>
      </c>
      <c r="JK55" t="s">
        <v>2730</v>
      </c>
      <c r="JL55">
        <v>16</v>
      </c>
      <c r="JM55" t="s">
        <v>2730</v>
      </c>
      <c r="JN55" t="s">
        <v>2730</v>
      </c>
      <c r="JO55">
        <v>4</v>
      </c>
      <c r="JP55" t="s">
        <v>2730</v>
      </c>
      <c r="JQ55" t="s">
        <v>2730</v>
      </c>
    </row>
    <row r="56" spans="1:277">
      <c r="A56" s="149" t="str">
        <f>HYPERLINK("http://www.ofsted.gov.uk/inspection-reports/find-inspection-report/provider/ELS/105747 ","Ofsted School Webpage")</f>
        <v>Ofsted School Webpage</v>
      </c>
      <c r="B56">
        <v>1133704</v>
      </c>
      <c r="C56">
        <v>105747</v>
      </c>
      <c r="D56">
        <v>3536014</v>
      </c>
      <c r="E56" t="s">
        <v>467</v>
      </c>
      <c r="F56" t="s">
        <v>37</v>
      </c>
      <c r="G56" t="s">
        <v>209</v>
      </c>
      <c r="H56" t="s">
        <v>205</v>
      </c>
      <c r="I56" t="s">
        <v>205</v>
      </c>
      <c r="J56" t="s">
        <v>468</v>
      </c>
      <c r="K56" t="s">
        <v>469</v>
      </c>
      <c r="L56" t="s">
        <v>184</v>
      </c>
      <c r="M56" t="s">
        <v>185</v>
      </c>
      <c r="N56" t="s">
        <v>184</v>
      </c>
      <c r="O56" t="s">
        <v>2730</v>
      </c>
      <c r="P56" t="s">
        <v>186</v>
      </c>
      <c r="Q56">
        <v>10034020</v>
      </c>
      <c r="R56" s="120">
        <v>43004</v>
      </c>
      <c r="S56" s="120">
        <v>43006</v>
      </c>
      <c r="T56" s="120">
        <v>43025</v>
      </c>
      <c r="U56" t="s">
        <v>2730</v>
      </c>
      <c r="V56" t="s">
        <v>196</v>
      </c>
      <c r="W56" t="s">
        <v>2730</v>
      </c>
      <c r="X56" t="s">
        <v>197</v>
      </c>
      <c r="Y56">
        <v>2</v>
      </c>
      <c r="Z56">
        <v>2</v>
      </c>
      <c r="AA56">
        <v>1</v>
      </c>
      <c r="AB56">
        <v>2</v>
      </c>
      <c r="AC56">
        <v>2</v>
      </c>
      <c r="AD56">
        <v>3</v>
      </c>
      <c r="AE56" t="s">
        <v>2730</v>
      </c>
      <c r="AF56" t="s">
        <v>128</v>
      </c>
      <c r="AG56" t="s">
        <v>2730</v>
      </c>
      <c r="AH56" t="s">
        <v>2732</v>
      </c>
      <c r="AI56" t="s">
        <v>59</v>
      </c>
      <c r="AJ56" t="s">
        <v>59</v>
      </c>
      <c r="AK56" t="s">
        <v>59</v>
      </c>
      <c r="AL56" t="s">
        <v>59</v>
      </c>
      <c r="AM56" t="s">
        <v>59</v>
      </c>
      <c r="AN56" t="s">
        <v>59</v>
      </c>
      <c r="AO56" t="s">
        <v>59</v>
      </c>
      <c r="AP56" t="s">
        <v>59</v>
      </c>
      <c r="AQ56" t="s">
        <v>59</v>
      </c>
      <c r="AR56" t="s">
        <v>59</v>
      </c>
      <c r="AS56" t="s">
        <v>59</v>
      </c>
      <c r="AT56" t="s">
        <v>59</v>
      </c>
      <c r="AU56" t="s">
        <v>59</v>
      </c>
      <c r="AV56" t="s">
        <v>59</v>
      </c>
      <c r="AW56" t="s">
        <v>59</v>
      </c>
      <c r="AX56" t="s">
        <v>59</v>
      </c>
      <c r="AY56" t="s">
        <v>218</v>
      </c>
      <c r="AZ56" t="s">
        <v>59</v>
      </c>
      <c r="BA56" t="s">
        <v>59</v>
      </c>
      <c r="BB56" t="s">
        <v>59</v>
      </c>
      <c r="BC56" t="s">
        <v>218</v>
      </c>
      <c r="BD56" t="s">
        <v>218</v>
      </c>
      <c r="BE56" t="s">
        <v>218</v>
      </c>
      <c r="BF56" t="s">
        <v>218</v>
      </c>
      <c r="BG56" t="s">
        <v>59</v>
      </c>
      <c r="BH56" t="s">
        <v>218</v>
      </c>
      <c r="BI56" t="s">
        <v>59</v>
      </c>
      <c r="BJ56" t="s">
        <v>59</v>
      </c>
      <c r="BK56" t="s">
        <v>59</v>
      </c>
      <c r="BL56" t="s">
        <v>59</v>
      </c>
      <c r="BM56" t="s">
        <v>59</v>
      </c>
      <c r="BN56" t="s">
        <v>59</v>
      </c>
      <c r="BO56" t="s">
        <v>59</v>
      </c>
      <c r="BP56" t="s">
        <v>59</v>
      </c>
      <c r="BQ56" t="s">
        <v>59</v>
      </c>
      <c r="BR56" t="s">
        <v>59</v>
      </c>
      <c r="BS56" t="s">
        <v>59</v>
      </c>
      <c r="BT56" t="s">
        <v>59</v>
      </c>
      <c r="BU56" t="s">
        <v>59</v>
      </c>
      <c r="BV56" t="s">
        <v>59</v>
      </c>
      <c r="BW56" t="s">
        <v>59</v>
      </c>
      <c r="BX56" t="s">
        <v>59</v>
      </c>
      <c r="BY56" t="s">
        <v>59</v>
      </c>
      <c r="BZ56" t="s">
        <v>59</v>
      </c>
      <c r="CA56" t="s">
        <v>59</v>
      </c>
      <c r="CB56" t="s">
        <v>59</v>
      </c>
      <c r="CC56" t="s">
        <v>59</v>
      </c>
      <c r="CD56" t="s">
        <v>59</v>
      </c>
      <c r="CE56" t="s">
        <v>59</v>
      </c>
      <c r="CF56" t="s">
        <v>59</v>
      </c>
      <c r="CG56" t="s">
        <v>59</v>
      </c>
      <c r="CH56" t="s">
        <v>59</v>
      </c>
      <c r="CI56" t="s">
        <v>59</v>
      </c>
      <c r="CJ56" t="s">
        <v>59</v>
      </c>
      <c r="CK56" t="s">
        <v>59</v>
      </c>
      <c r="CL56" t="s">
        <v>59</v>
      </c>
      <c r="CM56" t="s">
        <v>59</v>
      </c>
      <c r="CN56" t="s">
        <v>59</v>
      </c>
      <c r="CO56" t="s">
        <v>218</v>
      </c>
      <c r="CP56" t="s">
        <v>218</v>
      </c>
      <c r="CQ56" t="s">
        <v>218</v>
      </c>
      <c r="CR56" t="s">
        <v>59</v>
      </c>
      <c r="CS56" t="s">
        <v>59</v>
      </c>
      <c r="CT56" t="s">
        <v>59</v>
      </c>
      <c r="CU56" t="s">
        <v>59</v>
      </c>
      <c r="CV56" t="s">
        <v>59</v>
      </c>
      <c r="CW56" t="s">
        <v>59</v>
      </c>
      <c r="CX56" t="s">
        <v>59</v>
      </c>
      <c r="CY56" t="s">
        <v>59</v>
      </c>
      <c r="CZ56" t="s">
        <v>59</v>
      </c>
      <c r="DA56" t="s">
        <v>59</v>
      </c>
      <c r="DB56" t="s">
        <v>59</v>
      </c>
      <c r="DC56" t="s">
        <v>59</v>
      </c>
      <c r="DD56" t="s">
        <v>59</v>
      </c>
      <c r="DE56" t="s">
        <v>59</v>
      </c>
      <c r="DF56" t="s">
        <v>59</v>
      </c>
      <c r="DG56" t="s">
        <v>59</v>
      </c>
      <c r="DH56" t="s">
        <v>59</v>
      </c>
      <c r="DI56" t="s">
        <v>59</v>
      </c>
      <c r="DJ56" t="s">
        <v>59</v>
      </c>
      <c r="DK56" t="s">
        <v>59</v>
      </c>
      <c r="DL56" t="s">
        <v>59</v>
      </c>
      <c r="DM56" t="s">
        <v>59</v>
      </c>
      <c r="DN56" t="s">
        <v>59</v>
      </c>
      <c r="DO56" t="s">
        <v>218</v>
      </c>
      <c r="DP56" t="s">
        <v>59</v>
      </c>
      <c r="DQ56" t="s">
        <v>218</v>
      </c>
      <c r="DR56" t="s">
        <v>218</v>
      </c>
      <c r="DS56" t="s">
        <v>218</v>
      </c>
      <c r="DT56" t="s">
        <v>218</v>
      </c>
      <c r="DU56" t="s">
        <v>218</v>
      </c>
      <c r="DV56" t="s">
        <v>218</v>
      </c>
      <c r="DW56" t="s">
        <v>218</v>
      </c>
      <c r="DX56" t="s">
        <v>218</v>
      </c>
      <c r="DY56" t="s">
        <v>218</v>
      </c>
      <c r="DZ56" t="s">
        <v>218</v>
      </c>
      <c r="EA56" t="s">
        <v>218</v>
      </c>
      <c r="EB56" t="s">
        <v>218</v>
      </c>
      <c r="EC56" t="s">
        <v>218</v>
      </c>
      <c r="ED56" t="s">
        <v>218</v>
      </c>
      <c r="EE56" t="s">
        <v>59</v>
      </c>
      <c r="EF56" t="s">
        <v>59</v>
      </c>
      <c r="EG56" t="s">
        <v>59</v>
      </c>
      <c r="EH56" t="s">
        <v>59</v>
      </c>
      <c r="EI56" t="s">
        <v>59</v>
      </c>
      <c r="EJ56" t="s">
        <v>59</v>
      </c>
      <c r="EK56" t="s">
        <v>59</v>
      </c>
      <c r="EL56" t="s">
        <v>59</v>
      </c>
      <c r="EM56" t="s">
        <v>59</v>
      </c>
      <c r="EN56" t="s">
        <v>59</v>
      </c>
      <c r="EO56" t="s">
        <v>59</v>
      </c>
      <c r="EP56" t="s">
        <v>59</v>
      </c>
      <c r="EQ56" t="s">
        <v>59</v>
      </c>
      <c r="ER56" t="s">
        <v>59</v>
      </c>
      <c r="ES56" t="s">
        <v>59</v>
      </c>
      <c r="ET56" t="s">
        <v>59</v>
      </c>
      <c r="EU56" t="s">
        <v>59</v>
      </c>
      <c r="EV56" t="s">
        <v>59</v>
      </c>
      <c r="EW56" t="s">
        <v>59</v>
      </c>
      <c r="EX56" t="s">
        <v>59</v>
      </c>
      <c r="EY56" t="s">
        <v>59</v>
      </c>
      <c r="EZ56" t="s">
        <v>59</v>
      </c>
      <c r="FA56" t="s">
        <v>59</v>
      </c>
      <c r="FB56" t="s">
        <v>218</v>
      </c>
      <c r="FC56" t="s">
        <v>218</v>
      </c>
      <c r="FD56" t="s">
        <v>218</v>
      </c>
      <c r="FE56" t="s">
        <v>218</v>
      </c>
      <c r="FF56" t="s">
        <v>218</v>
      </c>
      <c r="FG56" t="s">
        <v>218</v>
      </c>
      <c r="FH56" t="s">
        <v>59</v>
      </c>
      <c r="FI56" t="s">
        <v>59</v>
      </c>
      <c r="FJ56" t="s">
        <v>59</v>
      </c>
      <c r="FK56" t="s">
        <v>59</v>
      </c>
      <c r="FL56" t="s">
        <v>59</v>
      </c>
      <c r="FM56" t="s">
        <v>59</v>
      </c>
      <c r="FN56" t="s">
        <v>59</v>
      </c>
      <c r="FO56" t="s">
        <v>218</v>
      </c>
      <c r="FP56" t="s">
        <v>59</v>
      </c>
      <c r="FQ56" t="s">
        <v>59</v>
      </c>
      <c r="FR56" t="s">
        <v>59</v>
      </c>
      <c r="FS56" t="s">
        <v>218</v>
      </c>
      <c r="FT56" t="s">
        <v>59</v>
      </c>
      <c r="FU56" t="s">
        <v>59</v>
      </c>
      <c r="FV56" t="s">
        <v>59</v>
      </c>
      <c r="FW56" t="s">
        <v>59</v>
      </c>
      <c r="FX56" t="s">
        <v>59</v>
      </c>
      <c r="FY56" t="s">
        <v>59</v>
      </c>
      <c r="FZ56" t="s">
        <v>59</v>
      </c>
      <c r="GA56" t="s">
        <v>59</v>
      </c>
      <c r="GB56" t="s">
        <v>59</v>
      </c>
      <c r="GC56" t="s">
        <v>59</v>
      </c>
      <c r="GD56" t="s">
        <v>59</v>
      </c>
      <c r="GE56" t="s">
        <v>59</v>
      </c>
      <c r="GF56" t="s">
        <v>59</v>
      </c>
      <c r="GG56" t="s">
        <v>59</v>
      </c>
      <c r="GH56" t="s">
        <v>59</v>
      </c>
      <c r="GI56" t="s">
        <v>59</v>
      </c>
      <c r="GJ56" t="s">
        <v>59</v>
      </c>
      <c r="GK56" t="s">
        <v>218</v>
      </c>
      <c r="GL56" t="s">
        <v>59</v>
      </c>
      <c r="GM56" t="s">
        <v>59</v>
      </c>
      <c r="GN56" t="s">
        <v>59</v>
      </c>
      <c r="GO56" t="s">
        <v>59</v>
      </c>
      <c r="GP56" t="s">
        <v>59</v>
      </c>
      <c r="GQ56" t="s">
        <v>218</v>
      </c>
      <c r="GR56" t="s">
        <v>59</v>
      </c>
      <c r="GS56" t="s">
        <v>59</v>
      </c>
      <c r="GT56" t="s">
        <v>218</v>
      </c>
      <c r="GU56" t="s">
        <v>218</v>
      </c>
      <c r="GV56" t="s">
        <v>59</v>
      </c>
      <c r="GW56" t="s">
        <v>59</v>
      </c>
      <c r="GX56" t="s">
        <v>59</v>
      </c>
      <c r="GY56" t="s">
        <v>59</v>
      </c>
      <c r="GZ56" t="s">
        <v>218</v>
      </c>
      <c r="HA56" t="s">
        <v>59</v>
      </c>
      <c r="HB56" t="s">
        <v>218</v>
      </c>
      <c r="HC56" t="s">
        <v>59</v>
      </c>
      <c r="HD56" t="s">
        <v>59</v>
      </c>
      <c r="HE56" t="s">
        <v>59</v>
      </c>
      <c r="HF56" t="s">
        <v>59</v>
      </c>
      <c r="HG56" t="s">
        <v>59</v>
      </c>
      <c r="HH56" t="s">
        <v>59</v>
      </c>
      <c r="HI56" t="s">
        <v>59</v>
      </c>
      <c r="HJ56" t="s">
        <v>59</v>
      </c>
      <c r="HK56" t="s">
        <v>59</v>
      </c>
      <c r="HL56" t="s">
        <v>218</v>
      </c>
      <c r="HM56" t="s">
        <v>218</v>
      </c>
      <c r="HN56" t="s">
        <v>218</v>
      </c>
      <c r="HO56" t="s">
        <v>218</v>
      </c>
      <c r="HP56" t="s">
        <v>59</v>
      </c>
      <c r="HQ56" t="s">
        <v>59</v>
      </c>
      <c r="HR56" t="s">
        <v>59</v>
      </c>
      <c r="HS56" t="s">
        <v>59</v>
      </c>
      <c r="HT56" t="s">
        <v>59</v>
      </c>
      <c r="HU56" t="s">
        <v>59</v>
      </c>
      <c r="HV56" t="s">
        <v>59</v>
      </c>
      <c r="HW56" t="s">
        <v>59</v>
      </c>
      <c r="HX56" t="s">
        <v>59</v>
      </c>
      <c r="HY56" t="s">
        <v>59</v>
      </c>
      <c r="HZ56" t="s">
        <v>59</v>
      </c>
      <c r="IA56" t="s">
        <v>59</v>
      </c>
      <c r="IB56" t="s">
        <v>59</v>
      </c>
      <c r="IC56" t="s">
        <v>59</v>
      </c>
      <c r="ID56" t="s">
        <v>59</v>
      </c>
      <c r="IE56" t="s">
        <v>59</v>
      </c>
      <c r="IF56" t="s">
        <v>59</v>
      </c>
      <c r="IG56" t="s">
        <v>59</v>
      </c>
      <c r="IH56" t="s">
        <v>59</v>
      </c>
      <c r="II56" t="s">
        <v>59</v>
      </c>
      <c r="IJ56" t="s">
        <v>129</v>
      </c>
      <c r="IK56" t="s">
        <v>191</v>
      </c>
      <c r="IL56" t="s">
        <v>128</v>
      </c>
      <c r="IM56" t="s">
        <v>199</v>
      </c>
      <c r="IN56">
        <v>26</v>
      </c>
      <c r="IO56" t="s">
        <v>2730</v>
      </c>
      <c r="IP56" t="s">
        <v>2730</v>
      </c>
      <c r="IQ56" t="s">
        <v>2730</v>
      </c>
      <c r="IR56">
        <v>15</v>
      </c>
      <c r="IS56" t="s">
        <v>2730</v>
      </c>
      <c r="IT56" t="s">
        <v>2730</v>
      </c>
      <c r="IU56" t="s">
        <v>2730</v>
      </c>
      <c r="IV56">
        <v>16</v>
      </c>
      <c r="IW56" t="s">
        <v>2730</v>
      </c>
      <c r="IX56" t="s">
        <v>2730</v>
      </c>
      <c r="IY56" t="s">
        <v>2730</v>
      </c>
      <c r="IZ56">
        <v>38</v>
      </c>
      <c r="JA56" t="s">
        <v>2730</v>
      </c>
      <c r="JB56" t="s">
        <v>2730</v>
      </c>
      <c r="JC56" t="s">
        <v>2730</v>
      </c>
      <c r="JD56">
        <v>23</v>
      </c>
      <c r="JE56" t="s">
        <v>2730</v>
      </c>
      <c r="JF56" t="s">
        <v>2730</v>
      </c>
      <c r="JG56" t="s">
        <v>2730</v>
      </c>
      <c r="JH56">
        <v>21</v>
      </c>
      <c r="JI56" t="s">
        <v>2730</v>
      </c>
      <c r="JJ56" t="s">
        <v>2730</v>
      </c>
      <c r="JK56" t="s">
        <v>2730</v>
      </c>
      <c r="JL56">
        <v>16</v>
      </c>
      <c r="JM56" t="s">
        <v>2730</v>
      </c>
      <c r="JN56" t="s">
        <v>2730</v>
      </c>
      <c r="JO56">
        <v>4</v>
      </c>
      <c r="JP56" t="s">
        <v>2730</v>
      </c>
      <c r="JQ56" t="s">
        <v>2730</v>
      </c>
    </row>
    <row r="57" spans="1:277">
      <c r="A57" s="149" t="str">
        <f>HYPERLINK("http://www.ofsted.gov.uk/inspection-reports/find-inspection-report/provider/ELS/101948 ","Ofsted School Webpage")</f>
        <v>Ofsted School Webpage</v>
      </c>
      <c r="B57">
        <v>1132942</v>
      </c>
      <c r="C57">
        <v>101948</v>
      </c>
      <c r="D57">
        <v>3076050</v>
      </c>
      <c r="E57" t="s">
        <v>1504</v>
      </c>
      <c r="F57" t="s">
        <v>37</v>
      </c>
      <c r="G57" t="s">
        <v>209</v>
      </c>
      <c r="H57" t="s">
        <v>232</v>
      </c>
      <c r="I57" t="s">
        <v>232</v>
      </c>
      <c r="J57" t="s">
        <v>631</v>
      </c>
      <c r="K57" t="s">
        <v>1505</v>
      </c>
      <c r="L57" t="s">
        <v>184</v>
      </c>
      <c r="M57" t="s">
        <v>185</v>
      </c>
      <c r="N57" t="s">
        <v>184</v>
      </c>
      <c r="O57" t="s">
        <v>2730</v>
      </c>
      <c r="P57" t="s">
        <v>186</v>
      </c>
      <c r="Q57">
        <v>10012825</v>
      </c>
      <c r="R57" s="120">
        <v>43046</v>
      </c>
      <c r="S57" s="120">
        <v>43048</v>
      </c>
      <c r="T57" s="120">
        <v>43076</v>
      </c>
      <c r="U57" t="s">
        <v>2730</v>
      </c>
      <c r="V57" t="s">
        <v>196</v>
      </c>
      <c r="W57" t="s">
        <v>2730</v>
      </c>
      <c r="X57" t="s">
        <v>197</v>
      </c>
      <c r="Y57">
        <v>3</v>
      </c>
      <c r="Z57">
        <v>3</v>
      </c>
      <c r="AA57">
        <v>3</v>
      </c>
      <c r="AB57">
        <v>3</v>
      </c>
      <c r="AC57">
        <v>3</v>
      </c>
      <c r="AD57" t="s">
        <v>2730</v>
      </c>
      <c r="AE57" t="s">
        <v>2730</v>
      </c>
      <c r="AF57" t="s">
        <v>128</v>
      </c>
      <c r="AG57" t="s">
        <v>2730</v>
      </c>
      <c r="AH57" t="s">
        <v>2732</v>
      </c>
      <c r="AI57" t="s">
        <v>59</v>
      </c>
      <c r="AJ57" t="s">
        <v>59</v>
      </c>
      <c r="AK57" t="s">
        <v>59</v>
      </c>
      <c r="AL57" t="s">
        <v>59</v>
      </c>
      <c r="AM57" t="s">
        <v>59</v>
      </c>
      <c r="AN57" t="s">
        <v>59</v>
      </c>
      <c r="AO57" t="s">
        <v>59</v>
      </c>
      <c r="AP57" t="s">
        <v>59</v>
      </c>
      <c r="AQ57" t="s">
        <v>59</v>
      </c>
      <c r="AR57" t="s">
        <v>59</v>
      </c>
      <c r="AS57" t="s">
        <v>59</v>
      </c>
      <c r="AT57" t="s">
        <v>59</v>
      </c>
      <c r="AU57" t="s">
        <v>59</v>
      </c>
      <c r="AV57" t="s">
        <v>59</v>
      </c>
      <c r="AW57" t="s">
        <v>59</v>
      </c>
      <c r="AX57" t="s">
        <v>59</v>
      </c>
      <c r="AY57" t="s">
        <v>191</v>
      </c>
      <c r="AZ57" t="s">
        <v>59</v>
      </c>
      <c r="BA57" t="s">
        <v>59</v>
      </c>
      <c r="BB57" t="s">
        <v>59</v>
      </c>
      <c r="BC57" t="s">
        <v>59</v>
      </c>
      <c r="BD57" t="s">
        <v>59</v>
      </c>
      <c r="BE57" t="s">
        <v>59</v>
      </c>
      <c r="BF57" t="s">
        <v>59</v>
      </c>
      <c r="BG57" t="s">
        <v>191</v>
      </c>
      <c r="BH57" t="s">
        <v>191</v>
      </c>
      <c r="BI57" t="s">
        <v>59</v>
      </c>
      <c r="BJ57" t="s">
        <v>59</v>
      </c>
      <c r="BK57" t="s">
        <v>59</v>
      </c>
      <c r="BL57" t="s">
        <v>59</v>
      </c>
      <c r="BM57" t="s">
        <v>59</v>
      </c>
      <c r="BN57" t="s">
        <v>59</v>
      </c>
      <c r="BO57" t="s">
        <v>59</v>
      </c>
      <c r="BP57" t="s">
        <v>59</v>
      </c>
      <c r="BQ57" t="s">
        <v>59</v>
      </c>
      <c r="BR57" t="s">
        <v>59</v>
      </c>
      <c r="BS57" t="s">
        <v>59</v>
      </c>
      <c r="BT57" t="s">
        <v>59</v>
      </c>
      <c r="BU57" t="s">
        <v>59</v>
      </c>
      <c r="BV57" t="s">
        <v>59</v>
      </c>
      <c r="BW57" t="s">
        <v>59</v>
      </c>
      <c r="BX57" t="s">
        <v>59</v>
      </c>
      <c r="BY57" t="s">
        <v>59</v>
      </c>
      <c r="BZ57" t="s">
        <v>59</v>
      </c>
      <c r="CA57" t="s">
        <v>59</v>
      </c>
      <c r="CB57" t="s">
        <v>59</v>
      </c>
      <c r="CC57" t="s">
        <v>59</v>
      </c>
      <c r="CD57" t="s">
        <v>59</v>
      </c>
      <c r="CE57" t="s">
        <v>59</v>
      </c>
      <c r="CF57" t="s">
        <v>59</v>
      </c>
      <c r="CG57" t="s">
        <v>59</v>
      </c>
      <c r="CH57" t="s">
        <v>59</v>
      </c>
      <c r="CI57" t="s">
        <v>59</v>
      </c>
      <c r="CJ57" t="s">
        <v>59</v>
      </c>
      <c r="CK57" t="s">
        <v>59</v>
      </c>
      <c r="CL57" t="s">
        <v>59</v>
      </c>
      <c r="CM57" t="s">
        <v>59</v>
      </c>
      <c r="CN57" t="s">
        <v>59</v>
      </c>
      <c r="CO57" t="s">
        <v>59</v>
      </c>
      <c r="CP57" t="s">
        <v>191</v>
      </c>
      <c r="CQ57" t="s">
        <v>191</v>
      </c>
      <c r="CR57" t="s">
        <v>59</v>
      </c>
      <c r="CS57" t="s">
        <v>59</v>
      </c>
      <c r="CT57" t="s">
        <v>59</v>
      </c>
      <c r="CU57" t="s">
        <v>59</v>
      </c>
      <c r="CV57" t="s">
        <v>59</v>
      </c>
      <c r="CW57" t="s">
        <v>59</v>
      </c>
      <c r="CX57" t="s">
        <v>59</v>
      </c>
      <c r="CY57" t="s">
        <v>59</v>
      </c>
      <c r="CZ57" t="s">
        <v>59</v>
      </c>
      <c r="DA57" t="s">
        <v>59</v>
      </c>
      <c r="DB57" t="s">
        <v>59</v>
      </c>
      <c r="DC57" t="s">
        <v>59</v>
      </c>
      <c r="DD57" t="s">
        <v>59</v>
      </c>
      <c r="DE57" t="s">
        <v>59</v>
      </c>
      <c r="DF57" t="s">
        <v>59</v>
      </c>
      <c r="DG57" t="s">
        <v>59</v>
      </c>
      <c r="DH57" t="s">
        <v>59</v>
      </c>
      <c r="DI57" t="s">
        <v>59</v>
      </c>
      <c r="DJ57" t="s">
        <v>59</v>
      </c>
      <c r="DK57" t="s">
        <v>59</v>
      </c>
      <c r="DL57" t="s">
        <v>59</v>
      </c>
      <c r="DM57" t="s">
        <v>59</v>
      </c>
      <c r="DN57" t="s">
        <v>59</v>
      </c>
      <c r="DO57" t="s">
        <v>59</v>
      </c>
      <c r="DP57" t="s">
        <v>59</v>
      </c>
      <c r="DQ57" t="s">
        <v>59</v>
      </c>
      <c r="DR57" t="s">
        <v>59</v>
      </c>
      <c r="DS57" t="s">
        <v>59</v>
      </c>
      <c r="DT57" t="s">
        <v>59</v>
      </c>
      <c r="DU57" t="s">
        <v>59</v>
      </c>
      <c r="DV57" t="s">
        <v>59</v>
      </c>
      <c r="DW57" t="s">
        <v>59</v>
      </c>
      <c r="DX57" t="s">
        <v>59</v>
      </c>
      <c r="DY57" t="s">
        <v>59</v>
      </c>
      <c r="DZ57" t="s">
        <v>59</v>
      </c>
      <c r="EA57" t="s">
        <v>59</v>
      </c>
      <c r="EB57" t="s">
        <v>59</v>
      </c>
      <c r="EC57" t="s">
        <v>191</v>
      </c>
      <c r="ED57" t="s">
        <v>59</v>
      </c>
      <c r="EE57" t="s">
        <v>59</v>
      </c>
      <c r="EF57" t="s">
        <v>59</v>
      </c>
      <c r="EG57" t="s">
        <v>59</v>
      </c>
      <c r="EH57" t="s">
        <v>59</v>
      </c>
      <c r="EI57" t="s">
        <v>59</v>
      </c>
      <c r="EJ57" t="s">
        <v>59</v>
      </c>
      <c r="EK57" t="s">
        <v>59</v>
      </c>
      <c r="EL57" t="s">
        <v>59</v>
      </c>
      <c r="EM57" t="s">
        <v>59</v>
      </c>
      <c r="EN57" t="s">
        <v>59</v>
      </c>
      <c r="EO57" t="s">
        <v>59</v>
      </c>
      <c r="EP57" t="s">
        <v>59</v>
      </c>
      <c r="EQ57" t="s">
        <v>59</v>
      </c>
      <c r="ER57" t="s">
        <v>59</v>
      </c>
      <c r="ES57" t="s">
        <v>59</v>
      </c>
      <c r="ET57" t="s">
        <v>59</v>
      </c>
      <c r="EU57" t="s">
        <v>59</v>
      </c>
      <c r="EV57" t="s">
        <v>59</v>
      </c>
      <c r="EW57" t="s">
        <v>59</v>
      </c>
      <c r="EX57" t="s">
        <v>59</v>
      </c>
      <c r="EY57" t="s">
        <v>59</v>
      </c>
      <c r="EZ57" t="s">
        <v>59</v>
      </c>
      <c r="FA57" t="s">
        <v>59</v>
      </c>
      <c r="FB57" t="s">
        <v>59</v>
      </c>
      <c r="FC57" t="s">
        <v>59</v>
      </c>
      <c r="FD57" t="s">
        <v>59</v>
      </c>
      <c r="FE57" t="s">
        <v>59</v>
      </c>
      <c r="FF57" t="s">
        <v>59</v>
      </c>
      <c r="FG57" t="s">
        <v>59</v>
      </c>
      <c r="FH57" t="s">
        <v>59</v>
      </c>
      <c r="FI57" t="s">
        <v>59</v>
      </c>
      <c r="FJ57" t="s">
        <v>59</v>
      </c>
      <c r="FK57" t="s">
        <v>59</v>
      </c>
      <c r="FL57" t="s">
        <v>59</v>
      </c>
      <c r="FM57" t="s">
        <v>59</v>
      </c>
      <c r="FN57" t="s">
        <v>59</v>
      </c>
      <c r="FO57" t="s">
        <v>59</v>
      </c>
      <c r="FP57" t="s">
        <v>59</v>
      </c>
      <c r="FQ57" t="s">
        <v>59</v>
      </c>
      <c r="FR57" t="s">
        <v>59</v>
      </c>
      <c r="FS57" t="s">
        <v>59</v>
      </c>
      <c r="FT57" t="s">
        <v>59</v>
      </c>
      <c r="FU57" t="s">
        <v>59</v>
      </c>
      <c r="FV57" t="s">
        <v>59</v>
      </c>
      <c r="FW57" t="s">
        <v>59</v>
      </c>
      <c r="FX57" t="s">
        <v>59</v>
      </c>
      <c r="FY57" t="s">
        <v>59</v>
      </c>
      <c r="FZ57" t="s">
        <v>59</v>
      </c>
      <c r="GA57" t="s">
        <v>59</v>
      </c>
      <c r="GB57" t="s">
        <v>59</v>
      </c>
      <c r="GC57" t="s">
        <v>59</v>
      </c>
      <c r="GD57" t="s">
        <v>59</v>
      </c>
      <c r="GE57" t="s">
        <v>59</v>
      </c>
      <c r="GF57" t="s">
        <v>59</v>
      </c>
      <c r="GG57" t="s">
        <v>59</v>
      </c>
      <c r="GH57" t="s">
        <v>59</v>
      </c>
      <c r="GI57" t="s">
        <v>59</v>
      </c>
      <c r="GJ57" t="s">
        <v>59</v>
      </c>
      <c r="GK57" t="s">
        <v>191</v>
      </c>
      <c r="GL57" t="s">
        <v>59</v>
      </c>
      <c r="GM57" t="s">
        <v>59</v>
      </c>
      <c r="GN57" t="s">
        <v>59</v>
      </c>
      <c r="GO57" t="s">
        <v>59</v>
      </c>
      <c r="GP57" t="s">
        <v>59</v>
      </c>
      <c r="GQ57" t="s">
        <v>59</v>
      </c>
      <c r="GR57" t="s">
        <v>59</v>
      </c>
      <c r="GS57" t="s">
        <v>59</v>
      </c>
      <c r="GT57" t="s">
        <v>191</v>
      </c>
      <c r="GU57" t="s">
        <v>191</v>
      </c>
      <c r="GV57" t="s">
        <v>59</v>
      </c>
      <c r="GW57" t="s">
        <v>59</v>
      </c>
      <c r="GX57" t="s">
        <v>59</v>
      </c>
      <c r="GY57" t="s">
        <v>59</v>
      </c>
      <c r="GZ57" t="s">
        <v>59</v>
      </c>
      <c r="HA57" t="s">
        <v>59</v>
      </c>
      <c r="HB57" t="s">
        <v>191</v>
      </c>
      <c r="HC57" t="s">
        <v>59</v>
      </c>
      <c r="HD57" t="s">
        <v>59</v>
      </c>
      <c r="HE57" t="s">
        <v>59</v>
      </c>
      <c r="HF57" t="s">
        <v>191</v>
      </c>
      <c r="HG57" t="s">
        <v>59</v>
      </c>
      <c r="HH57" t="s">
        <v>59</v>
      </c>
      <c r="HI57" t="s">
        <v>59</v>
      </c>
      <c r="HJ57" t="s">
        <v>59</v>
      </c>
      <c r="HK57" t="s">
        <v>59</v>
      </c>
      <c r="HL57" t="s">
        <v>59</v>
      </c>
      <c r="HM57" t="s">
        <v>191</v>
      </c>
      <c r="HN57" t="s">
        <v>191</v>
      </c>
      <c r="HO57" t="s">
        <v>191</v>
      </c>
      <c r="HP57" t="s">
        <v>59</v>
      </c>
      <c r="HQ57" t="s">
        <v>59</v>
      </c>
      <c r="HR57" t="s">
        <v>59</v>
      </c>
      <c r="HS57" t="s">
        <v>59</v>
      </c>
      <c r="HT57" t="s">
        <v>59</v>
      </c>
      <c r="HU57" t="s">
        <v>59</v>
      </c>
      <c r="HV57" t="s">
        <v>59</v>
      </c>
      <c r="HW57" t="s">
        <v>59</v>
      </c>
      <c r="HX57" t="s">
        <v>59</v>
      </c>
      <c r="HY57" t="s">
        <v>59</v>
      </c>
      <c r="HZ57" t="s">
        <v>59</v>
      </c>
      <c r="IA57" t="s">
        <v>59</v>
      </c>
      <c r="IB57" t="s">
        <v>59</v>
      </c>
      <c r="IC57" t="s">
        <v>59</v>
      </c>
      <c r="ID57" t="s">
        <v>191</v>
      </c>
      <c r="IE57" t="s">
        <v>59</v>
      </c>
      <c r="IF57" t="s">
        <v>59</v>
      </c>
      <c r="IG57" t="s">
        <v>59</v>
      </c>
      <c r="IH57" t="s">
        <v>59</v>
      </c>
      <c r="II57" t="s">
        <v>59</v>
      </c>
      <c r="IJ57" t="s">
        <v>129</v>
      </c>
      <c r="IK57" t="s">
        <v>198</v>
      </c>
      <c r="IL57" t="s">
        <v>128</v>
      </c>
      <c r="IM57" t="s">
        <v>199</v>
      </c>
      <c r="IN57">
        <v>29</v>
      </c>
      <c r="IO57" t="s">
        <v>2730</v>
      </c>
      <c r="IP57">
        <v>3</v>
      </c>
      <c r="IQ57" t="s">
        <v>2730</v>
      </c>
      <c r="IR57">
        <v>15</v>
      </c>
      <c r="IS57" t="s">
        <v>2730</v>
      </c>
      <c r="IT57" t="s">
        <v>2730</v>
      </c>
      <c r="IU57" t="s">
        <v>2730</v>
      </c>
      <c r="IV57">
        <v>17</v>
      </c>
      <c r="IW57" t="s">
        <v>2730</v>
      </c>
      <c r="IX57">
        <v>2</v>
      </c>
      <c r="IY57" t="s">
        <v>2730</v>
      </c>
      <c r="IZ57">
        <v>58</v>
      </c>
      <c r="JA57" t="s">
        <v>2730</v>
      </c>
      <c r="JB57">
        <v>1</v>
      </c>
      <c r="JC57" t="s">
        <v>2730</v>
      </c>
      <c r="JD57">
        <v>25</v>
      </c>
      <c r="JE57" t="s">
        <v>2730</v>
      </c>
      <c r="JF57">
        <v>1</v>
      </c>
      <c r="JG57" t="s">
        <v>2730</v>
      </c>
      <c r="JH57">
        <v>23</v>
      </c>
      <c r="JI57" t="s">
        <v>2730</v>
      </c>
      <c r="JJ57">
        <v>7</v>
      </c>
      <c r="JK57" t="s">
        <v>2730</v>
      </c>
      <c r="JL57">
        <v>15</v>
      </c>
      <c r="JM57" t="s">
        <v>2730</v>
      </c>
      <c r="JN57" t="s">
        <v>2730</v>
      </c>
      <c r="JO57">
        <v>4</v>
      </c>
      <c r="JP57" t="s">
        <v>2730</v>
      </c>
      <c r="JQ57" t="s">
        <v>2730</v>
      </c>
    </row>
    <row r="58" spans="1:277">
      <c r="A58" s="149" t="str">
        <f>HYPERLINK("http://www.ofsted.gov.uk/inspection-reports/find-inspection-report/provider/ELS/136092 ","Ofsted School Webpage")</f>
        <v>Ofsted School Webpage</v>
      </c>
      <c r="B58">
        <v>1132689</v>
      </c>
      <c r="C58">
        <v>136092</v>
      </c>
      <c r="D58">
        <v>2036040</v>
      </c>
      <c r="E58" t="s">
        <v>481</v>
      </c>
      <c r="F58" t="s">
        <v>38</v>
      </c>
      <c r="G58" t="s">
        <v>180</v>
      </c>
      <c r="H58" t="s">
        <v>232</v>
      </c>
      <c r="I58" t="s">
        <v>232</v>
      </c>
      <c r="J58" t="s">
        <v>482</v>
      </c>
      <c r="K58" t="s">
        <v>483</v>
      </c>
      <c r="L58" t="s">
        <v>184</v>
      </c>
      <c r="M58" t="s">
        <v>185</v>
      </c>
      <c r="N58" t="s">
        <v>184</v>
      </c>
      <c r="O58" t="s">
        <v>2730</v>
      </c>
      <c r="P58" t="s">
        <v>186</v>
      </c>
      <c r="Q58">
        <v>10035808</v>
      </c>
      <c r="R58" s="120">
        <v>43025</v>
      </c>
      <c r="S58" s="120">
        <v>43027</v>
      </c>
      <c r="T58" s="120">
        <v>43063</v>
      </c>
      <c r="U58" t="s">
        <v>2730</v>
      </c>
      <c r="V58" t="s">
        <v>196</v>
      </c>
      <c r="W58" t="s">
        <v>2730</v>
      </c>
      <c r="X58" t="s">
        <v>197</v>
      </c>
      <c r="Y58">
        <v>2</v>
      </c>
      <c r="Z58">
        <v>2</v>
      </c>
      <c r="AA58">
        <v>2</v>
      </c>
      <c r="AB58">
        <v>2</v>
      </c>
      <c r="AC58">
        <v>2</v>
      </c>
      <c r="AD58" t="s">
        <v>2730</v>
      </c>
      <c r="AE58" t="s">
        <v>2730</v>
      </c>
      <c r="AF58" t="s">
        <v>128</v>
      </c>
      <c r="AG58" t="s">
        <v>2730</v>
      </c>
      <c r="AH58" t="s">
        <v>2732</v>
      </c>
      <c r="AI58" t="s">
        <v>59</v>
      </c>
      <c r="AJ58" t="s">
        <v>59</v>
      </c>
      <c r="AK58" t="s">
        <v>59</v>
      </c>
      <c r="AL58" t="s">
        <v>59</v>
      </c>
      <c r="AM58" t="s">
        <v>59</v>
      </c>
      <c r="AN58" t="s">
        <v>59</v>
      </c>
      <c r="AO58" t="s">
        <v>59</v>
      </c>
      <c r="AP58" t="s">
        <v>59</v>
      </c>
      <c r="AQ58" t="s">
        <v>59</v>
      </c>
      <c r="AR58" t="s">
        <v>59</v>
      </c>
      <c r="AS58" t="s">
        <v>59</v>
      </c>
      <c r="AT58" t="s">
        <v>59</v>
      </c>
      <c r="AU58" t="s">
        <v>59</v>
      </c>
      <c r="AV58" t="s">
        <v>59</v>
      </c>
      <c r="AW58" t="s">
        <v>59</v>
      </c>
      <c r="AX58" t="s">
        <v>59</v>
      </c>
      <c r="AY58" t="s">
        <v>218</v>
      </c>
      <c r="AZ58" t="s">
        <v>59</v>
      </c>
      <c r="BA58" t="s">
        <v>59</v>
      </c>
      <c r="BB58" t="s">
        <v>59</v>
      </c>
      <c r="BC58" t="s">
        <v>59</v>
      </c>
      <c r="BD58" t="s">
        <v>59</v>
      </c>
      <c r="BE58" t="s">
        <v>59</v>
      </c>
      <c r="BF58" t="s">
        <v>59</v>
      </c>
      <c r="BG58" t="s">
        <v>218</v>
      </c>
      <c r="BH58" t="s">
        <v>218</v>
      </c>
      <c r="BI58" t="s">
        <v>59</v>
      </c>
      <c r="BJ58" t="s">
        <v>59</v>
      </c>
      <c r="BK58" t="s">
        <v>59</v>
      </c>
      <c r="BL58" t="s">
        <v>59</v>
      </c>
      <c r="BM58" t="s">
        <v>59</v>
      </c>
      <c r="BN58" t="s">
        <v>59</v>
      </c>
      <c r="BO58" t="s">
        <v>59</v>
      </c>
      <c r="BP58" t="s">
        <v>59</v>
      </c>
      <c r="BQ58" t="s">
        <v>59</v>
      </c>
      <c r="BR58" t="s">
        <v>59</v>
      </c>
      <c r="BS58" t="s">
        <v>59</v>
      </c>
      <c r="BT58" t="s">
        <v>59</v>
      </c>
      <c r="BU58" t="s">
        <v>59</v>
      </c>
      <c r="BV58" t="s">
        <v>59</v>
      </c>
      <c r="BW58" t="s">
        <v>59</v>
      </c>
      <c r="BX58" t="s">
        <v>59</v>
      </c>
      <c r="BY58" t="s">
        <v>59</v>
      </c>
      <c r="BZ58" t="s">
        <v>59</v>
      </c>
      <c r="CA58" t="s">
        <v>59</v>
      </c>
      <c r="CB58" t="s">
        <v>59</v>
      </c>
      <c r="CC58" t="s">
        <v>59</v>
      </c>
      <c r="CD58" t="s">
        <v>59</v>
      </c>
      <c r="CE58" t="s">
        <v>59</v>
      </c>
      <c r="CF58" t="s">
        <v>59</v>
      </c>
      <c r="CG58" t="s">
        <v>59</v>
      </c>
      <c r="CH58" t="s">
        <v>59</v>
      </c>
      <c r="CI58" t="s">
        <v>59</v>
      </c>
      <c r="CJ58" t="s">
        <v>59</v>
      </c>
      <c r="CK58" t="s">
        <v>59</v>
      </c>
      <c r="CL58" t="s">
        <v>59</v>
      </c>
      <c r="CM58" t="s">
        <v>59</v>
      </c>
      <c r="CN58" t="s">
        <v>59</v>
      </c>
      <c r="CO58" t="s">
        <v>218</v>
      </c>
      <c r="CP58" t="s">
        <v>218</v>
      </c>
      <c r="CQ58" t="s">
        <v>218</v>
      </c>
      <c r="CR58" t="s">
        <v>59</v>
      </c>
      <c r="CS58" t="s">
        <v>59</v>
      </c>
      <c r="CT58" t="s">
        <v>59</v>
      </c>
      <c r="CU58" t="s">
        <v>59</v>
      </c>
      <c r="CV58" t="s">
        <v>59</v>
      </c>
      <c r="CW58" t="s">
        <v>59</v>
      </c>
      <c r="CX58" t="s">
        <v>59</v>
      </c>
      <c r="CY58" t="s">
        <v>59</v>
      </c>
      <c r="CZ58" t="s">
        <v>59</v>
      </c>
      <c r="DA58" t="s">
        <v>59</v>
      </c>
      <c r="DB58" t="s">
        <v>59</v>
      </c>
      <c r="DC58" t="s">
        <v>59</v>
      </c>
      <c r="DD58" t="s">
        <v>59</v>
      </c>
      <c r="DE58" t="s">
        <v>59</v>
      </c>
      <c r="DF58" t="s">
        <v>59</v>
      </c>
      <c r="DG58" t="s">
        <v>59</v>
      </c>
      <c r="DH58" t="s">
        <v>59</v>
      </c>
      <c r="DI58" t="s">
        <v>59</v>
      </c>
      <c r="DJ58" t="s">
        <v>59</v>
      </c>
      <c r="DK58" t="s">
        <v>59</v>
      </c>
      <c r="DL58" t="s">
        <v>59</v>
      </c>
      <c r="DM58" t="s">
        <v>59</v>
      </c>
      <c r="DN58" t="s">
        <v>59</v>
      </c>
      <c r="DO58" t="s">
        <v>218</v>
      </c>
      <c r="DP58" t="s">
        <v>59</v>
      </c>
      <c r="DQ58" t="s">
        <v>59</v>
      </c>
      <c r="DR58" t="s">
        <v>59</v>
      </c>
      <c r="DS58" t="s">
        <v>59</v>
      </c>
      <c r="DT58" t="s">
        <v>59</v>
      </c>
      <c r="DU58" t="s">
        <v>59</v>
      </c>
      <c r="DV58" t="s">
        <v>59</v>
      </c>
      <c r="DW58" t="s">
        <v>59</v>
      </c>
      <c r="DX58" t="s">
        <v>59</v>
      </c>
      <c r="DY58" t="s">
        <v>59</v>
      </c>
      <c r="DZ58" t="s">
        <v>59</v>
      </c>
      <c r="EA58" t="s">
        <v>59</v>
      </c>
      <c r="EB58" t="s">
        <v>59</v>
      </c>
      <c r="EC58" t="s">
        <v>218</v>
      </c>
      <c r="ED58" t="s">
        <v>59</v>
      </c>
      <c r="EE58" t="s">
        <v>218</v>
      </c>
      <c r="EF58" t="s">
        <v>218</v>
      </c>
      <c r="EG58" t="s">
        <v>218</v>
      </c>
      <c r="EH58" t="s">
        <v>218</v>
      </c>
      <c r="EI58" t="s">
        <v>218</v>
      </c>
      <c r="EJ58" t="s">
        <v>218</v>
      </c>
      <c r="EK58" t="s">
        <v>218</v>
      </c>
      <c r="EL58" t="s">
        <v>218</v>
      </c>
      <c r="EM58" t="s">
        <v>218</v>
      </c>
      <c r="EN58" t="s">
        <v>59</v>
      </c>
      <c r="EO58" t="s">
        <v>59</v>
      </c>
      <c r="EP58" t="s">
        <v>59</v>
      </c>
      <c r="EQ58" t="s">
        <v>59</v>
      </c>
      <c r="ER58" t="s">
        <v>59</v>
      </c>
      <c r="ES58" t="s">
        <v>59</v>
      </c>
      <c r="ET58" t="s">
        <v>59</v>
      </c>
      <c r="EU58" t="s">
        <v>59</v>
      </c>
      <c r="EV58" t="s">
        <v>59</v>
      </c>
      <c r="EW58" t="s">
        <v>59</v>
      </c>
      <c r="EX58" t="s">
        <v>59</v>
      </c>
      <c r="EY58" t="s">
        <v>59</v>
      </c>
      <c r="EZ58" t="s">
        <v>59</v>
      </c>
      <c r="FA58" t="s">
        <v>218</v>
      </c>
      <c r="FB58" t="s">
        <v>59</v>
      </c>
      <c r="FC58" t="s">
        <v>59</v>
      </c>
      <c r="FD58" t="s">
        <v>59</v>
      </c>
      <c r="FE58" t="s">
        <v>59</v>
      </c>
      <c r="FF58" t="s">
        <v>59</v>
      </c>
      <c r="FG58" t="s">
        <v>59</v>
      </c>
      <c r="FH58" t="s">
        <v>59</v>
      </c>
      <c r="FI58" t="s">
        <v>218</v>
      </c>
      <c r="FJ58" t="s">
        <v>191</v>
      </c>
      <c r="FK58" t="s">
        <v>218</v>
      </c>
      <c r="FL58" t="s">
        <v>59</v>
      </c>
      <c r="FM58" t="s">
        <v>59</v>
      </c>
      <c r="FN58" t="s">
        <v>59</v>
      </c>
      <c r="FO58" t="s">
        <v>59</v>
      </c>
      <c r="FP58" t="s">
        <v>59</v>
      </c>
      <c r="FQ58" t="s">
        <v>59</v>
      </c>
      <c r="FR58" t="s">
        <v>59</v>
      </c>
      <c r="FS58" t="s">
        <v>218</v>
      </c>
      <c r="FT58" t="s">
        <v>59</v>
      </c>
      <c r="FU58" t="s">
        <v>59</v>
      </c>
      <c r="FV58" t="s">
        <v>59</v>
      </c>
      <c r="FW58" t="s">
        <v>59</v>
      </c>
      <c r="FX58" t="s">
        <v>59</v>
      </c>
      <c r="FY58" t="s">
        <v>59</v>
      </c>
      <c r="FZ58" t="s">
        <v>59</v>
      </c>
      <c r="GA58" t="s">
        <v>59</v>
      </c>
      <c r="GB58" t="s">
        <v>59</v>
      </c>
      <c r="GC58" t="s">
        <v>59</v>
      </c>
      <c r="GD58" t="s">
        <v>59</v>
      </c>
      <c r="GE58" t="s">
        <v>59</v>
      </c>
      <c r="GF58" t="s">
        <v>59</v>
      </c>
      <c r="GG58" t="s">
        <v>59</v>
      </c>
      <c r="GH58" t="s">
        <v>59</v>
      </c>
      <c r="GI58" t="s">
        <v>59</v>
      </c>
      <c r="GJ58" t="s">
        <v>59</v>
      </c>
      <c r="GK58" t="s">
        <v>218</v>
      </c>
      <c r="GL58" t="s">
        <v>59</v>
      </c>
      <c r="GM58" t="s">
        <v>59</v>
      </c>
      <c r="GN58" t="s">
        <v>59</v>
      </c>
      <c r="GO58" t="s">
        <v>59</v>
      </c>
      <c r="GP58" t="s">
        <v>59</v>
      </c>
      <c r="GQ58" t="s">
        <v>218</v>
      </c>
      <c r="GR58" t="s">
        <v>59</v>
      </c>
      <c r="GS58" t="s">
        <v>59</v>
      </c>
      <c r="GT58" t="s">
        <v>59</v>
      </c>
      <c r="GU58" t="s">
        <v>59</v>
      </c>
      <c r="GV58" t="s">
        <v>59</v>
      </c>
      <c r="GW58" t="s">
        <v>59</v>
      </c>
      <c r="GX58" t="s">
        <v>59</v>
      </c>
      <c r="GY58" t="s">
        <v>59</v>
      </c>
      <c r="GZ58" t="s">
        <v>59</v>
      </c>
      <c r="HA58" t="s">
        <v>218</v>
      </c>
      <c r="HB58" t="s">
        <v>59</v>
      </c>
      <c r="HC58" t="s">
        <v>59</v>
      </c>
      <c r="HD58" t="s">
        <v>59</v>
      </c>
      <c r="HE58" t="s">
        <v>59</v>
      </c>
      <c r="HF58" t="s">
        <v>59</v>
      </c>
      <c r="HG58" t="s">
        <v>59</v>
      </c>
      <c r="HH58" t="s">
        <v>59</v>
      </c>
      <c r="HI58" t="s">
        <v>59</v>
      </c>
      <c r="HJ58" t="s">
        <v>59</v>
      </c>
      <c r="HK58" t="s">
        <v>59</v>
      </c>
      <c r="HL58" t="s">
        <v>218</v>
      </c>
      <c r="HM58" t="s">
        <v>218</v>
      </c>
      <c r="HN58" t="s">
        <v>218</v>
      </c>
      <c r="HO58" t="s">
        <v>218</v>
      </c>
      <c r="HP58" t="s">
        <v>59</v>
      </c>
      <c r="HQ58" t="s">
        <v>59</v>
      </c>
      <c r="HR58" t="s">
        <v>59</v>
      </c>
      <c r="HS58" t="s">
        <v>59</v>
      </c>
      <c r="HT58" t="s">
        <v>59</v>
      </c>
      <c r="HU58" t="s">
        <v>59</v>
      </c>
      <c r="HV58" t="s">
        <v>59</v>
      </c>
      <c r="HW58" t="s">
        <v>59</v>
      </c>
      <c r="HX58" t="s">
        <v>59</v>
      </c>
      <c r="HY58" t="s">
        <v>59</v>
      </c>
      <c r="HZ58" t="s">
        <v>59</v>
      </c>
      <c r="IA58" t="s">
        <v>59</v>
      </c>
      <c r="IB58" t="s">
        <v>59</v>
      </c>
      <c r="IC58" t="s">
        <v>59</v>
      </c>
      <c r="ID58" t="s">
        <v>59</v>
      </c>
      <c r="IE58" t="s">
        <v>59</v>
      </c>
      <c r="IF58" t="s">
        <v>59</v>
      </c>
      <c r="IG58" t="s">
        <v>59</v>
      </c>
      <c r="IH58" t="s">
        <v>59</v>
      </c>
      <c r="II58" t="s">
        <v>59</v>
      </c>
      <c r="IJ58" t="s">
        <v>128</v>
      </c>
      <c r="IK58" t="s">
        <v>129</v>
      </c>
      <c r="IL58" t="s">
        <v>128</v>
      </c>
      <c r="IM58" t="s">
        <v>199</v>
      </c>
      <c r="IN58">
        <v>29</v>
      </c>
      <c r="IO58" t="s">
        <v>2730</v>
      </c>
      <c r="IP58" t="s">
        <v>2730</v>
      </c>
      <c r="IQ58" t="s">
        <v>2730</v>
      </c>
      <c r="IR58">
        <v>15</v>
      </c>
      <c r="IS58" t="s">
        <v>2730</v>
      </c>
      <c r="IT58" t="s">
        <v>2730</v>
      </c>
      <c r="IU58" t="s">
        <v>2730</v>
      </c>
      <c r="IV58">
        <v>16</v>
      </c>
      <c r="IW58" t="s">
        <v>2730</v>
      </c>
      <c r="IX58" t="s">
        <v>2730</v>
      </c>
      <c r="IY58" t="s">
        <v>2730</v>
      </c>
      <c r="IZ58">
        <v>44</v>
      </c>
      <c r="JA58" t="s">
        <v>2730</v>
      </c>
      <c r="JB58">
        <v>1</v>
      </c>
      <c r="JC58" t="s">
        <v>2730</v>
      </c>
      <c r="JD58">
        <v>24</v>
      </c>
      <c r="JE58" t="s">
        <v>2730</v>
      </c>
      <c r="JF58" t="s">
        <v>2730</v>
      </c>
      <c r="JG58" t="s">
        <v>2730</v>
      </c>
      <c r="JH58">
        <v>24</v>
      </c>
      <c r="JI58" t="s">
        <v>2730</v>
      </c>
      <c r="JJ58" t="s">
        <v>2730</v>
      </c>
      <c r="JK58" t="s">
        <v>2730</v>
      </c>
      <c r="JL58">
        <v>16</v>
      </c>
      <c r="JM58" t="s">
        <v>2730</v>
      </c>
      <c r="JN58" t="s">
        <v>2730</v>
      </c>
      <c r="JO58">
        <v>4</v>
      </c>
      <c r="JP58" t="s">
        <v>2730</v>
      </c>
      <c r="JQ58" t="s">
        <v>2730</v>
      </c>
    </row>
    <row r="59" spans="1:277">
      <c r="A59" s="149" t="str">
        <f>HYPERLINK("http://www.ofsted.gov.uk/inspection-reports/find-inspection-report/provider/ELS/101080 ","Ofsted School Webpage")</f>
        <v>Ofsted School Webpage</v>
      </c>
      <c r="B59">
        <v>1133665</v>
      </c>
      <c r="C59">
        <v>101080</v>
      </c>
      <c r="D59">
        <v>2126383</v>
      </c>
      <c r="E59" t="s">
        <v>434</v>
      </c>
      <c r="F59" t="s">
        <v>37</v>
      </c>
      <c r="G59" t="s">
        <v>209</v>
      </c>
      <c r="H59" t="s">
        <v>232</v>
      </c>
      <c r="I59" t="s">
        <v>232</v>
      </c>
      <c r="J59" t="s">
        <v>435</v>
      </c>
      <c r="K59" t="s">
        <v>436</v>
      </c>
      <c r="L59" t="s">
        <v>184</v>
      </c>
      <c r="M59" t="s">
        <v>185</v>
      </c>
      <c r="N59" t="s">
        <v>184</v>
      </c>
      <c r="O59" t="s">
        <v>2730</v>
      </c>
      <c r="P59" t="s">
        <v>186</v>
      </c>
      <c r="Q59">
        <v>10008538</v>
      </c>
      <c r="R59" s="120">
        <v>43018</v>
      </c>
      <c r="S59" s="120">
        <v>43020</v>
      </c>
      <c r="T59" s="120">
        <v>43055</v>
      </c>
      <c r="U59" t="s">
        <v>2730</v>
      </c>
      <c r="V59" t="s">
        <v>196</v>
      </c>
      <c r="W59" t="s">
        <v>2730</v>
      </c>
      <c r="X59" t="s">
        <v>197</v>
      </c>
      <c r="Y59">
        <v>2</v>
      </c>
      <c r="Z59">
        <v>2</v>
      </c>
      <c r="AA59">
        <v>1</v>
      </c>
      <c r="AB59">
        <v>2</v>
      </c>
      <c r="AC59">
        <v>2</v>
      </c>
      <c r="AD59">
        <v>2</v>
      </c>
      <c r="AE59" t="s">
        <v>2730</v>
      </c>
      <c r="AF59" t="s">
        <v>128</v>
      </c>
      <c r="AG59" t="s">
        <v>2730</v>
      </c>
      <c r="AH59" t="s">
        <v>2732</v>
      </c>
      <c r="AI59" t="s">
        <v>59</v>
      </c>
      <c r="AJ59" t="s">
        <v>59</v>
      </c>
      <c r="AK59" t="s">
        <v>59</v>
      </c>
      <c r="AL59" t="s">
        <v>59</v>
      </c>
      <c r="AM59" t="s">
        <v>59</v>
      </c>
      <c r="AN59" t="s">
        <v>59</v>
      </c>
      <c r="AO59" t="s">
        <v>59</v>
      </c>
      <c r="AP59" t="s">
        <v>59</v>
      </c>
      <c r="AQ59" t="s">
        <v>59</v>
      </c>
      <c r="AR59" t="s">
        <v>59</v>
      </c>
      <c r="AS59" t="s">
        <v>59</v>
      </c>
      <c r="AT59" t="s">
        <v>59</v>
      </c>
      <c r="AU59" t="s">
        <v>59</v>
      </c>
      <c r="AV59" t="s">
        <v>59</v>
      </c>
      <c r="AW59" t="s">
        <v>59</v>
      </c>
      <c r="AX59" t="s">
        <v>59</v>
      </c>
      <c r="AY59" t="s">
        <v>59</v>
      </c>
      <c r="AZ59" t="s">
        <v>59</v>
      </c>
      <c r="BA59" t="s">
        <v>59</v>
      </c>
      <c r="BB59" t="s">
        <v>59</v>
      </c>
      <c r="BC59" t="s">
        <v>191</v>
      </c>
      <c r="BD59" t="s">
        <v>191</v>
      </c>
      <c r="BE59" t="s">
        <v>191</v>
      </c>
      <c r="BF59" t="s">
        <v>191</v>
      </c>
      <c r="BG59" t="s">
        <v>59</v>
      </c>
      <c r="BH59" t="s">
        <v>191</v>
      </c>
      <c r="BI59" t="s">
        <v>59</v>
      </c>
      <c r="BJ59" t="s">
        <v>59</v>
      </c>
      <c r="BK59" t="s">
        <v>59</v>
      </c>
      <c r="BL59" t="s">
        <v>59</v>
      </c>
      <c r="BM59" t="s">
        <v>59</v>
      </c>
      <c r="BN59" t="s">
        <v>59</v>
      </c>
      <c r="BO59" t="s">
        <v>59</v>
      </c>
      <c r="BP59" t="s">
        <v>59</v>
      </c>
      <c r="BQ59" t="s">
        <v>59</v>
      </c>
      <c r="BR59" t="s">
        <v>59</v>
      </c>
      <c r="BS59" t="s">
        <v>59</v>
      </c>
      <c r="BT59" t="s">
        <v>59</v>
      </c>
      <c r="BU59" t="s">
        <v>59</v>
      </c>
      <c r="BV59" t="s">
        <v>59</v>
      </c>
      <c r="BW59" t="s">
        <v>59</v>
      </c>
      <c r="BX59" t="s">
        <v>59</v>
      </c>
      <c r="BY59" t="s">
        <v>59</v>
      </c>
      <c r="BZ59" t="s">
        <v>59</v>
      </c>
      <c r="CA59" t="s">
        <v>59</v>
      </c>
      <c r="CB59" t="s">
        <v>59</v>
      </c>
      <c r="CC59" t="s">
        <v>59</v>
      </c>
      <c r="CD59" t="s">
        <v>59</v>
      </c>
      <c r="CE59" t="s">
        <v>59</v>
      </c>
      <c r="CF59" t="s">
        <v>59</v>
      </c>
      <c r="CG59" t="s">
        <v>59</v>
      </c>
      <c r="CH59" t="s">
        <v>59</v>
      </c>
      <c r="CI59" t="s">
        <v>59</v>
      </c>
      <c r="CJ59" t="s">
        <v>59</v>
      </c>
      <c r="CK59" t="s">
        <v>59</v>
      </c>
      <c r="CL59" t="s">
        <v>59</v>
      </c>
      <c r="CM59" t="s">
        <v>59</v>
      </c>
      <c r="CN59" t="s">
        <v>59</v>
      </c>
      <c r="CO59" t="s">
        <v>59</v>
      </c>
      <c r="CP59" t="s">
        <v>191</v>
      </c>
      <c r="CQ59" t="s">
        <v>191</v>
      </c>
      <c r="CR59" t="s">
        <v>59</v>
      </c>
      <c r="CS59" t="s">
        <v>59</v>
      </c>
      <c r="CT59" t="s">
        <v>59</v>
      </c>
      <c r="CU59" t="s">
        <v>59</v>
      </c>
      <c r="CV59" t="s">
        <v>59</v>
      </c>
      <c r="CW59" t="s">
        <v>59</v>
      </c>
      <c r="CX59" t="s">
        <v>59</v>
      </c>
      <c r="CY59" t="s">
        <v>59</v>
      </c>
      <c r="CZ59" t="s">
        <v>59</v>
      </c>
      <c r="DA59" t="s">
        <v>59</v>
      </c>
      <c r="DB59" t="s">
        <v>59</v>
      </c>
      <c r="DC59" t="s">
        <v>59</v>
      </c>
      <c r="DD59" t="s">
        <v>59</v>
      </c>
      <c r="DE59" t="s">
        <v>59</v>
      </c>
      <c r="DF59" t="s">
        <v>59</v>
      </c>
      <c r="DG59" t="s">
        <v>59</v>
      </c>
      <c r="DH59" t="s">
        <v>59</v>
      </c>
      <c r="DI59" t="s">
        <v>59</v>
      </c>
      <c r="DJ59" t="s">
        <v>59</v>
      </c>
      <c r="DK59" t="s">
        <v>59</v>
      </c>
      <c r="DL59" t="s">
        <v>59</v>
      </c>
      <c r="DM59" t="s">
        <v>59</v>
      </c>
      <c r="DN59" t="s">
        <v>59</v>
      </c>
      <c r="DO59" t="s">
        <v>191</v>
      </c>
      <c r="DP59" t="s">
        <v>59</v>
      </c>
      <c r="DQ59" t="s">
        <v>191</v>
      </c>
      <c r="DR59" t="s">
        <v>191</v>
      </c>
      <c r="DS59" t="s">
        <v>191</v>
      </c>
      <c r="DT59" t="s">
        <v>191</v>
      </c>
      <c r="DU59" t="s">
        <v>191</v>
      </c>
      <c r="DV59" t="s">
        <v>191</v>
      </c>
      <c r="DW59" t="s">
        <v>191</v>
      </c>
      <c r="DX59" t="s">
        <v>191</v>
      </c>
      <c r="DY59" t="s">
        <v>191</v>
      </c>
      <c r="DZ59" t="s">
        <v>191</v>
      </c>
      <c r="EA59" t="s">
        <v>191</v>
      </c>
      <c r="EB59" t="s">
        <v>191</v>
      </c>
      <c r="EC59" t="s">
        <v>191</v>
      </c>
      <c r="ED59" t="s">
        <v>191</v>
      </c>
      <c r="EE59" t="s">
        <v>59</v>
      </c>
      <c r="EF59" t="s">
        <v>59</v>
      </c>
      <c r="EG59" t="s">
        <v>59</v>
      </c>
      <c r="EH59" t="s">
        <v>59</v>
      </c>
      <c r="EI59" t="s">
        <v>59</v>
      </c>
      <c r="EJ59" t="s">
        <v>59</v>
      </c>
      <c r="EK59" t="s">
        <v>59</v>
      </c>
      <c r="EL59" t="s">
        <v>59</v>
      </c>
      <c r="EM59" t="s">
        <v>59</v>
      </c>
      <c r="EN59" t="s">
        <v>59</v>
      </c>
      <c r="EO59" t="s">
        <v>59</v>
      </c>
      <c r="EP59" t="s">
        <v>59</v>
      </c>
      <c r="EQ59" t="s">
        <v>59</v>
      </c>
      <c r="ER59" t="s">
        <v>59</v>
      </c>
      <c r="ES59" t="s">
        <v>59</v>
      </c>
      <c r="ET59" t="s">
        <v>59</v>
      </c>
      <c r="EU59" t="s">
        <v>59</v>
      </c>
      <c r="EV59" t="s">
        <v>59</v>
      </c>
      <c r="EW59" t="s">
        <v>59</v>
      </c>
      <c r="EX59" t="s">
        <v>59</v>
      </c>
      <c r="EY59" t="s">
        <v>59</v>
      </c>
      <c r="EZ59" t="s">
        <v>59</v>
      </c>
      <c r="FA59" t="s">
        <v>59</v>
      </c>
      <c r="FB59" t="s">
        <v>191</v>
      </c>
      <c r="FC59" t="s">
        <v>191</v>
      </c>
      <c r="FD59" t="s">
        <v>191</v>
      </c>
      <c r="FE59" t="s">
        <v>191</v>
      </c>
      <c r="FF59" t="s">
        <v>191</v>
      </c>
      <c r="FG59" t="s">
        <v>191</v>
      </c>
      <c r="FH59" t="s">
        <v>191</v>
      </c>
      <c r="FI59" t="s">
        <v>59</v>
      </c>
      <c r="FJ59" t="s">
        <v>59</v>
      </c>
      <c r="FK59" t="s">
        <v>59</v>
      </c>
      <c r="FL59" t="s">
        <v>59</v>
      </c>
      <c r="FM59" t="s">
        <v>59</v>
      </c>
      <c r="FN59" t="s">
        <v>59</v>
      </c>
      <c r="FO59" t="s">
        <v>59</v>
      </c>
      <c r="FP59" t="s">
        <v>59</v>
      </c>
      <c r="FQ59" t="s">
        <v>59</v>
      </c>
      <c r="FR59" t="s">
        <v>59</v>
      </c>
      <c r="FS59" t="s">
        <v>191</v>
      </c>
      <c r="FT59" t="s">
        <v>59</v>
      </c>
      <c r="FU59" t="s">
        <v>59</v>
      </c>
      <c r="FV59" t="s">
        <v>59</v>
      </c>
      <c r="FW59" t="s">
        <v>59</v>
      </c>
      <c r="FX59" t="s">
        <v>59</v>
      </c>
      <c r="FY59" t="s">
        <v>59</v>
      </c>
      <c r="FZ59" t="s">
        <v>59</v>
      </c>
      <c r="GA59" t="s">
        <v>59</v>
      </c>
      <c r="GB59" t="s">
        <v>59</v>
      </c>
      <c r="GC59" t="s">
        <v>59</v>
      </c>
      <c r="GD59" t="s">
        <v>59</v>
      </c>
      <c r="GE59" t="s">
        <v>59</v>
      </c>
      <c r="GF59" t="s">
        <v>59</v>
      </c>
      <c r="GG59" t="s">
        <v>59</v>
      </c>
      <c r="GH59" t="s">
        <v>59</v>
      </c>
      <c r="GI59" t="s">
        <v>59</v>
      </c>
      <c r="GJ59" t="s">
        <v>59</v>
      </c>
      <c r="GK59" t="s">
        <v>191</v>
      </c>
      <c r="GL59" t="s">
        <v>59</v>
      </c>
      <c r="GM59" t="s">
        <v>59</v>
      </c>
      <c r="GN59" t="s">
        <v>59</v>
      </c>
      <c r="GO59" t="s">
        <v>59</v>
      </c>
      <c r="GP59" t="s">
        <v>59</v>
      </c>
      <c r="GQ59" t="s">
        <v>191</v>
      </c>
      <c r="GR59" t="s">
        <v>59</v>
      </c>
      <c r="GS59" t="s">
        <v>59</v>
      </c>
      <c r="GT59" t="s">
        <v>59</v>
      </c>
      <c r="GU59" t="s">
        <v>191</v>
      </c>
      <c r="GV59" t="s">
        <v>59</v>
      </c>
      <c r="GW59" t="s">
        <v>59</v>
      </c>
      <c r="GX59" t="s">
        <v>59</v>
      </c>
      <c r="GY59" t="s">
        <v>59</v>
      </c>
      <c r="GZ59" t="s">
        <v>59</v>
      </c>
      <c r="HA59" t="s">
        <v>59</v>
      </c>
      <c r="HB59" t="s">
        <v>191</v>
      </c>
      <c r="HC59" t="s">
        <v>59</v>
      </c>
      <c r="HD59" t="s">
        <v>59</v>
      </c>
      <c r="HE59" t="s">
        <v>59</v>
      </c>
      <c r="HF59" t="s">
        <v>59</v>
      </c>
      <c r="HG59" t="s">
        <v>59</v>
      </c>
      <c r="HH59" t="s">
        <v>59</v>
      </c>
      <c r="HI59" t="s">
        <v>59</v>
      </c>
      <c r="HJ59" t="s">
        <v>59</v>
      </c>
      <c r="HK59" t="s">
        <v>59</v>
      </c>
      <c r="HL59" t="s">
        <v>59</v>
      </c>
      <c r="HM59" t="s">
        <v>191</v>
      </c>
      <c r="HN59" t="s">
        <v>191</v>
      </c>
      <c r="HO59" t="s">
        <v>191</v>
      </c>
      <c r="HP59" t="s">
        <v>59</v>
      </c>
      <c r="HQ59" t="s">
        <v>59</v>
      </c>
      <c r="HR59" t="s">
        <v>59</v>
      </c>
      <c r="HS59" t="s">
        <v>59</v>
      </c>
      <c r="HT59" t="s">
        <v>59</v>
      </c>
      <c r="HU59" t="s">
        <v>59</v>
      </c>
      <c r="HV59" t="s">
        <v>59</v>
      </c>
      <c r="HW59" t="s">
        <v>59</v>
      </c>
      <c r="HX59" t="s">
        <v>59</v>
      </c>
      <c r="HY59" t="s">
        <v>59</v>
      </c>
      <c r="HZ59" t="s">
        <v>59</v>
      </c>
      <c r="IA59" t="s">
        <v>59</v>
      </c>
      <c r="IB59" t="s">
        <v>59</v>
      </c>
      <c r="IC59" t="s">
        <v>59</v>
      </c>
      <c r="ID59" t="s">
        <v>59</v>
      </c>
      <c r="IE59" t="s">
        <v>59</v>
      </c>
      <c r="IF59" t="s">
        <v>59</v>
      </c>
      <c r="IG59" t="s">
        <v>59</v>
      </c>
      <c r="IH59" t="s">
        <v>59</v>
      </c>
      <c r="II59" t="s">
        <v>59</v>
      </c>
      <c r="IJ59" t="s">
        <v>129</v>
      </c>
      <c r="IK59" t="s">
        <v>198</v>
      </c>
      <c r="IL59" t="s">
        <v>128</v>
      </c>
      <c r="IM59" t="s">
        <v>199</v>
      </c>
      <c r="IN59">
        <v>27</v>
      </c>
      <c r="IO59" t="s">
        <v>2730</v>
      </c>
      <c r="IP59">
        <v>5</v>
      </c>
      <c r="IQ59" t="s">
        <v>2730</v>
      </c>
      <c r="IR59">
        <v>15</v>
      </c>
      <c r="IS59" t="s">
        <v>2730</v>
      </c>
      <c r="IT59" t="s">
        <v>2730</v>
      </c>
      <c r="IU59" t="s">
        <v>2730</v>
      </c>
      <c r="IV59">
        <v>17</v>
      </c>
      <c r="IW59" t="s">
        <v>2730</v>
      </c>
      <c r="IX59">
        <v>2</v>
      </c>
      <c r="IY59" t="s">
        <v>2730</v>
      </c>
      <c r="IZ59">
        <v>37</v>
      </c>
      <c r="JA59" t="s">
        <v>2730</v>
      </c>
      <c r="JB59">
        <v>22</v>
      </c>
      <c r="JC59" t="s">
        <v>2730</v>
      </c>
      <c r="JD59">
        <v>24</v>
      </c>
      <c r="JE59" t="s">
        <v>2730</v>
      </c>
      <c r="JF59">
        <v>2</v>
      </c>
      <c r="JG59" t="s">
        <v>2730</v>
      </c>
      <c r="JH59">
        <v>24</v>
      </c>
      <c r="JI59" t="s">
        <v>2730</v>
      </c>
      <c r="JJ59">
        <v>6</v>
      </c>
      <c r="JK59" t="s">
        <v>2730</v>
      </c>
      <c r="JL59">
        <v>16</v>
      </c>
      <c r="JM59" t="s">
        <v>2730</v>
      </c>
      <c r="JN59" t="s">
        <v>2730</v>
      </c>
      <c r="JO59">
        <v>4</v>
      </c>
      <c r="JP59" t="s">
        <v>2730</v>
      </c>
      <c r="JQ59" t="s">
        <v>2730</v>
      </c>
    </row>
    <row r="60" spans="1:277">
      <c r="A60" s="149" t="str">
        <f>HYPERLINK("http://www.ofsted.gov.uk/inspection-reports/find-inspection-report/provider/ELS/116546 ","Ofsted School Webpage")</f>
        <v>Ofsted School Webpage</v>
      </c>
      <c r="B60">
        <v>1133911</v>
      </c>
      <c r="C60">
        <v>116546</v>
      </c>
      <c r="D60">
        <v>8506029</v>
      </c>
      <c r="E60" t="s">
        <v>383</v>
      </c>
      <c r="F60" t="s">
        <v>37</v>
      </c>
      <c r="G60" t="s">
        <v>209</v>
      </c>
      <c r="H60" t="s">
        <v>181</v>
      </c>
      <c r="I60" t="s">
        <v>181</v>
      </c>
      <c r="J60" t="s">
        <v>201</v>
      </c>
      <c r="K60" t="s">
        <v>384</v>
      </c>
      <c r="L60" t="s">
        <v>184</v>
      </c>
      <c r="M60" t="s">
        <v>185</v>
      </c>
      <c r="N60" t="s">
        <v>184</v>
      </c>
      <c r="O60" t="s">
        <v>2730</v>
      </c>
      <c r="P60" t="s">
        <v>186</v>
      </c>
      <c r="Q60">
        <v>10025976</v>
      </c>
      <c r="R60" s="120">
        <v>43039</v>
      </c>
      <c r="S60" s="120">
        <v>43041</v>
      </c>
      <c r="T60" s="120">
        <v>43061</v>
      </c>
      <c r="U60" t="s">
        <v>2730</v>
      </c>
      <c r="V60" t="s">
        <v>196</v>
      </c>
      <c r="W60" t="s">
        <v>2730</v>
      </c>
      <c r="X60" t="s">
        <v>197</v>
      </c>
      <c r="Y60">
        <v>2</v>
      </c>
      <c r="Z60">
        <v>2</v>
      </c>
      <c r="AA60">
        <v>2</v>
      </c>
      <c r="AB60">
        <v>2</v>
      </c>
      <c r="AC60">
        <v>2</v>
      </c>
      <c r="AD60">
        <v>2</v>
      </c>
      <c r="AE60" t="s">
        <v>2730</v>
      </c>
      <c r="AF60" t="s">
        <v>128</v>
      </c>
      <c r="AG60" t="s">
        <v>2730</v>
      </c>
      <c r="AH60" t="s">
        <v>2732</v>
      </c>
      <c r="AI60" t="s">
        <v>59</v>
      </c>
      <c r="AJ60" t="s">
        <v>59</v>
      </c>
      <c r="AK60" t="s">
        <v>59</v>
      </c>
      <c r="AL60" t="s">
        <v>59</v>
      </c>
      <c r="AM60" t="s">
        <v>59</v>
      </c>
      <c r="AN60" t="s">
        <v>59</v>
      </c>
      <c r="AO60" t="s">
        <v>59</v>
      </c>
      <c r="AP60" t="s">
        <v>59</v>
      </c>
      <c r="AQ60" t="s">
        <v>59</v>
      </c>
      <c r="AR60" t="s">
        <v>59</v>
      </c>
      <c r="AS60" t="s">
        <v>59</v>
      </c>
      <c r="AT60" t="s">
        <v>59</v>
      </c>
      <c r="AU60" t="s">
        <v>59</v>
      </c>
      <c r="AV60" t="s">
        <v>59</v>
      </c>
      <c r="AW60" t="s">
        <v>59</v>
      </c>
      <c r="AX60" t="s">
        <v>59</v>
      </c>
      <c r="AY60" t="s">
        <v>218</v>
      </c>
      <c r="AZ60" t="s">
        <v>59</v>
      </c>
      <c r="BA60" t="s">
        <v>59</v>
      </c>
      <c r="BB60" t="s">
        <v>59</v>
      </c>
      <c r="BC60" t="s">
        <v>218</v>
      </c>
      <c r="BD60" t="s">
        <v>218</v>
      </c>
      <c r="BE60" t="s">
        <v>218</v>
      </c>
      <c r="BF60" t="s">
        <v>218</v>
      </c>
      <c r="BG60" t="s">
        <v>59</v>
      </c>
      <c r="BH60" t="s">
        <v>218</v>
      </c>
      <c r="BI60" t="s">
        <v>59</v>
      </c>
      <c r="BJ60" t="s">
        <v>59</v>
      </c>
      <c r="BK60" t="s">
        <v>59</v>
      </c>
      <c r="BL60" t="s">
        <v>59</v>
      </c>
      <c r="BM60" t="s">
        <v>59</v>
      </c>
      <c r="BN60" t="s">
        <v>59</v>
      </c>
      <c r="BO60" t="s">
        <v>59</v>
      </c>
      <c r="BP60" t="s">
        <v>59</v>
      </c>
      <c r="BQ60" t="s">
        <v>59</v>
      </c>
      <c r="BR60" t="s">
        <v>59</v>
      </c>
      <c r="BS60" t="s">
        <v>59</v>
      </c>
      <c r="BT60" t="s">
        <v>59</v>
      </c>
      <c r="BU60" t="s">
        <v>59</v>
      </c>
      <c r="BV60" t="s">
        <v>59</v>
      </c>
      <c r="BW60" t="s">
        <v>59</v>
      </c>
      <c r="BX60" t="s">
        <v>59</v>
      </c>
      <c r="BY60" t="s">
        <v>59</v>
      </c>
      <c r="BZ60" t="s">
        <v>59</v>
      </c>
      <c r="CA60" t="s">
        <v>59</v>
      </c>
      <c r="CB60" t="s">
        <v>59</v>
      </c>
      <c r="CC60" t="s">
        <v>59</v>
      </c>
      <c r="CD60" t="s">
        <v>59</v>
      </c>
      <c r="CE60" t="s">
        <v>59</v>
      </c>
      <c r="CF60" t="s">
        <v>59</v>
      </c>
      <c r="CG60" t="s">
        <v>59</v>
      </c>
      <c r="CH60" t="s">
        <v>59</v>
      </c>
      <c r="CI60" t="s">
        <v>59</v>
      </c>
      <c r="CJ60" t="s">
        <v>59</v>
      </c>
      <c r="CK60" t="s">
        <v>59</v>
      </c>
      <c r="CL60" t="s">
        <v>59</v>
      </c>
      <c r="CM60" t="s">
        <v>59</v>
      </c>
      <c r="CN60" t="s">
        <v>59</v>
      </c>
      <c r="CO60" t="s">
        <v>218</v>
      </c>
      <c r="CP60" t="s">
        <v>218</v>
      </c>
      <c r="CQ60" t="s">
        <v>218</v>
      </c>
      <c r="CR60" t="s">
        <v>59</v>
      </c>
      <c r="CS60" t="s">
        <v>59</v>
      </c>
      <c r="CT60" t="s">
        <v>59</v>
      </c>
      <c r="CU60" t="s">
        <v>59</v>
      </c>
      <c r="CV60" t="s">
        <v>59</v>
      </c>
      <c r="CW60" t="s">
        <v>59</v>
      </c>
      <c r="CX60" t="s">
        <v>59</v>
      </c>
      <c r="CY60" t="s">
        <v>59</v>
      </c>
      <c r="CZ60" t="s">
        <v>59</v>
      </c>
      <c r="DA60" t="s">
        <v>59</v>
      </c>
      <c r="DB60" t="s">
        <v>59</v>
      </c>
      <c r="DC60" t="s">
        <v>59</v>
      </c>
      <c r="DD60" t="s">
        <v>59</v>
      </c>
      <c r="DE60" t="s">
        <v>59</v>
      </c>
      <c r="DF60" t="s">
        <v>59</v>
      </c>
      <c r="DG60" t="s">
        <v>59</v>
      </c>
      <c r="DH60" t="s">
        <v>59</v>
      </c>
      <c r="DI60" t="s">
        <v>59</v>
      </c>
      <c r="DJ60" t="s">
        <v>59</v>
      </c>
      <c r="DK60" t="s">
        <v>59</v>
      </c>
      <c r="DL60" t="s">
        <v>59</v>
      </c>
      <c r="DM60" t="s">
        <v>59</v>
      </c>
      <c r="DN60" t="s">
        <v>59</v>
      </c>
      <c r="DO60" t="s">
        <v>218</v>
      </c>
      <c r="DP60" t="s">
        <v>59</v>
      </c>
      <c r="DQ60" t="s">
        <v>218</v>
      </c>
      <c r="DR60" t="s">
        <v>218</v>
      </c>
      <c r="DS60" t="s">
        <v>218</v>
      </c>
      <c r="DT60" t="s">
        <v>218</v>
      </c>
      <c r="DU60" t="s">
        <v>218</v>
      </c>
      <c r="DV60" t="s">
        <v>218</v>
      </c>
      <c r="DW60" t="s">
        <v>218</v>
      </c>
      <c r="DX60" t="s">
        <v>218</v>
      </c>
      <c r="DY60" t="s">
        <v>218</v>
      </c>
      <c r="DZ60" t="s">
        <v>218</v>
      </c>
      <c r="EA60" t="s">
        <v>218</v>
      </c>
      <c r="EB60" t="s">
        <v>218</v>
      </c>
      <c r="EC60" t="s">
        <v>218</v>
      </c>
      <c r="ED60" t="s">
        <v>218</v>
      </c>
      <c r="EE60" t="s">
        <v>59</v>
      </c>
      <c r="EF60" t="s">
        <v>59</v>
      </c>
      <c r="EG60" t="s">
        <v>59</v>
      </c>
      <c r="EH60" t="s">
        <v>59</v>
      </c>
      <c r="EI60" t="s">
        <v>59</v>
      </c>
      <c r="EJ60" t="s">
        <v>59</v>
      </c>
      <c r="EK60" t="s">
        <v>59</v>
      </c>
      <c r="EL60" t="s">
        <v>59</v>
      </c>
      <c r="EM60" t="s">
        <v>59</v>
      </c>
      <c r="EN60" t="s">
        <v>59</v>
      </c>
      <c r="EO60" t="s">
        <v>59</v>
      </c>
      <c r="EP60" t="s">
        <v>59</v>
      </c>
      <c r="EQ60" t="s">
        <v>59</v>
      </c>
      <c r="ER60" t="s">
        <v>59</v>
      </c>
      <c r="ES60" t="s">
        <v>59</v>
      </c>
      <c r="ET60" t="s">
        <v>59</v>
      </c>
      <c r="EU60" t="s">
        <v>59</v>
      </c>
      <c r="EV60" t="s">
        <v>59</v>
      </c>
      <c r="EW60" t="s">
        <v>59</v>
      </c>
      <c r="EX60" t="s">
        <v>59</v>
      </c>
      <c r="EY60" t="s">
        <v>59</v>
      </c>
      <c r="EZ60" t="s">
        <v>59</v>
      </c>
      <c r="FA60" t="s">
        <v>59</v>
      </c>
      <c r="FB60" t="s">
        <v>218</v>
      </c>
      <c r="FC60" t="s">
        <v>218</v>
      </c>
      <c r="FD60" t="s">
        <v>218</v>
      </c>
      <c r="FE60" t="s">
        <v>218</v>
      </c>
      <c r="FF60" t="s">
        <v>218</v>
      </c>
      <c r="FG60" t="s">
        <v>218</v>
      </c>
      <c r="FH60" t="s">
        <v>218</v>
      </c>
      <c r="FI60" t="s">
        <v>59</v>
      </c>
      <c r="FJ60" t="s">
        <v>59</v>
      </c>
      <c r="FK60" t="s">
        <v>59</v>
      </c>
      <c r="FL60" t="s">
        <v>59</v>
      </c>
      <c r="FM60" t="s">
        <v>59</v>
      </c>
      <c r="FN60" t="s">
        <v>59</v>
      </c>
      <c r="FO60" t="s">
        <v>218</v>
      </c>
      <c r="FP60" t="s">
        <v>59</v>
      </c>
      <c r="FQ60" t="s">
        <v>59</v>
      </c>
      <c r="FR60" t="s">
        <v>59</v>
      </c>
      <c r="FS60" t="s">
        <v>59</v>
      </c>
      <c r="FT60" t="s">
        <v>59</v>
      </c>
      <c r="FU60" t="s">
        <v>59</v>
      </c>
      <c r="FV60" t="s">
        <v>59</v>
      </c>
      <c r="FW60" t="s">
        <v>59</v>
      </c>
      <c r="FX60" t="s">
        <v>59</v>
      </c>
      <c r="FY60" t="s">
        <v>59</v>
      </c>
      <c r="FZ60" t="s">
        <v>59</v>
      </c>
      <c r="GA60" t="s">
        <v>59</v>
      </c>
      <c r="GB60" t="s">
        <v>59</v>
      </c>
      <c r="GC60" t="s">
        <v>59</v>
      </c>
      <c r="GD60" t="s">
        <v>59</v>
      </c>
      <c r="GE60" t="s">
        <v>59</v>
      </c>
      <c r="GF60" t="s">
        <v>59</v>
      </c>
      <c r="GG60" t="s">
        <v>59</v>
      </c>
      <c r="GH60" t="s">
        <v>59</v>
      </c>
      <c r="GI60" t="s">
        <v>59</v>
      </c>
      <c r="GJ60" t="s">
        <v>59</v>
      </c>
      <c r="GK60" t="s">
        <v>218</v>
      </c>
      <c r="GL60" t="s">
        <v>59</v>
      </c>
      <c r="GM60" t="s">
        <v>59</v>
      </c>
      <c r="GN60" t="s">
        <v>59</v>
      </c>
      <c r="GO60" t="s">
        <v>59</v>
      </c>
      <c r="GP60" t="s">
        <v>59</v>
      </c>
      <c r="GQ60" t="s">
        <v>59</v>
      </c>
      <c r="GR60" t="s">
        <v>59</v>
      </c>
      <c r="GS60" t="s">
        <v>59</v>
      </c>
      <c r="GT60" t="s">
        <v>218</v>
      </c>
      <c r="GU60" t="s">
        <v>59</v>
      </c>
      <c r="GV60" t="s">
        <v>59</v>
      </c>
      <c r="GW60" t="s">
        <v>59</v>
      </c>
      <c r="GX60" t="s">
        <v>59</v>
      </c>
      <c r="GY60" t="s">
        <v>59</v>
      </c>
      <c r="GZ60" t="s">
        <v>218</v>
      </c>
      <c r="HA60" t="s">
        <v>59</v>
      </c>
      <c r="HB60" t="s">
        <v>218</v>
      </c>
      <c r="HC60" t="s">
        <v>59</v>
      </c>
      <c r="HD60" t="s">
        <v>59</v>
      </c>
      <c r="HE60" t="s">
        <v>59</v>
      </c>
      <c r="HF60" t="s">
        <v>59</v>
      </c>
      <c r="HG60" t="s">
        <v>59</v>
      </c>
      <c r="HH60" t="s">
        <v>59</v>
      </c>
      <c r="HI60" t="s">
        <v>59</v>
      </c>
      <c r="HJ60" t="s">
        <v>59</v>
      </c>
      <c r="HK60" t="s">
        <v>59</v>
      </c>
      <c r="HL60" t="s">
        <v>218</v>
      </c>
      <c r="HM60" t="s">
        <v>218</v>
      </c>
      <c r="HN60" t="s">
        <v>218</v>
      </c>
      <c r="HO60" t="s">
        <v>218</v>
      </c>
      <c r="HP60" t="s">
        <v>59</v>
      </c>
      <c r="HQ60" t="s">
        <v>59</v>
      </c>
      <c r="HR60" t="s">
        <v>59</v>
      </c>
      <c r="HS60" t="s">
        <v>59</v>
      </c>
      <c r="HT60" t="s">
        <v>59</v>
      </c>
      <c r="HU60" t="s">
        <v>59</v>
      </c>
      <c r="HV60" t="s">
        <v>59</v>
      </c>
      <c r="HW60" t="s">
        <v>59</v>
      </c>
      <c r="HX60" t="s">
        <v>59</v>
      </c>
      <c r="HY60" t="s">
        <v>59</v>
      </c>
      <c r="HZ60" t="s">
        <v>59</v>
      </c>
      <c r="IA60" t="s">
        <v>59</v>
      </c>
      <c r="IB60" t="s">
        <v>59</v>
      </c>
      <c r="IC60" t="s">
        <v>59</v>
      </c>
      <c r="ID60" t="s">
        <v>59</v>
      </c>
      <c r="IE60" t="s">
        <v>59</v>
      </c>
      <c r="IF60" t="s">
        <v>59</v>
      </c>
      <c r="IG60" t="s">
        <v>59</v>
      </c>
      <c r="IH60" t="s">
        <v>59</v>
      </c>
      <c r="II60" t="s">
        <v>59</v>
      </c>
      <c r="IJ60" t="s">
        <v>129</v>
      </c>
      <c r="IK60" t="s">
        <v>191</v>
      </c>
      <c r="IL60" t="s">
        <v>128</v>
      </c>
      <c r="IM60" t="s">
        <v>199</v>
      </c>
      <c r="IN60">
        <v>26</v>
      </c>
      <c r="IO60" t="s">
        <v>2730</v>
      </c>
      <c r="IP60" t="s">
        <v>2730</v>
      </c>
      <c r="IQ60" t="s">
        <v>2730</v>
      </c>
      <c r="IR60">
        <v>15</v>
      </c>
      <c r="IS60" t="s">
        <v>2730</v>
      </c>
      <c r="IT60" t="s">
        <v>2730</v>
      </c>
      <c r="IU60" t="s">
        <v>2730</v>
      </c>
      <c r="IV60">
        <v>16</v>
      </c>
      <c r="IW60" t="s">
        <v>2730</v>
      </c>
      <c r="IX60" t="s">
        <v>2730</v>
      </c>
      <c r="IY60" t="s">
        <v>2730</v>
      </c>
      <c r="IZ60">
        <v>37</v>
      </c>
      <c r="JA60" t="s">
        <v>2730</v>
      </c>
      <c r="JB60" t="s">
        <v>2730</v>
      </c>
      <c r="JC60" t="s">
        <v>2730</v>
      </c>
      <c r="JD60">
        <v>24</v>
      </c>
      <c r="JE60" t="s">
        <v>2730</v>
      </c>
      <c r="JF60" t="s">
        <v>2730</v>
      </c>
      <c r="JG60" t="s">
        <v>2730</v>
      </c>
      <c r="JH60">
        <v>23</v>
      </c>
      <c r="JI60" t="s">
        <v>2730</v>
      </c>
      <c r="JJ60" t="s">
        <v>2730</v>
      </c>
      <c r="JK60" t="s">
        <v>2730</v>
      </c>
      <c r="JL60">
        <v>16</v>
      </c>
      <c r="JM60" t="s">
        <v>2730</v>
      </c>
      <c r="JN60" t="s">
        <v>2730</v>
      </c>
      <c r="JO60">
        <v>4</v>
      </c>
      <c r="JP60" t="s">
        <v>2730</v>
      </c>
      <c r="JQ60" t="s">
        <v>2730</v>
      </c>
    </row>
    <row r="61" spans="1:277">
      <c r="A61" s="149" t="str">
        <f>HYPERLINK("http://www.ofsted.gov.uk/inspection-reports/find-inspection-report/provider/ELS/138563 ","Ofsted School Webpage")</f>
        <v>Ofsted School Webpage</v>
      </c>
      <c r="B61">
        <v>1132590</v>
      </c>
      <c r="C61">
        <v>138563</v>
      </c>
      <c r="D61">
        <v>8036009</v>
      </c>
      <c r="E61" t="s">
        <v>1586</v>
      </c>
      <c r="F61" t="s">
        <v>38</v>
      </c>
      <c r="G61" t="s">
        <v>180</v>
      </c>
      <c r="H61" t="s">
        <v>225</v>
      </c>
      <c r="I61" t="s">
        <v>225</v>
      </c>
      <c r="J61" t="s">
        <v>614</v>
      </c>
      <c r="K61" t="s">
        <v>1587</v>
      </c>
      <c r="L61" t="s">
        <v>184</v>
      </c>
      <c r="M61" t="s">
        <v>185</v>
      </c>
      <c r="N61" t="s">
        <v>184</v>
      </c>
      <c r="O61" t="s">
        <v>2730</v>
      </c>
      <c r="P61" t="s">
        <v>186</v>
      </c>
      <c r="Q61">
        <v>10026043</v>
      </c>
      <c r="R61" s="120">
        <v>43053</v>
      </c>
      <c r="S61" s="120">
        <v>43055</v>
      </c>
      <c r="T61" s="120">
        <v>43077</v>
      </c>
      <c r="U61" t="s">
        <v>2730</v>
      </c>
      <c r="V61" t="s">
        <v>196</v>
      </c>
      <c r="W61" t="s">
        <v>2730</v>
      </c>
      <c r="X61" t="s">
        <v>197</v>
      </c>
      <c r="Y61">
        <v>2</v>
      </c>
      <c r="Z61">
        <v>2</v>
      </c>
      <c r="AA61">
        <v>2</v>
      </c>
      <c r="AB61">
        <v>2</v>
      </c>
      <c r="AC61">
        <v>2</v>
      </c>
      <c r="AD61" t="s">
        <v>2730</v>
      </c>
      <c r="AE61" t="s">
        <v>2730</v>
      </c>
      <c r="AF61" t="s">
        <v>128</v>
      </c>
      <c r="AG61" t="s">
        <v>2730</v>
      </c>
      <c r="AH61" t="s">
        <v>2732</v>
      </c>
      <c r="AI61" t="s">
        <v>59</v>
      </c>
      <c r="AJ61" t="s">
        <v>59</v>
      </c>
      <c r="AK61" t="s">
        <v>59</v>
      </c>
      <c r="AL61" t="s">
        <v>59</v>
      </c>
      <c r="AM61" t="s">
        <v>59</v>
      </c>
      <c r="AN61" t="s">
        <v>59</v>
      </c>
      <c r="AO61" t="s">
        <v>59</v>
      </c>
      <c r="AP61" t="s">
        <v>59</v>
      </c>
      <c r="AQ61" t="s">
        <v>59</v>
      </c>
      <c r="AR61" t="s">
        <v>59</v>
      </c>
      <c r="AS61" t="s">
        <v>59</v>
      </c>
      <c r="AT61" t="s">
        <v>59</v>
      </c>
      <c r="AU61" t="s">
        <v>59</v>
      </c>
      <c r="AV61" t="s">
        <v>59</v>
      </c>
      <c r="AW61" t="s">
        <v>59</v>
      </c>
      <c r="AX61" t="s">
        <v>59</v>
      </c>
      <c r="AY61" t="s">
        <v>59</v>
      </c>
      <c r="AZ61" t="s">
        <v>59</v>
      </c>
      <c r="BA61" t="s">
        <v>59</v>
      </c>
      <c r="BB61" t="s">
        <v>59</v>
      </c>
      <c r="BC61" t="s">
        <v>59</v>
      </c>
      <c r="BD61" t="s">
        <v>59</v>
      </c>
      <c r="BE61" t="s">
        <v>59</v>
      </c>
      <c r="BF61" t="s">
        <v>59</v>
      </c>
      <c r="BG61" t="s">
        <v>191</v>
      </c>
      <c r="BH61" t="s">
        <v>191</v>
      </c>
      <c r="BI61" t="s">
        <v>59</v>
      </c>
      <c r="BJ61" t="s">
        <v>59</v>
      </c>
      <c r="BK61" t="s">
        <v>59</v>
      </c>
      <c r="BL61" t="s">
        <v>59</v>
      </c>
      <c r="BM61" t="s">
        <v>59</v>
      </c>
      <c r="BN61" t="s">
        <v>59</v>
      </c>
      <c r="BO61" t="s">
        <v>59</v>
      </c>
      <c r="BP61" t="s">
        <v>59</v>
      </c>
      <c r="BQ61" t="s">
        <v>59</v>
      </c>
      <c r="BR61" t="s">
        <v>59</v>
      </c>
      <c r="BS61" t="s">
        <v>59</v>
      </c>
      <c r="BT61" t="s">
        <v>59</v>
      </c>
      <c r="BU61" t="s">
        <v>59</v>
      </c>
      <c r="BV61" t="s">
        <v>59</v>
      </c>
      <c r="BW61" t="s">
        <v>59</v>
      </c>
      <c r="BX61" t="s">
        <v>59</v>
      </c>
      <c r="BY61" t="s">
        <v>59</v>
      </c>
      <c r="BZ61" t="s">
        <v>59</v>
      </c>
      <c r="CA61" t="s">
        <v>59</v>
      </c>
      <c r="CB61" t="s">
        <v>59</v>
      </c>
      <c r="CC61" t="s">
        <v>59</v>
      </c>
      <c r="CD61" t="s">
        <v>59</v>
      </c>
      <c r="CE61" t="s">
        <v>59</v>
      </c>
      <c r="CF61" t="s">
        <v>59</v>
      </c>
      <c r="CG61" t="s">
        <v>59</v>
      </c>
      <c r="CH61" t="s">
        <v>59</v>
      </c>
      <c r="CI61" t="s">
        <v>59</v>
      </c>
      <c r="CJ61" t="s">
        <v>59</v>
      </c>
      <c r="CK61" t="s">
        <v>59</v>
      </c>
      <c r="CL61" t="s">
        <v>59</v>
      </c>
      <c r="CM61" t="s">
        <v>59</v>
      </c>
      <c r="CN61" t="s">
        <v>59</v>
      </c>
      <c r="CO61" t="s">
        <v>191</v>
      </c>
      <c r="CP61" t="s">
        <v>191</v>
      </c>
      <c r="CQ61" t="s">
        <v>191</v>
      </c>
      <c r="CR61" t="s">
        <v>59</v>
      </c>
      <c r="CS61" t="s">
        <v>59</v>
      </c>
      <c r="CT61" t="s">
        <v>59</v>
      </c>
      <c r="CU61" t="s">
        <v>59</v>
      </c>
      <c r="CV61" t="s">
        <v>59</v>
      </c>
      <c r="CW61" t="s">
        <v>59</v>
      </c>
      <c r="CX61" t="s">
        <v>59</v>
      </c>
      <c r="CY61" t="s">
        <v>59</v>
      </c>
      <c r="CZ61" t="s">
        <v>59</v>
      </c>
      <c r="DA61" t="s">
        <v>59</v>
      </c>
      <c r="DB61" t="s">
        <v>59</v>
      </c>
      <c r="DC61" t="s">
        <v>59</v>
      </c>
      <c r="DD61" t="s">
        <v>59</v>
      </c>
      <c r="DE61" t="s">
        <v>59</v>
      </c>
      <c r="DF61" t="s">
        <v>59</v>
      </c>
      <c r="DG61" t="s">
        <v>59</v>
      </c>
      <c r="DH61" t="s">
        <v>59</v>
      </c>
      <c r="DI61" t="s">
        <v>59</v>
      </c>
      <c r="DJ61" t="s">
        <v>59</v>
      </c>
      <c r="DK61" t="s">
        <v>59</v>
      </c>
      <c r="DL61" t="s">
        <v>59</v>
      </c>
      <c r="DM61" t="s">
        <v>59</v>
      </c>
      <c r="DN61" t="s">
        <v>59</v>
      </c>
      <c r="DO61" t="s">
        <v>191</v>
      </c>
      <c r="DP61" t="s">
        <v>59</v>
      </c>
      <c r="DQ61" t="s">
        <v>59</v>
      </c>
      <c r="DR61" t="s">
        <v>59</v>
      </c>
      <c r="DS61" t="s">
        <v>59</v>
      </c>
      <c r="DT61" t="s">
        <v>59</v>
      </c>
      <c r="DU61" t="s">
        <v>59</v>
      </c>
      <c r="DV61" t="s">
        <v>59</v>
      </c>
      <c r="DW61" t="s">
        <v>59</v>
      </c>
      <c r="DX61" t="s">
        <v>59</v>
      </c>
      <c r="DY61" t="s">
        <v>59</v>
      </c>
      <c r="DZ61" t="s">
        <v>59</v>
      </c>
      <c r="EA61" t="s">
        <v>59</v>
      </c>
      <c r="EB61" t="s">
        <v>59</v>
      </c>
      <c r="EC61" t="s">
        <v>191</v>
      </c>
      <c r="ED61" t="s">
        <v>59</v>
      </c>
      <c r="EE61" t="s">
        <v>59</v>
      </c>
      <c r="EF61" t="s">
        <v>59</v>
      </c>
      <c r="EG61" t="s">
        <v>59</v>
      </c>
      <c r="EH61" t="s">
        <v>59</v>
      </c>
      <c r="EI61" t="s">
        <v>59</v>
      </c>
      <c r="EJ61" t="s">
        <v>59</v>
      </c>
      <c r="EK61" t="s">
        <v>59</v>
      </c>
      <c r="EL61" t="s">
        <v>59</v>
      </c>
      <c r="EM61" t="s">
        <v>59</v>
      </c>
      <c r="EN61" t="s">
        <v>59</v>
      </c>
      <c r="EO61" t="s">
        <v>59</v>
      </c>
      <c r="EP61" t="s">
        <v>59</v>
      </c>
      <c r="EQ61" t="s">
        <v>59</v>
      </c>
      <c r="ER61" t="s">
        <v>59</v>
      </c>
      <c r="ES61" t="s">
        <v>59</v>
      </c>
      <c r="ET61" t="s">
        <v>59</v>
      </c>
      <c r="EU61" t="s">
        <v>59</v>
      </c>
      <c r="EV61" t="s">
        <v>59</v>
      </c>
      <c r="EW61" t="s">
        <v>59</v>
      </c>
      <c r="EX61" t="s">
        <v>59</v>
      </c>
      <c r="EY61" t="s">
        <v>59</v>
      </c>
      <c r="EZ61" t="s">
        <v>59</v>
      </c>
      <c r="FA61" t="s">
        <v>59</v>
      </c>
      <c r="FB61" t="s">
        <v>59</v>
      </c>
      <c r="FC61" t="s">
        <v>59</v>
      </c>
      <c r="FD61" t="s">
        <v>59</v>
      </c>
      <c r="FE61" t="s">
        <v>59</v>
      </c>
      <c r="FF61" t="s">
        <v>59</v>
      </c>
      <c r="FG61" t="s">
        <v>59</v>
      </c>
      <c r="FH61" t="s">
        <v>59</v>
      </c>
      <c r="FI61" t="s">
        <v>59</v>
      </c>
      <c r="FJ61" t="s">
        <v>59</v>
      </c>
      <c r="FK61" t="s">
        <v>59</v>
      </c>
      <c r="FL61" t="s">
        <v>59</v>
      </c>
      <c r="FM61" t="s">
        <v>59</v>
      </c>
      <c r="FN61" t="s">
        <v>59</v>
      </c>
      <c r="FO61" t="s">
        <v>59</v>
      </c>
      <c r="FP61" t="s">
        <v>59</v>
      </c>
      <c r="FQ61" t="s">
        <v>59</v>
      </c>
      <c r="FR61" t="s">
        <v>59</v>
      </c>
      <c r="FS61" t="s">
        <v>59</v>
      </c>
      <c r="FT61" t="s">
        <v>59</v>
      </c>
      <c r="FU61" t="s">
        <v>59</v>
      </c>
      <c r="FV61" t="s">
        <v>59</v>
      </c>
      <c r="FW61" t="s">
        <v>59</v>
      </c>
      <c r="FX61" t="s">
        <v>59</v>
      </c>
      <c r="FY61" t="s">
        <v>59</v>
      </c>
      <c r="FZ61" t="s">
        <v>59</v>
      </c>
      <c r="GA61" t="s">
        <v>59</v>
      </c>
      <c r="GB61" t="s">
        <v>59</v>
      </c>
      <c r="GC61" t="s">
        <v>59</v>
      </c>
      <c r="GD61" t="s">
        <v>59</v>
      </c>
      <c r="GE61" t="s">
        <v>59</v>
      </c>
      <c r="GF61" t="s">
        <v>59</v>
      </c>
      <c r="GG61" t="s">
        <v>59</v>
      </c>
      <c r="GH61" t="s">
        <v>59</v>
      </c>
      <c r="GI61" t="s">
        <v>59</v>
      </c>
      <c r="GJ61" t="s">
        <v>59</v>
      </c>
      <c r="GK61" t="s">
        <v>191</v>
      </c>
      <c r="GL61" t="s">
        <v>59</v>
      </c>
      <c r="GM61" t="s">
        <v>59</v>
      </c>
      <c r="GN61" t="s">
        <v>59</v>
      </c>
      <c r="GO61" t="s">
        <v>59</v>
      </c>
      <c r="GP61" t="s">
        <v>59</v>
      </c>
      <c r="GQ61" t="s">
        <v>191</v>
      </c>
      <c r="GR61" t="s">
        <v>59</v>
      </c>
      <c r="GS61" t="s">
        <v>59</v>
      </c>
      <c r="GT61" t="s">
        <v>59</v>
      </c>
      <c r="GU61" t="s">
        <v>59</v>
      </c>
      <c r="GV61" t="s">
        <v>59</v>
      </c>
      <c r="GW61" t="s">
        <v>59</v>
      </c>
      <c r="GX61" t="s">
        <v>59</v>
      </c>
      <c r="GY61" t="s">
        <v>59</v>
      </c>
      <c r="GZ61" t="s">
        <v>59</v>
      </c>
      <c r="HA61" t="s">
        <v>59</v>
      </c>
      <c r="HB61" t="s">
        <v>59</v>
      </c>
      <c r="HC61" t="s">
        <v>59</v>
      </c>
      <c r="HD61" t="s">
        <v>59</v>
      </c>
      <c r="HE61" t="s">
        <v>59</v>
      </c>
      <c r="HF61" t="s">
        <v>59</v>
      </c>
      <c r="HG61" t="s">
        <v>59</v>
      </c>
      <c r="HH61" t="s">
        <v>59</v>
      </c>
      <c r="HI61" t="s">
        <v>59</v>
      </c>
      <c r="HJ61" t="s">
        <v>59</v>
      </c>
      <c r="HK61" t="s">
        <v>59</v>
      </c>
      <c r="HL61" t="s">
        <v>59</v>
      </c>
      <c r="HM61" t="s">
        <v>59</v>
      </c>
      <c r="HN61" t="s">
        <v>59</v>
      </c>
      <c r="HO61" t="s">
        <v>59</v>
      </c>
      <c r="HP61" t="s">
        <v>59</v>
      </c>
      <c r="HQ61" t="s">
        <v>59</v>
      </c>
      <c r="HR61" t="s">
        <v>59</v>
      </c>
      <c r="HS61" t="s">
        <v>59</v>
      </c>
      <c r="HT61" t="s">
        <v>59</v>
      </c>
      <c r="HU61" t="s">
        <v>59</v>
      </c>
      <c r="HV61" t="s">
        <v>59</v>
      </c>
      <c r="HW61" t="s">
        <v>59</v>
      </c>
      <c r="HX61" t="s">
        <v>59</v>
      </c>
      <c r="HY61" t="s">
        <v>59</v>
      </c>
      <c r="HZ61" t="s">
        <v>59</v>
      </c>
      <c r="IA61" t="s">
        <v>59</v>
      </c>
      <c r="IB61" t="s">
        <v>59</v>
      </c>
      <c r="IC61" t="s">
        <v>59</v>
      </c>
      <c r="ID61" t="s">
        <v>59</v>
      </c>
      <c r="IE61" t="s">
        <v>59</v>
      </c>
      <c r="IF61" t="s">
        <v>59</v>
      </c>
      <c r="IG61" t="s">
        <v>59</v>
      </c>
      <c r="IH61" t="s">
        <v>59</v>
      </c>
      <c r="II61" t="s">
        <v>59</v>
      </c>
      <c r="IJ61" t="s">
        <v>129</v>
      </c>
      <c r="IK61" t="s">
        <v>198</v>
      </c>
      <c r="IL61" t="s">
        <v>128</v>
      </c>
      <c r="IM61" t="s">
        <v>199</v>
      </c>
      <c r="IN61">
        <v>30</v>
      </c>
      <c r="IO61" t="s">
        <v>2730</v>
      </c>
      <c r="IP61">
        <v>2</v>
      </c>
      <c r="IQ61" t="s">
        <v>2730</v>
      </c>
      <c r="IR61">
        <v>15</v>
      </c>
      <c r="IS61" t="s">
        <v>2730</v>
      </c>
      <c r="IT61" t="s">
        <v>2730</v>
      </c>
      <c r="IU61" t="s">
        <v>2730</v>
      </c>
      <c r="IV61">
        <v>16</v>
      </c>
      <c r="IW61" t="s">
        <v>2730</v>
      </c>
      <c r="IX61">
        <v>3</v>
      </c>
      <c r="IY61" t="s">
        <v>2730</v>
      </c>
      <c r="IZ61">
        <v>57</v>
      </c>
      <c r="JA61" t="s">
        <v>2730</v>
      </c>
      <c r="JB61">
        <v>2</v>
      </c>
      <c r="JC61" t="s">
        <v>2730</v>
      </c>
      <c r="JD61">
        <v>25</v>
      </c>
      <c r="JE61" t="s">
        <v>2730</v>
      </c>
      <c r="JF61">
        <v>1</v>
      </c>
      <c r="JG61" t="s">
        <v>2730</v>
      </c>
      <c r="JH61">
        <v>29</v>
      </c>
      <c r="JI61" t="s">
        <v>2730</v>
      </c>
      <c r="JJ61">
        <v>1</v>
      </c>
      <c r="JK61" t="s">
        <v>2730</v>
      </c>
      <c r="JL61">
        <v>16</v>
      </c>
      <c r="JM61" t="s">
        <v>2730</v>
      </c>
      <c r="JN61" t="s">
        <v>2730</v>
      </c>
      <c r="JO61">
        <v>4</v>
      </c>
      <c r="JP61" t="s">
        <v>2730</v>
      </c>
      <c r="JQ61" t="s">
        <v>2730</v>
      </c>
    </row>
    <row r="62" spans="1:277">
      <c r="A62" s="149" t="str">
        <f>HYPERLINK("http://www.ofsted.gov.uk/inspection-reports/find-inspection-report/provider/ELS/136236 ","Ofsted School Webpage")</f>
        <v>Ofsted School Webpage</v>
      </c>
      <c r="B62">
        <v>1131969</v>
      </c>
      <c r="C62">
        <v>136236</v>
      </c>
      <c r="D62">
        <v>8736028</v>
      </c>
      <c r="E62" t="s">
        <v>520</v>
      </c>
      <c r="F62" t="s">
        <v>38</v>
      </c>
      <c r="G62" t="s">
        <v>180</v>
      </c>
      <c r="H62" t="s">
        <v>220</v>
      </c>
      <c r="I62" t="s">
        <v>220</v>
      </c>
      <c r="J62" t="s">
        <v>284</v>
      </c>
      <c r="K62" t="s">
        <v>521</v>
      </c>
      <c r="L62" t="s">
        <v>184</v>
      </c>
      <c r="M62" t="s">
        <v>185</v>
      </c>
      <c r="N62" t="s">
        <v>184</v>
      </c>
      <c r="O62" t="s">
        <v>2730</v>
      </c>
      <c r="P62" t="s">
        <v>186</v>
      </c>
      <c r="Q62">
        <v>10038908</v>
      </c>
      <c r="R62" s="120">
        <v>43004</v>
      </c>
      <c r="S62" s="120">
        <v>43006</v>
      </c>
      <c r="T62" s="120">
        <v>43049</v>
      </c>
      <c r="U62" t="s">
        <v>2730</v>
      </c>
      <c r="V62" t="s">
        <v>3120</v>
      </c>
      <c r="W62" t="s">
        <v>2730</v>
      </c>
      <c r="X62" t="s">
        <v>197</v>
      </c>
      <c r="Y62">
        <v>3</v>
      </c>
      <c r="Z62">
        <v>3</v>
      </c>
      <c r="AA62">
        <v>3</v>
      </c>
      <c r="AB62">
        <v>3</v>
      </c>
      <c r="AC62">
        <v>3</v>
      </c>
      <c r="AD62" t="s">
        <v>2730</v>
      </c>
      <c r="AE62" t="s">
        <v>2730</v>
      </c>
      <c r="AF62" t="s">
        <v>128</v>
      </c>
      <c r="AG62" t="s">
        <v>2730</v>
      </c>
      <c r="AH62" t="s">
        <v>2733</v>
      </c>
      <c r="AI62" t="s">
        <v>59</v>
      </c>
      <c r="AJ62" t="s">
        <v>59</v>
      </c>
      <c r="AK62" t="s">
        <v>59</v>
      </c>
      <c r="AL62" t="s">
        <v>59</v>
      </c>
      <c r="AM62" t="s">
        <v>59</v>
      </c>
      <c r="AN62" t="s">
        <v>59</v>
      </c>
      <c r="AO62" t="s">
        <v>59</v>
      </c>
      <c r="AP62" t="s">
        <v>60</v>
      </c>
      <c r="AQ62" t="s">
        <v>59</v>
      </c>
      <c r="AR62" t="s">
        <v>59</v>
      </c>
      <c r="AS62" t="s">
        <v>59</v>
      </c>
      <c r="AT62" t="s">
        <v>59</v>
      </c>
      <c r="AU62" t="s">
        <v>59</v>
      </c>
      <c r="AV62" t="s">
        <v>59</v>
      </c>
      <c r="AW62" t="s">
        <v>59</v>
      </c>
      <c r="AX62" t="s">
        <v>59</v>
      </c>
      <c r="AY62" t="s">
        <v>59</v>
      </c>
      <c r="AZ62" t="s">
        <v>59</v>
      </c>
      <c r="BA62" t="s">
        <v>59</v>
      </c>
      <c r="BB62" t="s">
        <v>59</v>
      </c>
      <c r="BC62" t="s">
        <v>59</v>
      </c>
      <c r="BD62" t="s">
        <v>59</v>
      </c>
      <c r="BE62" t="s">
        <v>59</v>
      </c>
      <c r="BF62" t="s">
        <v>59</v>
      </c>
      <c r="BG62" t="s">
        <v>218</v>
      </c>
      <c r="BH62" t="s">
        <v>218</v>
      </c>
      <c r="BI62" t="s">
        <v>59</v>
      </c>
      <c r="BJ62" t="s">
        <v>59</v>
      </c>
      <c r="BK62" t="s">
        <v>59</v>
      </c>
      <c r="BL62" t="s">
        <v>59</v>
      </c>
      <c r="BM62" t="s">
        <v>59</v>
      </c>
      <c r="BN62" t="s">
        <v>59</v>
      </c>
      <c r="BO62" t="s">
        <v>59</v>
      </c>
      <c r="BP62" t="s">
        <v>59</v>
      </c>
      <c r="BQ62" t="s">
        <v>59</v>
      </c>
      <c r="BR62" t="s">
        <v>59</v>
      </c>
      <c r="BS62" t="s">
        <v>59</v>
      </c>
      <c r="BT62" t="s">
        <v>59</v>
      </c>
      <c r="BU62" t="s">
        <v>59</v>
      </c>
      <c r="BV62" t="s">
        <v>59</v>
      </c>
      <c r="BW62" t="s">
        <v>59</v>
      </c>
      <c r="BX62" t="s">
        <v>59</v>
      </c>
      <c r="BY62" t="s">
        <v>59</v>
      </c>
      <c r="BZ62" t="s">
        <v>59</v>
      </c>
      <c r="CA62" t="s">
        <v>59</v>
      </c>
      <c r="CB62" t="s">
        <v>59</v>
      </c>
      <c r="CC62" t="s">
        <v>59</v>
      </c>
      <c r="CD62" t="s">
        <v>59</v>
      </c>
      <c r="CE62" t="s">
        <v>59</v>
      </c>
      <c r="CF62" t="s">
        <v>59</v>
      </c>
      <c r="CG62" t="s">
        <v>59</v>
      </c>
      <c r="CH62" t="s">
        <v>59</v>
      </c>
      <c r="CI62" t="s">
        <v>59</v>
      </c>
      <c r="CJ62" t="s">
        <v>59</v>
      </c>
      <c r="CK62" t="s">
        <v>59</v>
      </c>
      <c r="CL62" t="s">
        <v>59</v>
      </c>
      <c r="CM62" t="s">
        <v>59</v>
      </c>
      <c r="CN62" t="s">
        <v>59</v>
      </c>
      <c r="CO62" t="s">
        <v>218</v>
      </c>
      <c r="CP62" t="s">
        <v>218</v>
      </c>
      <c r="CQ62" t="s">
        <v>218</v>
      </c>
      <c r="CR62" t="s">
        <v>59</v>
      </c>
      <c r="CS62" t="s">
        <v>59</v>
      </c>
      <c r="CT62" t="s">
        <v>59</v>
      </c>
      <c r="CU62" t="s">
        <v>59</v>
      </c>
      <c r="CV62" t="s">
        <v>59</v>
      </c>
      <c r="CW62" t="s">
        <v>59</v>
      </c>
      <c r="CX62" t="s">
        <v>59</v>
      </c>
      <c r="CY62" t="s">
        <v>59</v>
      </c>
      <c r="CZ62" t="s">
        <v>59</v>
      </c>
      <c r="DA62" t="s">
        <v>59</v>
      </c>
      <c r="DB62" t="s">
        <v>59</v>
      </c>
      <c r="DC62" t="s">
        <v>59</v>
      </c>
      <c r="DD62" t="s">
        <v>59</v>
      </c>
      <c r="DE62" t="s">
        <v>59</v>
      </c>
      <c r="DF62" t="s">
        <v>59</v>
      </c>
      <c r="DG62" t="s">
        <v>59</v>
      </c>
      <c r="DH62" t="s">
        <v>59</v>
      </c>
      <c r="DI62" t="s">
        <v>59</v>
      </c>
      <c r="DJ62" t="s">
        <v>59</v>
      </c>
      <c r="DK62" t="s">
        <v>59</v>
      </c>
      <c r="DL62" t="s">
        <v>59</v>
      </c>
      <c r="DM62" t="s">
        <v>59</v>
      </c>
      <c r="DN62" t="s">
        <v>218</v>
      </c>
      <c r="DO62" t="s">
        <v>218</v>
      </c>
      <c r="DP62" t="s">
        <v>59</v>
      </c>
      <c r="DQ62" t="s">
        <v>218</v>
      </c>
      <c r="DR62" t="s">
        <v>218</v>
      </c>
      <c r="DS62" t="s">
        <v>218</v>
      </c>
      <c r="DT62" t="s">
        <v>218</v>
      </c>
      <c r="DU62" t="s">
        <v>218</v>
      </c>
      <c r="DV62" t="s">
        <v>218</v>
      </c>
      <c r="DW62" t="s">
        <v>218</v>
      </c>
      <c r="DX62" t="s">
        <v>218</v>
      </c>
      <c r="DY62" t="s">
        <v>218</v>
      </c>
      <c r="DZ62" t="s">
        <v>218</v>
      </c>
      <c r="EA62" t="s">
        <v>218</v>
      </c>
      <c r="EB62" t="s">
        <v>218</v>
      </c>
      <c r="EC62" t="s">
        <v>218</v>
      </c>
      <c r="ED62" t="s">
        <v>218</v>
      </c>
      <c r="EE62" t="s">
        <v>59</v>
      </c>
      <c r="EF62" t="s">
        <v>59</v>
      </c>
      <c r="EG62" t="s">
        <v>59</v>
      </c>
      <c r="EH62" t="s">
        <v>59</v>
      </c>
      <c r="EI62" t="s">
        <v>59</v>
      </c>
      <c r="EJ62" t="s">
        <v>59</v>
      </c>
      <c r="EK62" t="s">
        <v>59</v>
      </c>
      <c r="EL62" t="s">
        <v>59</v>
      </c>
      <c r="EM62" t="s">
        <v>59</v>
      </c>
      <c r="EN62" t="s">
        <v>59</v>
      </c>
      <c r="EO62" t="s">
        <v>59</v>
      </c>
      <c r="EP62" t="s">
        <v>59</v>
      </c>
      <c r="EQ62" t="s">
        <v>59</v>
      </c>
      <c r="ER62" t="s">
        <v>59</v>
      </c>
      <c r="ES62" t="s">
        <v>59</v>
      </c>
      <c r="ET62" t="s">
        <v>59</v>
      </c>
      <c r="EU62" t="s">
        <v>59</v>
      </c>
      <c r="EV62" t="s">
        <v>59</v>
      </c>
      <c r="EW62" t="s">
        <v>59</v>
      </c>
      <c r="EX62" t="s">
        <v>59</v>
      </c>
      <c r="EY62" t="s">
        <v>59</v>
      </c>
      <c r="EZ62" t="s">
        <v>59</v>
      </c>
      <c r="FA62" t="s">
        <v>218</v>
      </c>
      <c r="FB62" t="s">
        <v>218</v>
      </c>
      <c r="FC62" t="s">
        <v>218</v>
      </c>
      <c r="FD62" t="s">
        <v>218</v>
      </c>
      <c r="FE62" t="s">
        <v>218</v>
      </c>
      <c r="FF62" t="s">
        <v>218</v>
      </c>
      <c r="FG62" t="s">
        <v>218</v>
      </c>
      <c r="FH62" t="s">
        <v>59</v>
      </c>
      <c r="FI62" t="s">
        <v>218</v>
      </c>
      <c r="FJ62" t="s">
        <v>59</v>
      </c>
      <c r="FK62" t="s">
        <v>59</v>
      </c>
      <c r="FL62" t="s">
        <v>59</v>
      </c>
      <c r="FM62" t="s">
        <v>59</v>
      </c>
      <c r="FN62" t="s">
        <v>59</v>
      </c>
      <c r="FO62" t="s">
        <v>59</v>
      </c>
      <c r="FP62" t="s">
        <v>60</v>
      </c>
      <c r="FQ62" t="s">
        <v>60</v>
      </c>
      <c r="FR62" t="s">
        <v>60</v>
      </c>
      <c r="FS62" t="s">
        <v>218</v>
      </c>
      <c r="FT62" t="s">
        <v>218</v>
      </c>
      <c r="FU62" t="s">
        <v>59</v>
      </c>
      <c r="FV62" t="s">
        <v>59</v>
      </c>
      <c r="FW62" t="s">
        <v>59</v>
      </c>
      <c r="FX62" t="s">
        <v>59</v>
      </c>
      <c r="FY62" t="s">
        <v>59</v>
      </c>
      <c r="FZ62" t="s">
        <v>59</v>
      </c>
      <c r="GA62" t="s">
        <v>59</v>
      </c>
      <c r="GB62" t="s">
        <v>59</v>
      </c>
      <c r="GC62" t="s">
        <v>59</v>
      </c>
      <c r="GD62" t="s">
        <v>59</v>
      </c>
      <c r="GE62" t="s">
        <v>59</v>
      </c>
      <c r="GF62" t="s">
        <v>59</v>
      </c>
      <c r="GG62" t="s">
        <v>59</v>
      </c>
      <c r="GH62" t="s">
        <v>59</v>
      </c>
      <c r="GI62" t="s">
        <v>59</v>
      </c>
      <c r="GJ62" t="s">
        <v>59</v>
      </c>
      <c r="GK62" t="s">
        <v>218</v>
      </c>
      <c r="GL62" t="s">
        <v>59</v>
      </c>
      <c r="GM62" t="s">
        <v>59</v>
      </c>
      <c r="GN62" t="s">
        <v>59</v>
      </c>
      <c r="GO62" t="s">
        <v>59</v>
      </c>
      <c r="GP62" t="s">
        <v>218</v>
      </c>
      <c r="GQ62" t="s">
        <v>218</v>
      </c>
      <c r="GR62" t="s">
        <v>59</v>
      </c>
      <c r="GS62" t="s">
        <v>59</v>
      </c>
      <c r="GT62" t="s">
        <v>59</v>
      </c>
      <c r="GU62" t="s">
        <v>59</v>
      </c>
      <c r="GV62" t="s">
        <v>218</v>
      </c>
      <c r="GW62" t="s">
        <v>59</v>
      </c>
      <c r="GX62" t="s">
        <v>59</v>
      </c>
      <c r="GY62" t="s">
        <v>59</v>
      </c>
      <c r="GZ62" t="s">
        <v>218</v>
      </c>
      <c r="HA62" t="s">
        <v>59</v>
      </c>
      <c r="HB62" t="s">
        <v>218</v>
      </c>
      <c r="HC62" t="s">
        <v>59</v>
      </c>
      <c r="HD62" t="s">
        <v>59</v>
      </c>
      <c r="HE62" t="s">
        <v>59</v>
      </c>
      <c r="HF62" t="s">
        <v>59</v>
      </c>
      <c r="HG62" t="s">
        <v>59</v>
      </c>
      <c r="HH62" t="s">
        <v>59</v>
      </c>
      <c r="HI62" t="s">
        <v>59</v>
      </c>
      <c r="HJ62" t="s">
        <v>59</v>
      </c>
      <c r="HK62" t="s">
        <v>218</v>
      </c>
      <c r="HL62" t="s">
        <v>218</v>
      </c>
      <c r="HM62" t="s">
        <v>218</v>
      </c>
      <c r="HN62" t="s">
        <v>218</v>
      </c>
      <c r="HO62" t="s">
        <v>218</v>
      </c>
      <c r="HP62" t="s">
        <v>59</v>
      </c>
      <c r="HQ62" t="s">
        <v>59</v>
      </c>
      <c r="HR62" t="s">
        <v>59</v>
      </c>
      <c r="HS62" t="s">
        <v>59</v>
      </c>
      <c r="HT62" t="s">
        <v>59</v>
      </c>
      <c r="HU62" t="s">
        <v>59</v>
      </c>
      <c r="HV62" t="s">
        <v>59</v>
      </c>
      <c r="HW62" t="s">
        <v>59</v>
      </c>
      <c r="HX62" t="s">
        <v>59</v>
      </c>
      <c r="HY62" t="s">
        <v>59</v>
      </c>
      <c r="HZ62" t="s">
        <v>59</v>
      </c>
      <c r="IA62" t="s">
        <v>59</v>
      </c>
      <c r="IB62" t="s">
        <v>59</v>
      </c>
      <c r="IC62" t="s">
        <v>59</v>
      </c>
      <c r="ID62" t="s">
        <v>59</v>
      </c>
      <c r="IE62" t="s">
        <v>59</v>
      </c>
      <c r="IF62" t="s">
        <v>60</v>
      </c>
      <c r="IG62" t="s">
        <v>60</v>
      </c>
      <c r="IH62" t="s">
        <v>60</v>
      </c>
      <c r="II62" t="s">
        <v>59</v>
      </c>
      <c r="IJ62" t="s">
        <v>129</v>
      </c>
      <c r="IK62" t="s">
        <v>191</v>
      </c>
      <c r="IL62" t="s">
        <v>128</v>
      </c>
      <c r="IM62" t="s">
        <v>199</v>
      </c>
      <c r="IN62">
        <v>30</v>
      </c>
      <c r="IO62" t="s">
        <v>2730</v>
      </c>
      <c r="IP62" t="s">
        <v>2730</v>
      </c>
      <c r="IQ62" t="s">
        <v>2730</v>
      </c>
      <c r="IR62">
        <v>15</v>
      </c>
      <c r="IS62" t="s">
        <v>2730</v>
      </c>
      <c r="IT62" t="s">
        <v>2730</v>
      </c>
      <c r="IU62" t="s">
        <v>2730</v>
      </c>
      <c r="IV62">
        <v>16</v>
      </c>
      <c r="IW62" t="s">
        <v>2730</v>
      </c>
      <c r="IX62" t="s">
        <v>2730</v>
      </c>
      <c r="IY62" t="s">
        <v>2730</v>
      </c>
      <c r="IZ62">
        <v>35</v>
      </c>
      <c r="JA62" t="s">
        <v>2730</v>
      </c>
      <c r="JB62" t="s">
        <v>2730</v>
      </c>
      <c r="JC62" t="s">
        <v>2730</v>
      </c>
      <c r="JD62">
        <v>20</v>
      </c>
      <c r="JE62" t="s">
        <v>2730</v>
      </c>
      <c r="JF62" t="s">
        <v>2730</v>
      </c>
      <c r="JG62">
        <v>3</v>
      </c>
      <c r="JH62">
        <v>20</v>
      </c>
      <c r="JI62" t="s">
        <v>2730</v>
      </c>
      <c r="JJ62" t="s">
        <v>2730</v>
      </c>
      <c r="JK62" t="s">
        <v>2730</v>
      </c>
      <c r="JL62">
        <v>16</v>
      </c>
      <c r="JM62" t="s">
        <v>2730</v>
      </c>
      <c r="JN62" t="s">
        <v>2730</v>
      </c>
      <c r="JO62">
        <v>1</v>
      </c>
      <c r="JP62" t="s">
        <v>2730</v>
      </c>
      <c r="JQ62">
        <v>3</v>
      </c>
    </row>
    <row r="63" spans="1:277">
      <c r="A63" s="149" t="str">
        <f>HYPERLINK("http://www.ofsted.gov.uk/inspection-reports/find-inspection-report/provider/ELS/143539 ","Ofsted School Webpage")</f>
        <v>Ofsted School Webpage</v>
      </c>
      <c r="B63">
        <v>1246147</v>
      </c>
      <c r="C63">
        <v>143539</v>
      </c>
      <c r="D63">
        <v>8786067</v>
      </c>
      <c r="E63" t="s">
        <v>496</v>
      </c>
      <c r="F63" t="s">
        <v>38</v>
      </c>
      <c r="G63" t="s">
        <v>180</v>
      </c>
      <c r="H63" t="s">
        <v>225</v>
      </c>
      <c r="I63" t="s">
        <v>225</v>
      </c>
      <c r="J63" t="s">
        <v>367</v>
      </c>
      <c r="K63" t="s">
        <v>497</v>
      </c>
      <c r="L63" t="s">
        <v>184</v>
      </c>
      <c r="M63" t="s">
        <v>185</v>
      </c>
      <c r="N63" t="s">
        <v>184</v>
      </c>
      <c r="O63" t="s">
        <v>2730</v>
      </c>
      <c r="P63" t="s">
        <v>186</v>
      </c>
      <c r="Q63">
        <v>10033897</v>
      </c>
      <c r="R63" s="120">
        <v>42997</v>
      </c>
      <c r="S63" s="120">
        <v>42999</v>
      </c>
      <c r="T63" s="120">
        <v>43045</v>
      </c>
      <c r="U63" t="s">
        <v>2730</v>
      </c>
      <c r="V63" t="s">
        <v>249</v>
      </c>
      <c r="W63" t="s">
        <v>2730</v>
      </c>
      <c r="X63" t="s">
        <v>197</v>
      </c>
      <c r="Y63">
        <v>4</v>
      </c>
      <c r="Z63">
        <v>4</v>
      </c>
      <c r="AA63">
        <v>3</v>
      </c>
      <c r="AB63">
        <v>3</v>
      </c>
      <c r="AC63">
        <v>3</v>
      </c>
      <c r="AD63" t="s">
        <v>2730</v>
      </c>
      <c r="AE63" t="s">
        <v>2730</v>
      </c>
      <c r="AF63" t="s">
        <v>129</v>
      </c>
      <c r="AG63" t="s">
        <v>2730</v>
      </c>
      <c r="AH63" t="s">
        <v>2733</v>
      </c>
      <c r="AI63" t="s">
        <v>59</v>
      </c>
      <c r="AJ63" t="s">
        <v>60</v>
      </c>
      <c r="AK63" t="s">
        <v>60</v>
      </c>
      <c r="AL63" t="s">
        <v>60</v>
      </c>
      <c r="AM63" t="s">
        <v>60</v>
      </c>
      <c r="AN63" t="s">
        <v>60</v>
      </c>
      <c r="AO63" t="s">
        <v>59</v>
      </c>
      <c r="AP63" t="s">
        <v>60</v>
      </c>
      <c r="AQ63" t="s">
        <v>59</v>
      </c>
      <c r="AR63" t="s">
        <v>59</v>
      </c>
      <c r="AS63" t="s">
        <v>59</v>
      </c>
      <c r="AT63" t="s">
        <v>59</v>
      </c>
      <c r="AU63" t="s">
        <v>59</v>
      </c>
      <c r="AV63" t="s">
        <v>59</v>
      </c>
      <c r="AW63" t="s">
        <v>59</v>
      </c>
      <c r="AX63" t="s">
        <v>59</v>
      </c>
      <c r="AY63" t="s">
        <v>59</v>
      </c>
      <c r="AZ63" t="s">
        <v>59</v>
      </c>
      <c r="BA63" t="s">
        <v>59</v>
      </c>
      <c r="BB63" t="s">
        <v>59</v>
      </c>
      <c r="BC63" t="s">
        <v>59</v>
      </c>
      <c r="BD63" t="s">
        <v>59</v>
      </c>
      <c r="BE63" t="s">
        <v>59</v>
      </c>
      <c r="BF63" t="s">
        <v>59</v>
      </c>
      <c r="BG63" t="s">
        <v>191</v>
      </c>
      <c r="BH63" t="s">
        <v>191</v>
      </c>
      <c r="BI63" t="s">
        <v>59</v>
      </c>
      <c r="BJ63" t="s">
        <v>59</v>
      </c>
      <c r="BK63" t="s">
        <v>59</v>
      </c>
      <c r="BL63" t="s">
        <v>59</v>
      </c>
      <c r="BM63" t="s">
        <v>59</v>
      </c>
      <c r="BN63" t="s">
        <v>59</v>
      </c>
      <c r="BO63" t="s">
        <v>59</v>
      </c>
      <c r="BP63" t="s">
        <v>59</v>
      </c>
      <c r="BQ63" t="s">
        <v>59</v>
      </c>
      <c r="BR63" t="s">
        <v>59</v>
      </c>
      <c r="BS63" t="s">
        <v>59</v>
      </c>
      <c r="BT63" t="s">
        <v>59</v>
      </c>
      <c r="BU63" t="s">
        <v>59</v>
      </c>
      <c r="BV63" t="s">
        <v>59</v>
      </c>
      <c r="BW63" t="s">
        <v>60</v>
      </c>
      <c r="BX63" t="s">
        <v>60</v>
      </c>
      <c r="BY63" t="s">
        <v>60</v>
      </c>
      <c r="BZ63" t="s">
        <v>59</v>
      </c>
      <c r="CA63" t="s">
        <v>59</v>
      </c>
      <c r="CB63" t="s">
        <v>59</v>
      </c>
      <c r="CC63" t="s">
        <v>59</v>
      </c>
      <c r="CD63" t="s">
        <v>60</v>
      </c>
      <c r="CE63" t="s">
        <v>59</v>
      </c>
      <c r="CF63" t="s">
        <v>60</v>
      </c>
      <c r="CG63" t="s">
        <v>59</v>
      </c>
      <c r="CH63" t="s">
        <v>59</v>
      </c>
      <c r="CI63" t="s">
        <v>59</v>
      </c>
      <c r="CJ63" t="s">
        <v>59</v>
      </c>
      <c r="CK63" t="s">
        <v>59</v>
      </c>
      <c r="CL63" t="s">
        <v>60</v>
      </c>
      <c r="CM63" t="s">
        <v>60</v>
      </c>
      <c r="CN63" t="s">
        <v>60</v>
      </c>
      <c r="CO63" t="s">
        <v>191</v>
      </c>
      <c r="CP63" t="s">
        <v>191</v>
      </c>
      <c r="CQ63" t="s">
        <v>191</v>
      </c>
      <c r="CR63" t="s">
        <v>59</v>
      </c>
      <c r="CS63" t="s">
        <v>59</v>
      </c>
      <c r="CT63" t="s">
        <v>59</v>
      </c>
      <c r="CU63" t="s">
        <v>59</v>
      </c>
      <c r="CV63" t="s">
        <v>59</v>
      </c>
      <c r="CW63" t="s">
        <v>59</v>
      </c>
      <c r="CX63" t="s">
        <v>59</v>
      </c>
      <c r="CY63" t="s">
        <v>59</v>
      </c>
      <c r="CZ63" t="s">
        <v>59</v>
      </c>
      <c r="DA63" t="s">
        <v>59</v>
      </c>
      <c r="DB63" t="s">
        <v>59</v>
      </c>
      <c r="DC63" t="s">
        <v>59</v>
      </c>
      <c r="DD63" t="s">
        <v>59</v>
      </c>
      <c r="DE63" t="s">
        <v>60</v>
      </c>
      <c r="DF63" t="s">
        <v>59</v>
      </c>
      <c r="DG63" t="s">
        <v>59</v>
      </c>
      <c r="DH63" t="s">
        <v>60</v>
      </c>
      <c r="DI63" t="s">
        <v>59</v>
      </c>
      <c r="DJ63" t="s">
        <v>60</v>
      </c>
      <c r="DK63" t="s">
        <v>59</v>
      </c>
      <c r="DL63" t="s">
        <v>191</v>
      </c>
      <c r="DM63" t="s">
        <v>59</v>
      </c>
      <c r="DN63" t="s">
        <v>191</v>
      </c>
      <c r="DO63" t="s">
        <v>191</v>
      </c>
      <c r="DP63" t="s">
        <v>59</v>
      </c>
      <c r="DQ63" t="s">
        <v>191</v>
      </c>
      <c r="DR63" t="s">
        <v>191</v>
      </c>
      <c r="DS63" t="s">
        <v>191</v>
      </c>
      <c r="DT63" t="s">
        <v>191</v>
      </c>
      <c r="DU63" t="s">
        <v>191</v>
      </c>
      <c r="DV63" t="s">
        <v>191</v>
      </c>
      <c r="DW63" t="s">
        <v>191</v>
      </c>
      <c r="DX63" t="s">
        <v>191</v>
      </c>
      <c r="DY63" t="s">
        <v>191</v>
      </c>
      <c r="DZ63" t="s">
        <v>191</v>
      </c>
      <c r="EA63" t="s">
        <v>191</v>
      </c>
      <c r="EB63" t="s">
        <v>191</v>
      </c>
      <c r="EC63" t="s">
        <v>191</v>
      </c>
      <c r="ED63" t="s">
        <v>191</v>
      </c>
      <c r="EE63" t="s">
        <v>60</v>
      </c>
      <c r="EF63" t="s">
        <v>60</v>
      </c>
      <c r="EG63" t="s">
        <v>60</v>
      </c>
      <c r="EH63" t="s">
        <v>60</v>
      </c>
      <c r="EI63" t="s">
        <v>60</v>
      </c>
      <c r="EJ63" t="s">
        <v>60</v>
      </c>
      <c r="EK63" t="s">
        <v>60</v>
      </c>
      <c r="EL63" t="s">
        <v>60</v>
      </c>
      <c r="EM63" t="s">
        <v>59</v>
      </c>
      <c r="EN63" t="s">
        <v>59</v>
      </c>
      <c r="EO63" t="s">
        <v>59</v>
      </c>
      <c r="EP63" t="s">
        <v>59</v>
      </c>
      <c r="EQ63" t="s">
        <v>59</v>
      </c>
      <c r="ER63" t="s">
        <v>59</v>
      </c>
      <c r="ES63" t="s">
        <v>59</v>
      </c>
      <c r="ET63" t="s">
        <v>59</v>
      </c>
      <c r="EU63" t="s">
        <v>59</v>
      </c>
      <c r="EV63" t="s">
        <v>59</v>
      </c>
      <c r="EW63" t="s">
        <v>59</v>
      </c>
      <c r="EX63" t="s">
        <v>59</v>
      </c>
      <c r="EY63" t="s">
        <v>59</v>
      </c>
      <c r="EZ63" t="s">
        <v>59</v>
      </c>
      <c r="FA63" t="s">
        <v>191</v>
      </c>
      <c r="FB63" t="s">
        <v>191</v>
      </c>
      <c r="FC63" t="s">
        <v>191</v>
      </c>
      <c r="FD63" t="s">
        <v>191</v>
      </c>
      <c r="FE63" t="s">
        <v>191</v>
      </c>
      <c r="FF63" t="s">
        <v>191</v>
      </c>
      <c r="FG63" t="s">
        <v>191</v>
      </c>
      <c r="FH63" t="s">
        <v>60</v>
      </c>
      <c r="FI63" t="s">
        <v>60</v>
      </c>
      <c r="FJ63" t="s">
        <v>60</v>
      </c>
      <c r="FK63" t="s">
        <v>60</v>
      </c>
      <c r="FL63" t="s">
        <v>60</v>
      </c>
      <c r="FM63" t="s">
        <v>60</v>
      </c>
      <c r="FN63" t="s">
        <v>59</v>
      </c>
      <c r="FO63" t="s">
        <v>59</v>
      </c>
      <c r="FP63" t="s">
        <v>60</v>
      </c>
      <c r="FQ63" t="s">
        <v>60</v>
      </c>
      <c r="FR63" t="s">
        <v>60</v>
      </c>
      <c r="FS63" t="s">
        <v>191</v>
      </c>
      <c r="FT63" t="s">
        <v>59</v>
      </c>
      <c r="FU63" t="s">
        <v>59</v>
      </c>
      <c r="FV63" t="s">
        <v>59</v>
      </c>
      <c r="FW63" t="s">
        <v>60</v>
      </c>
      <c r="FX63" t="s">
        <v>59</v>
      </c>
      <c r="FY63" t="s">
        <v>60</v>
      </c>
      <c r="FZ63" t="s">
        <v>59</v>
      </c>
      <c r="GA63" t="s">
        <v>59</v>
      </c>
      <c r="GB63" t="s">
        <v>59</v>
      </c>
      <c r="GC63" t="s">
        <v>59</v>
      </c>
      <c r="GD63" t="s">
        <v>59</v>
      </c>
      <c r="GE63" t="s">
        <v>59</v>
      </c>
      <c r="GF63" t="s">
        <v>59</v>
      </c>
      <c r="GG63" t="s">
        <v>59</v>
      </c>
      <c r="GH63" t="s">
        <v>59</v>
      </c>
      <c r="GI63" t="s">
        <v>59</v>
      </c>
      <c r="GJ63" t="s">
        <v>59</v>
      </c>
      <c r="GK63" t="s">
        <v>191</v>
      </c>
      <c r="GL63" t="s">
        <v>60</v>
      </c>
      <c r="GM63" t="s">
        <v>59</v>
      </c>
      <c r="GN63" t="s">
        <v>59</v>
      </c>
      <c r="GO63" t="s">
        <v>59</v>
      </c>
      <c r="GP63" t="s">
        <v>191</v>
      </c>
      <c r="GQ63" t="s">
        <v>191</v>
      </c>
      <c r="GR63" t="s">
        <v>59</v>
      </c>
      <c r="GS63" t="s">
        <v>59</v>
      </c>
      <c r="GT63" t="s">
        <v>59</v>
      </c>
      <c r="GU63" t="s">
        <v>59</v>
      </c>
      <c r="GV63" t="s">
        <v>191</v>
      </c>
      <c r="GW63" t="s">
        <v>59</v>
      </c>
      <c r="GX63" t="s">
        <v>59</v>
      </c>
      <c r="GY63" t="s">
        <v>59</v>
      </c>
      <c r="GZ63" t="s">
        <v>191</v>
      </c>
      <c r="HA63" t="s">
        <v>59</v>
      </c>
      <c r="HB63" t="s">
        <v>191</v>
      </c>
      <c r="HC63" t="s">
        <v>59</v>
      </c>
      <c r="HD63" t="s">
        <v>60</v>
      </c>
      <c r="HE63" t="s">
        <v>60</v>
      </c>
      <c r="HF63" t="s">
        <v>59</v>
      </c>
      <c r="HG63" t="s">
        <v>60</v>
      </c>
      <c r="HH63" t="s">
        <v>60</v>
      </c>
      <c r="HI63" t="s">
        <v>59</v>
      </c>
      <c r="HJ63" t="s">
        <v>59</v>
      </c>
      <c r="HK63" t="s">
        <v>191</v>
      </c>
      <c r="HL63" t="s">
        <v>191</v>
      </c>
      <c r="HM63" t="s">
        <v>191</v>
      </c>
      <c r="HN63" t="s">
        <v>191</v>
      </c>
      <c r="HO63" t="s">
        <v>191</v>
      </c>
      <c r="HP63" t="s">
        <v>59</v>
      </c>
      <c r="HQ63" t="s">
        <v>59</v>
      </c>
      <c r="HR63" t="s">
        <v>59</v>
      </c>
      <c r="HS63" t="s">
        <v>59</v>
      </c>
      <c r="HT63" t="s">
        <v>59</v>
      </c>
      <c r="HU63" t="s">
        <v>59</v>
      </c>
      <c r="HV63" t="s">
        <v>59</v>
      </c>
      <c r="HW63" t="s">
        <v>59</v>
      </c>
      <c r="HX63" t="s">
        <v>59</v>
      </c>
      <c r="HY63" t="s">
        <v>59</v>
      </c>
      <c r="HZ63" t="s">
        <v>59</v>
      </c>
      <c r="IA63" t="s">
        <v>59</v>
      </c>
      <c r="IB63" t="s">
        <v>59</v>
      </c>
      <c r="IC63" t="s">
        <v>59</v>
      </c>
      <c r="ID63" t="s">
        <v>59</v>
      </c>
      <c r="IE63" t="s">
        <v>59</v>
      </c>
      <c r="IF63" t="s">
        <v>60</v>
      </c>
      <c r="IG63" t="s">
        <v>60</v>
      </c>
      <c r="IH63" t="s">
        <v>60</v>
      </c>
      <c r="II63" t="s">
        <v>60</v>
      </c>
      <c r="IJ63" t="s">
        <v>129</v>
      </c>
      <c r="IK63" t="s">
        <v>198</v>
      </c>
      <c r="IL63" t="s">
        <v>128</v>
      </c>
      <c r="IM63" t="s">
        <v>199</v>
      </c>
      <c r="IN63">
        <v>30</v>
      </c>
      <c r="IO63" t="s">
        <v>2730</v>
      </c>
      <c r="IP63">
        <v>2</v>
      </c>
      <c r="IQ63" t="s">
        <v>2730</v>
      </c>
      <c r="IR63">
        <v>10</v>
      </c>
      <c r="IS63" t="s">
        <v>2730</v>
      </c>
      <c r="IT63" t="s">
        <v>2730</v>
      </c>
      <c r="IU63">
        <v>5</v>
      </c>
      <c r="IV63">
        <v>13</v>
      </c>
      <c r="IW63" t="s">
        <v>2730</v>
      </c>
      <c r="IX63">
        <v>3</v>
      </c>
      <c r="IY63">
        <v>3</v>
      </c>
      <c r="IZ63">
        <v>20</v>
      </c>
      <c r="JA63" t="s">
        <v>2730</v>
      </c>
      <c r="JB63">
        <v>24</v>
      </c>
      <c r="JC63">
        <v>15</v>
      </c>
      <c r="JD63">
        <v>17</v>
      </c>
      <c r="JE63" t="s">
        <v>2730</v>
      </c>
      <c r="JF63">
        <v>2</v>
      </c>
      <c r="JG63">
        <v>7</v>
      </c>
      <c r="JH63">
        <v>15</v>
      </c>
      <c r="JI63" t="s">
        <v>2730</v>
      </c>
      <c r="JJ63">
        <v>10</v>
      </c>
      <c r="JK63">
        <v>5</v>
      </c>
      <c r="JL63">
        <v>16</v>
      </c>
      <c r="JM63" t="s">
        <v>2730</v>
      </c>
      <c r="JN63" t="s">
        <v>2730</v>
      </c>
      <c r="JO63" t="s">
        <v>2730</v>
      </c>
      <c r="JP63" t="s">
        <v>2730</v>
      </c>
      <c r="JQ63">
        <v>4</v>
      </c>
    </row>
    <row r="64" spans="1:277">
      <c r="A64" s="149" t="str">
        <f>HYPERLINK("http://www.ofsted.gov.uk/inspection-reports/find-inspection-report/provider/ELS/131015 ","Ofsted School Webpage")</f>
        <v>Ofsted School Webpage</v>
      </c>
      <c r="B64">
        <v>1133663</v>
      </c>
      <c r="C64">
        <v>131015</v>
      </c>
      <c r="D64">
        <v>3526053</v>
      </c>
      <c r="E64" t="s">
        <v>489</v>
      </c>
      <c r="F64" t="s">
        <v>37</v>
      </c>
      <c r="G64" t="s">
        <v>209</v>
      </c>
      <c r="H64" t="s">
        <v>205</v>
      </c>
      <c r="I64" t="s">
        <v>205</v>
      </c>
      <c r="J64" t="s">
        <v>306</v>
      </c>
      <c r="K64" t="s">
        <v>490</v>
      </c>
      <c r="L64" t="s">
        <v>184</v>
      </c>
      <c r="M64" t="s">
        <v>185</v>
      </c>
      <c r="N64" t="s">
        <v>318</v>
      </c>
      <c r="O64" t="s">
        <v>2730</v>
      </c>
      <c r="P64" t="s">
        <v>186</v>
      </c>
      <c r="Q64">
        <v>10034025</v>
      </c>
      <c r="R64" s="120">
        <v>42990</v>
      </c>
      <c r="S64" s="120">
        <v>42992</v>
      </c>
      <c r="T64" s="120">
        <v>43032</v>
      </c>
      <c r="U64" t="s">
        <v>2730</v>
      </c>
      <c r="V64" t="s">
        <v>196</v>
      </c>
      <c r="W64" t="s">
        <v>2730</v>
      </c>
      <c r="X64" t="s">
        <v>197</v>
      </c>
      <c r="Y64">
        <v>2</v>
      </c>
      <c r="Z64">
        <v>2</v>
      </c>
      <c r="AA64">
        <v>2</v>
      </c>
      <c r="AB64">
        <v>2</v>
      </c>
      <c r="AC64">
        <v>2</v>
      </c>
      <c r="AD64" t="s">
        <v>2730</v>
      </c>
      <c r="AE64" t="s">
        <v>2730</v>
      </c>
      <c r="AF64" t="s">
        <v>128</v>
      </c>
      <c r="AG64" t="s">
        <v>2730</v>
      </c>
      <c r="AH64" t="s">
        <v>2732</v>
      </c>
      <c r="AI64" t="s">
        <v>59</v>
      </c>
      <c r="AJ64" t="s">
        <v>59</v>
      </c>
      <c r="AK64" t="s">
        <v>59</v>
      </c>
      <c r="AL64" t="s">
        <v>59</v>
      </c>
      <c r="AM64" t="s">
        <v>59</v>
      </c>
      <c r="AN64" t="s">
        <v>59</v>
      </c>
      <c r="AO64" t="s">
        <v>59</v>
      </c>
      <c r="AP64" t="s">
        <v>59</v>
      </c>
      <c r="AQ64" t="s">
        <v>59</v>
      </c>
      <c r="AR64" t="s">
        <v>59</v>
      </c>
      <c r="AS64" t="s">
        <v>59</v>
      </c>
      <c r="AT64" t="s">
        <v>59</v>
      </c>
      <c r="AU64" t="s">
        <v>59</v>
      </c>
      <c r="AV64" t="s">
        <v>59</v>
      </c>
      <c r="AW64" t="s">
        <v>59</v>
      </c>
      <c r="AX64" t="s">
        <v>59</v>
      </c>
      <c r="AY64" t="s">
        <v>191</v>
      </c>
      <c r="AZ64" t="s">
        <v>59</v>
      </c>
      <c r="BA64" t="s">
        <v>59</v>
      </c>
      <c r="BB64" t="s">
        <v>59</v>
      </c>
      <c r="BC64" t="s">
        <v>59</v>
      </c>
      <c r="BD64" t="s">
        <v>59</v>
      </c>
      <c r="BE64" t="s">
        <v>59</v>
      </c>
      <c r="BF64" t="s">
        <v>59</v>
      </c>
      <c r="BG64" t="s">
        <v>191</v>
      </c>
      <c r="BH64" t="s">
        <v>191</v>
      </c>
      <c r="BI64" t="s">
        <v>59</v>
      </c>
      <c r="BJ64" t="s">
        <v>59</v>
      </c>
      <c r="BK64" t="s">
        <v>59</v>
      </c>
      <c r="BL64" t="s">
        <v>59</v>
      </c>
      <c r="BM64" t="s">
        <v>59</v>
      </c>
      <c r="BN64" t="s">
        <v>59</v>
      </c>
      <c r="BO64" t="s">
        <v>59</v>
      </c>
      <c r="BP64" t="s">
        <v>59</v>
      </c>
      <c r="BQ64" t="s">
        <v>59</v>
      </c>
      <c r="BR64" t="s">
        <v>59</v>
      </c>
      <c r="BS64" t="s">
        <v>59</v>
      </c>
      <c r="BT64" t="s">
        <v>59</v>
      </c>
      <c r="BU64" t="s">
        <v>59</v>
      </c>
      <c r="BV64" t="s">
        <v>59</v>
      </c>
      <c r="BW64" t="s">
        <v>59</v>
      </c>
      <c r="BX64" t="s">
        <v>59</v>
      </c>
      <c r="BY64" t="s">
        <v>59</v>
      </c>
      <c r="BZ64" t="s">
        <v>59</v>
      </c>
      <c r="CA64" t="s">
        <v>59</v>
      </c>
      <c r="CB64" t="s">
        <v>59</v>
      </c>
      <c r="CC64" t="s">
        <v>59</v>
      </c>
      <c r="CD64" t="s">
        <v>59</v>
      </c>
      <c r="CE64" t="s">
        <v>59</v>
      </c>
      <c r="CF64" t="s">
        <v>59</v>
      </c>
      <c r="CG64" t="s">
        <v>59</v>
      </c>
      <c r="CH64" t="s">
        <v>59</v>
      </c>
      <c r="CI64" t="s">
        <v>59</v>
      </c>
      <c r="CJ64" t="s">
        <v>59</v>
      </c>
      <c r="CK64" t="s">
        <v>59</v>
      </c>
      <c r="CL64" t="s">
        <v>59</v>
      </c>
      <c r="CM64" t="s">
        <v>59</v>
      </c>
      <c r="CN64" t="s">
        <v>59</v>
      </c>
      <c r="CO64" t="s">
        <v>191</v>
      </c>
      <c r="CP64" t="s">
        <v>191</v>
      </c>
      <c r="CQ64" t="s">
        <v>191</v>
      </c>
      <c r="CR64" t="s">
        <v>59</v>
      </c>
      <c r="CS64" t="s">
        <v>59</v>
      </c>
      <c r="CT64" t="s">
        <v>59</v>
      </c>
      <c r="CU64" t="s">
        <v>59</v>
      </c>
      <c r="CV64" t="s">
        <v>59</v>
      </c>
      <c r="CW64" t="s">
        <v>59</v>
      </c>
      <c r="CX64" t="s">
        <v>59</v>
      </c>
      <c r="CY64" t="s">
        <v>59</v>
      </c>
      <c r="CZ64" t="s">
        <v>59</v>
      </c>
      <c r="DA64" t="s">
        <v>59</v>
      </c>
      <c r="DB64" t="s">
        <v>59</v>
      </c>
      <c r="DC64" t="s">
        <v>59</v>
      </c>
      <c r="DD64" t="s">
        <v>59</v>
      </c>
      <c r="DE64" t="s">
        <v>59</v>
      </c>
      <c r="DF64" t="s">
        <v>59</v>
      </c>
      <c r="DG64" t="s">
        <v>59</v>
      </c>
      <c r="DH64" t="s">
        <v>59</v>
      </c>
      <c r="DI64" t="s">
        <v>59</v>
      </c>
      <c r="DJ64" t="s">
        <v>59</v>
      </c>
      <c r="DK64" t="s">
        <v>59</v>
      </c>
      <c r="DL64" t="s">
        <v>59</v>
      </c>
      <c r="DM64" t="s">
        <v>59</v>
      </c>
      <c r="DN64" t="s">
        <v>59</v>
      </c>
      <c r="DO64" t="s">
        <v>191</v>
      </c>
      <c r="DP64" t="s">
        <v>59</v>
      </c>
      <c r="DQ64" t="s">
        <v>191</v>
      </c>
      <c r="DR64" t="s">
        <v>191</v>
      </c>
      <c r="DS64" t="s">
        <v>191</v>
      </c>
      <c r="DT64" t="s">
        <v>191</v>
      </c>
      <c r="DU64" t="s">
        <v>191</v>
      </c>
      <c r="DV64" t="s">
        <v>191</v>
      </c>
      <c r="DW64" t="s">
        <v>191</v>
      </c>
      <c r="DX64" t="s">
        <v>191</v>
      </c>
      <c r="DY64" t="s">
        <v>191</v>
      </c>
      <c r="DZ64" t="s">
        <v>191</v>
      </c>
      <c r="EA64" t="s">
        <v>191</v>
      </c>
      <c r="EB64" t="s">
        <v>191</v>
      </c>
      <c r="EC64" t="s">
        <v>191</v>
      </c>
      <c r="ED64" t="s">
        <v>191</v>
      </c>
      <c r="EE64" t="s">
        <v>59</v>
      </c>
      <c r="EF64" t="s">
        <v>59</v>
      </c>
      <c r="EG64" t="s">
        <v>59</v>
      </c>
      <c r="EH64" t="s">
        <v>59</v>
      </c>
      <c r="EI64" t="s">
        <v>59</v>
      </c>
      <c r="EJ64" t="s">
        <v>59</v>
      </c>
      <c r="EK64" t="s">
        <v>59</v>
      </c>
      <c r="EL64" t="s">
        <v>59</v>
      </c>
      <c r="EM64" t="s">
        <v>59</v>
      </c>
      <c r="EN64" t="s">
        <v>59</v>
      </c>
      <c r="EO64" t="s">
        <v>59</v>
      </c>
      <c r="EP64" t="s">
        <v>59</v>
      </c>
      <c r="EQ64" t="s">
        <v>59</v>
      </c>
      <c r="ER64" t="s">
        <v>59</v>
      </c>
      <c r="ES64" t="s">
        <v>59</v>
      </c>
      <c r="ET64" t="s">
        <v>59</v>
      </c>
      <c r="EU64" t="s">
        <v>59</v>
      </c>
      <c r="EV64" t="s">
        <v>59</v>
      </c>
      <c r="EW64" t="s">
        <v>59</v>
      </c>
      <c r="EX64" t="s">
        <v>59</v>
      </c>
      <c r="EY64" t="s">
        <v>59</v>
      </c>
      <c r="EZ64" t="s">
        <v>59</v>
      </c>
      <c r="FA64" t="s">
        <v>59</v>
      </c>
      <c r="FB64" t="s">
        <v>59</v>
      </c>
      <c r="FC64" t="s">
        <v>59</v>
      </c>
      <c r="FD64" t="s">
        <v>59</v>
      </c>
      <c r="FE64" t="s">
        <v>59</v>
      </c>
      <c r="FF64" t="s">
        <v>59</v>
      </c>
      <c r="FG64" t="s">
        <v>59</v>
      </c>
      <c r="FH64" t="s">
        <v>59</v>
      </c>
      <c r="FI64" t="s">
        <v>59</v>
      </c>
      <c r="FJ64" t="s">
        <v>59</v>
      </c>
      <c r="FK64" t="s">
        <v>59</v>
      </c>
      <c r="FL64" t="s">
        <v>59</v>
      </c>
      <c r="FM64" t="s">
        <v>59</v>
      </c>
      <c r="FN64" t="s">
        <v>59</v>
      </c>
      <c r="FO64" t="s">
        <v>59</v>
      </c>
      <c r="FP64" t="s">
        <v>59</v>
      </c>
      <c r="FQ64" t="s">
        <v>59</v>
      </c>
      <c r="FR64" t="s">
        <v>59</v>
      </c>
      <c r="FS64" t="s">
        <v>191</v>
      </c>
      <c r="FT64" t="s">
        <v>59</v>
      </c>
      <c r="FU64" t="s">
        <v>59</v>
      </c>
      <c r="FV64" t="s">
        <v>59</v>
      </c>
      <c r="FW64" t="s">
        <v>59</v>
      </c>
      <c r="FX64" t="s">
        <v>59</v>
      </c>
      <c r="FY64" t="s">
        <v>59</v>
      </c>
      <c r="FZ64" t="s">
        <v>59</v>
      </c>
      <c r="GA64" t="s">
        <v>59</v>
      </c>
      <c r="GB64" t="s">
        <v>59</v>
      </c>
      <c r="GC64" t="s">
        <v>59</v>
      </c>
      <c r="GD64" t="s">
        <v>59</v>
      </c>
      <c r="GE64" t="s">
        <v>59</v>
      </c>
      <c r="GF64" t="s">
        <v>59</v>
      </c>
      <c r="GG64" t="s">
        <v>59</v>
      </c>
      <c r="GH64" t="s">
        <v>59</v>
      </c>
      <c r="GI64" t="s">
        <v>59</v>
      </c>
      <c r="GJ64" t="s">
        <v>59</v>
      </c>
      <c r="GK64" t="s">
        <v>191</v>
      </c>
      <c r="GL64" t="s">
        <v>59</v>
      </c>
      <c r="GM64" t="s">
        <v>59</v>
      </c>
      <c r="GN64" t="s">
        <v>59</v>
      </c>
      <c r="GO64" t="s">
        <v>59</v>
      </c>
      <c r="GP64" t="s">
        <v>59</v>
      </c>
      <c r="GQ64" t="s">
        <v>191</v>
      </c>
      <c r="GR64" t="s">
        <v>59</v>
      </c>
      <c r="GS64" t="s">
        <v>59</v>
      </c>
      <c r="GT64" t="s">
        <v>191</v>
      </c>
      <c r="GU64" t="s">
        <v>59</v>
      </c>
      <c r="GV64" t="s">
        <v>59</v>
      </c>
      <c r="GW64" t="s">
        <v>59</v>
      </c>
      <c r="GX64" t="s">
        <v>59</v>
      </c>
      <c r="GY64" t="s">
        <v>59</v>
      </c>
      <c r="GZ64" t="s">
        <v>59</v>
      </c>
      <c r="HA64" t="s">
        <v>59</v>
      </c>
      <c r="HB64" t="s">
        <v>59</v>
      </c>
      <c r="HC64" t="s">
        <v>59</v>
      </c>
      <c r="HD64" t="s">
        <v>59</v>
      </c>
      <c r="HE64" t="s">
        <v>59</v>
      </c>
      <c r="HF64" t="s">
        <v>59</v>
      </c>
      <c r="HG64" t="s">
        <v>59</v>
      </c>
      <c r="HH64" t="s">
        <v>59</v>
      </c>
      <c r="HI64" t="s">
        <v>59</v>
      </c>
      <c r="HJ64" t="s">
        <v>59</v>
      </c>
      <c r="HK64" t="s">
        <v>59</v>
      </c>
      <c r="HL64" t="s">
        <v>191</v>
      </c>
      <c r="HM64" t="s">
        <v>191</v>
      </c>
      <c r="HN64" t="s">
        <v>191</v>
      </c>
      <c r="HO64" t="s">
        <v>191</v>
      </c>
      <c r="HP64" t="s">
        <v>59</v>
      </c>
      <c r="HQ64" t="s">
        <v>59</v>
      </c>
      <c r="HR64" t="s">
        <v>59</v>
      </c>
      <c r="HS64" t="s">
        <v>59</v>
      </c>
      <c r="HT64" t="s">
        <v>59</v>
      </c>
      <c r="HU64" t="s">
        <v>59</v>
      </c>
      <c r="HV64" t="s">
        <v>59</v>
      </c>
      <c r="HW64" t="s">
        <v>59</v>
      </c>
      <c r="HX64" t="s">
        <v>59</v>
      </c>
      <c r="HY64" t="s">
        <v>59</v>
      </c>
      <c r="HZ64" t="s">
        <v>59</v>
      </c>
      <c r="IA64" t="s">
        <v>59</v>
      </c>
      <c r="IB64" t="s">
        <v>59</v>
      </c>
      <c r="IC64" t="s">
        <v>59</v>
      </c>
      <c r="ID64" t="s">
        <v>59</v>
      </c>
      <c r="IE64" t="s">
        <v>59</v>
      </c>
      <c r="IF64" t="s">
        <v>59</v>
      </c>
      <c r="IG64" t="s">
        <v>59</v>
      </c>
      <c r="IH64" t="s">
        <v>59</v>
      </c>
      <c r="II64" t="s">
        <v>59</v>
      </c>
      <c r="IJ64" t="s">
        <v>129</v>
      </c>
      <c r="IK64" t="s">
        <v>198</v>
      </c>
      <c r="IL64" t="s">
        <v>128</v>
      </c>
      <c r="IM64" t="s">
        <v>199</v>
      </c>
      <c r="IN64">
        <v>29</v>
      </c>
      <c r="IO64" t="s">
        <v>2730</v>
      </c>
      <c r="IP64">
        <v>3</v>
      </c>
      <c r="IQ64" t="s">
        <v>2730</v>
      </c>
      <c r="IR64">
        <v>15</v>
      </c>
      <c r="IS64" t="s">
        <v>2730</v>
      </c>
      <c r="IT64" t="s">
        <v>2730</v>
      </c>
      <c r="IU64" t="s">
        <v>2730</v>
      </c>
      <c r="IV64">
        <v>16</v>
      </c>
      <c r="IW64" t="s">
        <v>2730</v>
      </c>
      <c r="IX64">
        <v>3</v>
      </c>
      <c r="IY64" t="s">
        <v>2730</v>
      </c>
      <c r="IZ64">
        <v>44</v>
      </c>
      <c r="JA64" t="s">
        <v>2730</v>
      </c>
      <c r="JB64">
        <v>15</v>
      </c>
      <c r="JC64" t="s">
        <v>2730</v>
      </c>
      <c r="JD64">
        <v>24</v>
      </c>
      <c r="JE64" t="s">
        <v>2730</v>
      </c>
      <c r="JF64">
        <v>2</v>
      </c>
      <c r="JG64" t="s">
        <v>2730</v>
      </c>
      <c r="JH64">
        <v>24</v>
      </c>
      <c r="JI64" t="s">
        <v>2730</v>
      </c>
      <c r="JJ64">
        <v>6</v>
      </c>
      <c r="JK64" t="s">
        <v>2730</v>
      </c>
      <c r="JL64">
        <v>16</v>
      </c>
      <c r="JM64" t="s">
        <v>2730</v>
      </c>
      <c r="JN64" t="s">
        <v>2730</v>
      </c>
      <c r="JO64">
        <v>4</v>
      </c>
      <c r="JP64" t="s">
        <v>2730</v>
      </c>
      <c r="JQ64" t="s">
        <v>2730</v>
      </c>
    </row>
    <row r="65" spans="1:277">
      <c r="A65" s="149" t="str">
        <f>HYPERLINK("http://www.ofsted.gov.uk/inspection-reports/find-inspection-report/provider/ELS/102547 ","Ofsted School Webpage")</f>
        <v>Ofsted School Webpage</v>
      </c>
      <c r="B65">
        <v>1133311</v>
      </c>
      <c r="C65">
        <v>102547</v>
      </c>
      <c r="D65">
        <v>3136051</v>
      </c>
      <c r="E65" t="s">
        <v>268</v>
      </c>
      <c r="F65" t="s">
        <v>37</v>
      </c>
      <c r="G65" t="s">
        <v>209</v>
      </c>
      <c r="H65" t="s">
        <v>232</v>
      </c>
      <c r="I65" t="s">
        <v>232</v>
      </c>
      <c r="J65" t="s">
        <v>269</v>
      </c>
      <c r="K65" t="s">
        <v>270</v>
      </c>
      <c r="L65" t="s">
        <v>184</v>
      </c>
      <c r="M65" t="s">
        <v>185</v>
      </c>
      <c r="N65" t="s">
        <v>184</v>
      </c>
      <c r="O65" t="s">
        <v>2730</v>
      </c>
      <c r="P65" t="s">
        <v>186</v>
      </c>
      <c r="Q65">
        <v>10012831</v>
      </c>
      <c r="R65" s="120">
        <v>42997</v>
      </c>
      <c r="S65" s="120">
        <v>42999</v>
      </c>
      <c r="T65" s="120">
        <v>43025</v>
      </c>
      <c r="U65" t="s">
        <v>2730</v>
      </c>
      <c r="V65" t="s">
        <v>196</v>
      </c>
      <c r="W65" t="s">
        <v>2730</v>
      </c>
      <c r="X65" t="s">
        <v>197</v>
      </c>
      <c r="Y65">
        <v>2</v>
      </c>
      <c r="Z65">
        <v>2</v>
      </c>
      <c r="AA65">
        <v>1</v>
      </c>
      <c r="AB65">
        <v>2</v>
      </c>
      <c r="AC65">
        <v>2</v>
      </c>
      <c r="AD65">
        <v>2</v>
      </c>
      <c r="AE65" t="s">
        <v>2730</v>
      </c>
      <c r="AF65" t="s">
        <v>128</v>
      </c>
      <c r="AG65" t="s">
        <v>2730</v>
      </c>
      <c r="AH65" t="s">
        <v>2732</v>
      </c>
      <c r="AI65" t="s">
        <v>59</v>
      </c>
      <c r="AJ65" t="s">
        <v>59</v>
      </c>
      <c r="AK65" t="s">
        <v>59</v>
      </c>
      <c r="AL65" t="s">
        <v>59</v>
      </c>
      <c r="AM65" t="s">
        <v>59</v>
      </c>
      <c r="AN65" t="s">
        <v>59</v>
      </c>
      <c r="AO65" t="s">
        <v>59</v>
      </c>
      <c r="AP65" t="s">
        <v>59</v>
      </c>
      <c r="AQ65" t="s">
        <v>59</v>
      </c>
      <c r="AR65" t="s">
        <v>59</v>
      </c>
      <c r="AS65" t="s">
        <v>59</v>
      </c>
      <c r="AT65" t="s">
        <v>59</v>
      </c>
      <c r="AU65" t="s">
        <v>59</v>
      </c>
      <c r="AV65" t="s">
        <v>59</v>
      </c>
      <c r="AW65" t="s">
        <v>59</v>
      </c>
      <c r="AX65" t="s">
        <v>59</v>
      </c>
      <c r="AY65" t="s">
        <v>191</v>
      </c>
      <c r="AZ65" t="s">
        <v>59</v>
      </c>
      <c r="BA65" t="s">
        <v>59</v>
      </c>
      <c r="BB65" t="s">
        <v>59</v>
      </c>
      <c r="BC65" t="s">
        <v>191</v>
      </c>
      <c r="BD65" t="s">
        <v>191</v>
      </c>
      <c r="BE65" t="s">
        <v>191</v>
      </c>
      <c r="BF65" t="s">
        <v>191</v>
      </c>
      <c r="BG65" t="s">
        <v>191</v>
      </c>
      <c r="BH65" t="s">
        <v>191</v>
      </c>
      <c r="BI65" t="s">
        <v>59</v>
      </c>
      <c r="BJ65" t="s">
        <v>59</v>
      </c>
      <c r="BK65" t="s">
        <v>59</v>
      </c>
      <c r="BL65" t="s">
        <v>59</v>
      </c>
      <c r="BM65" t="s">
        <v>59</v>
      </c>
      <c r="BN65" t="s">
        <v>59</v>
      </c>
      <c r="BO65" t="s">
        <v>59</v>
      </c>
      <c r="BP65" t="s">
        <v>59</v>
      </c>
      <c r="BQ65" t="s">
        <v>59</v>
      </c>
      <c r="BR65" t="s">
        <v>59</v>
      </c>
      <c r="BS65" t="s">
        <v>59</v>
      </c>
      <c r="BT65" t="s">
        <v>59</v>
      </c>
      <c r="BU65" t="s">
        <v>59</v>
      </c>
      <c r="BV65" t="s">
        <v>59</v>
      </c>
      <c r="BW65" t="s">
        <v>59</v>
      </c>
      <c r="BX65" t="s">
        <v>59</v>
      </c>
      <c r="BY65" t="s">
        <v>59</v>
      </c>
      <c r="BZ65" t="s">
        <v>59</v>
      </c>
      <c r="CA65" t="s">
        <v>59</v>
      </c>
      <c r="CB65" t="s">
        <v>59</v>
      </c>
      <c r="CC65" t="s">
        <v>59</v>
      </c>
      <c r="CD65" t="s">
        <v>59</v>
      </c>
      <c r="CE65" t="s">
        <v>59</v>
      </c>
      <c r="CF65" t="s">
        <v>59</v>
      </c>
      <c r="CG65" t="s">
        <v>59</v>
      </c>
      <c r="CH65" t="s">
        <v>59</v>
      </c>
      <c r="CI65" t="s">
        <v>59</v>
      </c>
      <c r="CJ65" t="s">
        <v>59</v>
      </c>
      <c r="CK65" t="s">
        <v>59</v>
      </c>
      <c r="CL65" t="s">
        <v>59</v>
      </c>
      <c r="CM65" t="s">
        <v>59</v>
      </c>
      <c r="CN65" t="s">
        <v>59</v>
      </c>
      <c r="CO65" t="s">
        <v>59</v>
      </c>
      <c r="CP65" t="s">
        <v>191</v>
      </c>
      <c r="CQ65" t="s">
        <v>191</v>
      </c>
      <c r="CR65" t="s">
        <v>59</v>
      </c>
      <c r="CS65" t="s">
        <v>59</v>
      </c>
      <c r="CT65" t="s">
        <v>59</v>
      </c>
      <c r="CU65" t="s">
        <v>59</v>
      </c>
      <c r="CV65" t="s">
        <v>59</v>
      </c>
      <c r="CW65" t="s">
        <v>59</v>
      </c>
      <c r="CX65" t="s">
        <v>59</v>
      </c>
      <c r="CY65" t="s">
        <v>59</v>
      </c>
      <c r="CZ65" t="s">
        <v>59</v>
      </c>
      <c r="DA65" t="s">
        <v>59</v>
      </c>
      <c r="DB65" t="s">
        <v>59</v>
      </c>
      <c r="DC65" t="s">
        <v>59</v>
      </c>
      <c r="DD65" t="s">
        <v>59</v>
      </c>
      <c r="DE65" t="s">
        <v>59</v>
      </c>
      <c r="DF65" t="s">
        <v>59</v>
      </c>
      <c r="DG65" t="s">
        <v>59</v>
      </c>
      <c r="DH65" t="s">
        <v>59</v>
      </c>
      <c r="DI65" t="s">
        <v>59</v>
      </c>
      <c r="DJ65" t="s">
        <v>59</v>
      </c>
      <c r="DK65" t="s">
        <v>59</v>
      </c>
      <c r="DL65" t="s">
        <v>59</v>
      </c>
      <c r="DM65" t="s">
        <v>59</v>
      </c>
      <c r="DN65" t="s">
        <v>59</v>
      </c>
      <c r="DO65" t="s">
        <v>191</v>
      </c>
      <c r="DP65" t="s">
        <v>59</v>
      </c>
      <c r="DQ65" t="s">
        <v>59</v>
      </c>
      <c r="DR65" t="s">
        <v>59</v>
      </c>
      <c r="DS65" t="s">
        <v>59</v>
      </c>
      <c r="DT65" t="s">
        <v>59</v>
      </c>
      <c r="DU65" t="s">
        <v>59</v>
      </c>
      <c r="DV65" t="s">
        <v>59</v>
      </c>
      <c r="DW65" t="s">
        <v>59</v>
      </c>
      <c r="DX65" t="s">
        <v>59</v>
      </c>
      <c r="DY65" t="s">
        <v>59</v>
      </c>
      <c r="DZ65" t="s">
        <v>59</v>
      </c>
      <c r="EA65" t="s">
        <v>59</v>
      </c>
      <c r="EB65" t="s">
        <v>59</v>
      </c>
      <c r="EC65" t="s">
        <v>191</v>
      </c>
      <c r="ED65" t="s">
        <v>59</v>
      </c>
      <c r="EE65" t="s">
        <v>59</v>
      </c>
      <c r="EF65" t="s">
        <v>59</v>
      </c>
      <c r="EG65" t="s">
        <v>59</v>
      </c>
      <c r="EH65" t="s">
        <v>59</v>
      </c>
      <c r="EI65" t="s">
        <v>59</v>
      </c>
      <c r="EJ65" t="s">
        <v>59</v>
      </c>
      <c r="EK65" t="s">
        <v>59</v>
      </c>
      <c r="EL65" t="s">
        <v>59</v>
      </c>
      <c r="EM65" t="s">
        <v>59</v>
      </c>
      <c r="EN65" t="s">
        <v>59</v>
      </c>
      <c r="EO65" t="s">
        <v>59</v>
      </c>
      <c r="EP65" t="s">
        <v>59</v>
      </c>
      <c r="EQ65" t="s">
        <v>59</v>
      </c>
      <c r="ER65" t="s">
        <v>59</v>
      </c>
      <c r="ES65" t="s">
        <v>59</v>
      </c>
      <c r="ET65" t="s">
        <v>59</v>
      </c>
      <c r="EU65" t="s">
        <v>59</v>
      </c>
      <c r="EV65" t="s">
        <v>59</v>
      </c>
      <c r="EW65" t="s">
        <v>59</v>
      </c>
      <c r="EX65" t="s">
        <v>59</v>
      </c>
      <c r="EY65" t="s">
        <v>59</v>
      </c>
      <c r="EZ65" t="s">
        <v>59</v>
      </c>
      <c r="FA65" t="s">
        <v>59</v>
      </c>
      <c r="FB65" t="s">
        <v>59</v>
      </c>
      <c r="FC65" t="s">
        <v>59</v>
      </c>
      <c r="FD65" t="s">
        <v>59</v>
      </c>
      <c r="FE65" t="s">
        <v>59</v>
      </c>
      <c r="FF65" t="s">
        <v>59</v>
      </c>
      <c r="FG65" t="s">
        <v>59</v>
      </c>
      <c r="FH65" t="s">
        <v>59</v>
      </c>
      <c r="FI65" t="s">
        <v>59</v>
      </c>
      <c r="FJ65" t="s">
        <v>59</v>
      </c>
      <c r="FK65" t="s">
        <v>59</v>
      </c>
      <c r="FL65" t="s">
        <v>59</v>
      </c>
      <c r="FM65" t="s">
        <v>59</v>
      </c>
      <c r="FN65" t="s">
        <v>59</v>
      </c>
      <c r="FO65" t="s">
        <v>191</v>
      </c>
      <c r="FP65" t="s">
        <v>191</v>
      </c>
      <c r="FQ65" t="s">
        <v>59</v>
      </c>
      <c r="FR65" t="s">
        <v>59</v>
      </c>
      <c r="FS65" t="s">
        <v>191</v>
      </c>
      <c r="FT65" t="s">
        <v>191</v>
      </c>
      <c r="FU65" t="s">
        <v>59</v>
      </c>
      <c r="FV65" t="s">
        <v>59</v>
      </c>
      <c r="FW65" t="s">
        <v>59</v>
      </c>
      <c r="FX65" t="s">
        <v>59</v>
      </c>
      <c r="FY65" t="s">
        <v>59</v>
      </c>
      <c r="FZ65" t="s">
        <v>59</v>
      </c>
      <c r="GA65" t="s">
        <v>59</v>
      </c>
      <c r="GB65" t="s">
        <v>59</v>
      </c>
      <c r="GC65" t="s">
        <v>59</v>
      </c>
      <c r="GD65" t="s">
        <v>59</v>
      </c>
      <c r="GE65" t="s">
        <v>59</v>
      </c>
      <c r="GF65" t="s">
        <v>59</v>
      </c>
      <c r="GG65" t="s">
        <v>59</v>
      </c>
      <c r="GH65" t="s">
        <v>59</v>
      </c>
      <c r="GI65" t="s">
        <v>59</v>
      </c>
      <c r="GJ65" t="s">
        <v>59</v>
      </c>
      <c r="GK65" t="s">
        <v>191</v>
      </c>
      <c r="GL65" t="s">
        <v>59</v>
      </c>
      <c r="GM65" t="s">
        <v>59</v>
      </c>
      <c r="GN65" t="s">
        <v>59</v>
      </c>
      <c r="GO65" t="s">
        <v>59</v>
      </c>
      <c r="GP65" t="s">
        <v>59</v>
      </c>
      <c r="GQ65" t="s">
        <v>59</v>
      </c>
      <c r="GR65" t="s">
        <v>59</v>
      </c>
      <c r="GS65" t="s">
        <v>59</v>
      </c>
      <c r="GT65" t="s">
        <v>59</v>
      </c>
      <c r="GU65" t="s">
        <v>59</v>
      </c>
      <c r="GV65" t="s">
        <v>59</v>
      </c>
      <c r="GW65" t="s">
        <v>59</v>
      </c>
      <c r="GX65" t="s">
        <v>59</v>
      </c>
      <c r="GY65" t="s">
        <v>59</v>
      </c>
      <c r="GZ65" t="s">
        <v>191</v>
      </c>
      <c r="HA65" t="s">
        <v>59</v>
      </c>
      <c r="HB65" t="s">
        <v>191</v>
      </c>
      <c r="HC65" t="s">
        <v>59</v>
      </c>
      <c r="HD65" t="s">
        <v>59</v>
      </c>
      <c r="HE65" t="s">
        <v>59</v>
      </c>
      <c r="HF65" t="s">
        <v>59</v>
      </c>
      <c r="HG65" t="s">
        <v>59</v>
      </c>
      <c r="HH65" t="s">
        <v>59</v>
      </c>
      <c r="HI65" t="s">
        <v>59</v>
      </c>
      <c r="HJ65" t="s">
        <v>59</v>
      </c>
      <c r="HK65" t="s">
        <v>59</v>
      </c>
      <c r="HL65" t="s">
        <v>191</v>
      </c>
      <c r="HM65" t="s">
        <v>191</v>
      </c>
      <c r="HN65" t="s">
        <v>191</v>
      </c>
      <c r="HO65" t="s">
        <v>191</v>
      </c>
      <c r="HP65" t="s">
        <v>59</v>
      </c>
      <c r="HQ65" t="s">
        <v>59</v>
      </c>
      <c r="HR65" t="s">
        <v>59</v>
      </c>
      <c r="HS65" t="s">
        <v>59</v>
      </c>
      <c r="HT65" t="s">
        <v>59</v>
      </c>
      <c r="HU65" t="s">
        <v>59</v>
      </c>
      <c r="HV65" t="s">
        <v>59</v>
      </c>
      <c r="HW65" t="s">
        <v>59</v>
      </c>
      <c r="HX65" t="s">
        <v>59</v>
      </c>
      <c r="HY65" t="s">
        <v>59</v>
      </c>
      <c r="HZ65" t="s">
        <v>59</v>
      </c>
      <c r="IA65" t="s">
        <v>59</v>
      </c>
      <c r="IB65" t="s">
        <v>59</v>
      </c>
      <c r="IC65" t="s">
        <v>59</v>
      </c>
      <c r="ID65" t="s">
        <v>59</v>
      </c>
      <c r="IE65" t="s">
        <v>59</v>
      </c>
      <c r="IF65" t="s">
        <v>59</v>
      </c>
      <c r="IG65" t="s">
        <v>59</v>
      </c>
      <c r="IH65" t="s">
        <v>59</v>
      </c>
      <c r="II65" t="s">
        <v>59</v>
      </c>
      <c r="IJ65" t="s">
        <v>129</v>
      </c>
      <c r="IK65" t="s">
        <v>198</v>
      </c>
      <c r="IL65" t="s">
        <v>128</v>
      </c>
      <c r="IM65" t="s">
        <v>199</v>
      </c>
      <c r="IN65">
        <v>25</v>
      </c>
      <c r="IO65" t="s">
        <v>2730</v>
      </c>
      <c r="IP65">
        <v>7</v>
      </c>
      <c r="IQ65" t="s">
        <v>2730</v>
      </c>
      <c r="IR65">
        <v>15</v>
      </c>
      <c r="IS65" t="s">
        <v>2730</v>
      </c>
      <c r="IT65" t="s">
        <v>2730</v>
      </c>
      <c r="IU65" t="s">
        <v>2730</v>
      </c>
      <c r="IV65">
        <v>17</v>
      </c>
      <c r="IW65" t="s">
        <v>2730</v>
      </c>
      <c r="IX65">
        <v>2</v>
      </c>
      <c r="IY65" t="s">
        <v>2730</v>
      </c>
      <c r="IZ65">
        <v>57</v>
      </c>
      <c r="JA65" t="s">
        <v>2730</v>
      </c>
      <c r="JB65">
        <v>2</v>
      </c>
      <c r="JC65" t="s">
        <v>2730</v>
      </c>
      <c r="JD65">
        <v>21</v>
      </c>
      <c r="JE65" t="s">
        <v>2730</v>
      </c>
      <c r="JF65">
        <v>5</v>
      </c>
      <c r="JG65" t="s">
        <v>2730</v>
      </c>
      <c r="JH65">
        <v>24</v>
      </c>
      <c r="JI65" t="s">
        <v>2730</v>
      </c>
      <c r="JJ65">
        <v>6</v>
      </c>
      <c r="JK65" t="s">
        <v>2730</v>
      </c>
      <c r="JL65">
        <v>16</v>
      </c>
      <c r="JM65" t="s">
        <v>2730</v>
      </c>
      <c r="JN65" t="s">
        <v>2730</v>
      </c>
      <c r="JO65">
        <v>4</v>
      </c>
      <c r="JP65" t="s">
        <v>2730</v>
      </c>
      <c r="JQ65" t="s">
        <v>2730</v>
      </c>
    </row>
    <row r="66" spans="1:277">
      <c r="A66" s="149" t="str">
        <f>HYPERLINK("http://www.ofsted.gov.uk/inspection-reports/find-inspection-report/provider/ELS/134594 ","Ofsted School Webpage")</f>
        <v>Ofsted School Webpage</v>
      </c>
      <c r="B66">
        <v>1132116</v>
      </c>
      <c r="C66">
        <v>134594</v>
      </c>
      <c r="D66">
        <v>3156081</v>
      </c>
      <c r="E66" t="s">
        <v>936</v>
      </c>
      <c r="F66" t="s">
        <v>38</v>
      </c>
      <c r="G66" t="s">
        <v>180</v>
      </c>
      <c r="H66" t="s">
        <v>232</v>
      </c>
      <c r="I66" t="s">
        <v>232</v>
      </c>
      <c r="J66" t="s">
        <v>236</v>
      </c>
      <c r="K66" t="s">
        <v>937</v>
      </c>
      <c r="L66" t="s">
        <v>184</v>
      </c>
      <c r="M66" t="s">
        <v>185</v>
      </c>
      <c r="N66" t="s">
        <v>184</v>
      </c>
      <c r="O66" t="s">
        <v>2730</v>
      </c>
      <c r="P66" t="s">
        <v>186</v>
      </c>
      <c r="Q66">
        <v>10038170</v>
      </c>
      <c r="R66" s="120">
        <v>43053</v>
      </c>
      <c r="S66" s="120">
        <v>43055</v>
      </c>
      <c r="T66" s="120">
        <v>43089</v>
      </c>
      <c r="U66" t="s">
        <v>2730</v>
      </c>
      <c r="V66" t="s">
        <v>196</v>
      </c>
      <c r="W66" t="s">
        <v>2730</v>
      </c>
      <c r="X66" t="s">
        <v>197</v>
      </c>
      <c r="Y66">
        <v>2</v>
      </c>
      <c r="Z66">
        <v>2</v>
      </c>
      <c r="AA66">
        <v>2</v>
      </c>
      <c r="AB66">
        <v>2</v>
      </c>
      <c r="AC66">
        <v>2</v>
      </c>
      <c r="AD66">
        <v>2</v>
      </c>
      <c r="AE66" t="s">
        <v>2730</v>
      </c>
      <c r="AF66" t="s">
        <v>128</v>
      </c>
      <c r="AG66" t="s">
        <v>2730</v>
      </c>
      <c r="AH66" t="s">
        <v>2732</v>
      </c>
      <c r="AI66" t="s">
        <v>59</v>
      </c>
      <c r="AJ66" t="s">
        <v>59</v>
      </c>
      <c r="AK66" t="s">
        <v>59</v>
      </c>
      <c r="AL66" t="s">
        <v>59</v>
      </c>
      <c r="AM66" t="s">
        <v>59</v>
      </c>
      <c r="AN66" t="s">
        <v>59</v>
      </c>
      <c r="AO66" t="s">
        <v>59</v>
      </c>
      <c r="AP66" t="s">
        <v>59</v>
      </c>
      <c r="AQ66" t="s">
        <v>59</v>
      </c>
      <c r="AR66" t="s">
        <v>59</v>
      </c>
      <c r="AS66" t="s">
        <v>59</v>
      </c>
      <c r="AT66" t="s">
        <v>59</v>
      </c>
      <c r="AU66" t="s">
        <v>59</v>
      </c>
      <c r="AV66" t="s">
        <v>59</v>
      </c>
      <c r="AW66" t="s">
        <v>59</v>
      </c>
      <c r="AX66" t="s">
        <v>59</v>
      </c>
      <c r="AY66" t="s">
        <v>218</v>
      </c>
      <c r="AZ66" t="s">
        <v>59</v>
      </c>
      <c r="BA66" t="s">
        <v>59</v>
      </c>
      <c r="BB66" t="s">
        <v>59</v>
      </c>
      <c r="BC66" t="s">
        <v>218</v>
      </c>
      <c r="BD66" t="s">
        <v>218</v>
      </c>
      <c r="BE66" t="s">
        <v>218</v>
      </c>
      <c r="BF66" t="s">
        <v>218</v>
      </c>
      <c r="BG66" t="s">
        <v>59</v>
      </c>
      <c r="BH66" t="s">
        <v>218</v>
      </c>
      <c r="BI66" t="s">
        <v>59</v>
      </c>
      <c r="BJ66" t="s">
        <v>59</v>
      </c>
      <c r="BK66" t="s">
        <v>59</v>
      </c>
      <c r="BL66" t="s">
        <v>59</v>
      </c>
      <c r="BM66" t="s">
        <v>59</v>
      </c>
      <c r="BN66" t="s">
        <v>59</v>
      </c>
      <c r="BO66" t="s">
        <v>59</v>
      </c>
      <c r="BP66" t="s">
        <v>59</v>
      </c>
      <c r="BQ66" t="s">
        <v>59</v>
      </c>
      <c r="BR66" t="s">
        <v>59</v>
      </c>
      <c r="BS66" t="s">
        <v>59</v>
      </c>
      <c r="BT66" t="s">
        <v>59</v>
      </c>
      <c r="BU66" t="s">
        <v>59</v>
      </c>
      <c r="BV66" t="s">
        <v>59</v>
      </c>
      <c r="BW66" t="s">
        <v>59</v>
      </c>
      <c r="BX66" t="s">
        <v>59</v>
      </c>
      <c r="BY66" t="s">
        <v>59</v>
      </c>
      <c r="BZ66" t="s">
        <v>59</v>
      </c>
      <c r="CA66" t="s">
        <v>59</v>
      </c>
      <c r="CB66" t="s">
        <v>59</v>
      </c>
      <c r="CC66" t="s">
        <v>59</v>
      </c>
      <c r="CD66" t="s">
        <v>59</v>
      </c>
      <c r="CE66" t="s">
        <v>59</v>
      </c>
      <c r="CF66" t="s">
        <v>59</v>
      </c>
      <c r="CG66" t="s">
        <v>59</v>
      </c>
      <c r="CH66" t="s">
        <v>59</v>
      </c>
      <c r="CI66" t="s">
        <v>59</v>
      </c>
      <c r="CJ66" t="s">
        <v>59</v>
      </c>
      <c r="CK66" t="s">
        <v>59</v>
      </c>
      <c r="CL66" t="s">
        <v>59</v>
      </c>
      <c r="CM66" t="s">
        <v>59</v>
      </c>
      <c r="CN66" t="s">
        <v>59</v>
      </c>
      <c r="CO66" t="s">
        <v>59</v>
      </c>
      <c r="CP66" t="s">
        <v>218</v>
      </c>
      <c r="CQ66" t="s">
        <v>218</v>
      </c>
      <c r="CR66" t="s">
        <v>59</v>
      </c>
      <c r="CS66" t="s">
        <v>59</v>
      </c>
      <c r="CT66" t="s">
        <v>59</v>
      </c>
      <c r="CU66" t="s">
        <v>59</v>
      </c>
      <c r="CV66" t="s">
        <v>59</v>
      </c>
      <c r="CW66" t="s">
        <v>59</v>
      </c>
      <c r="CX66" t="s">
        <v>59</v>
      </c>
      <c r="CY66" t="s">
        <v>59</v>
      </c>
      <c r="CZ66" t="s">
        <v>59</v>
      </c>
      <c r="DA66" t="s">
        <v>59</v>
      </c>
      <c r="DB66" t="s">
        <v>59</v>
      </c>
      <c r="DC66" t="s">
        <v>59</v>
      </c>
      <c r="DD66" t="s">
        <v>59</v>
      </c>
      <c r="DE66" t="s">
        <v>59</v>
      </c>
      <c r="DF66" t="s">
        <v>59</v>
      </c>
      <c r="DG66" t="s">
        <v>59</v>
      </c>
      <c r="DH66" t="s">
        <v>59</v>
      </c>
      <c r="DI66" t="s">
        <v>59</v>
      </c>
      <c r="DJ66" t="s">
        <v>59</v>
      </c>
      <c r="DK66" t="s">
        <v>59</v>
      </c>
      <c r="DL66" t="s">
        <v>59</v>
      </c>
      <c r="DM66" t="s">
        <v>59</v>
      </c>
      <c r="DN66" t="s">
        <v>59</v>
      </c>
      <c r="DO66" t="s">
        <v>218</v>
      </c>
      <c r="DP66" t="s">
        <v>59</v>
      </c>
      <c r="DQ66" t="s">
        <v>59</v>
      </c>
      <c r="DR66" t="s">
        <v>59</v>
      </c>
      <c r="DS66" t="s">
        <v>59</v>
      </c>
      <c r="DT66" t="s">
        <v>59</v>
      </c>
      <c r="DU66" t="s">
        <v>59</v>
      </c>
      <c r="DV66" t="s">
        <v>59</v>
      </c>
      <c r="DW66" t="s">
        <v>59</v>
      </c>
      <c r="DX66" t="s">
        <v>59</v>
      </c>
      <c r="DY66" t="s">
        <v>59</v>
      </c>
      <c r="DZ66" t="s">
        <v>59</v>
      </c>
      <c r="EA66" t="s">
        <v>59</v>
      </c>
      <c r="EB66" t="s">
        <v>59</v>
      </c>
      <c r="EC66" t="s">
        <v>218</v>
      </c>
      <c r="ED66" t="s">
        <v>59</v>
      </c>
      <c r="EE66" t="s">
        <v>59</v>
      </c>
      <c r="EF66" t="s">
        <v>59</v>
      </c>
      <c r="EG66" t="s">
        <v>59</v>
      </c>
      <c r="EH66" t="s">
        <v>59</v>
      </c>
      <c r="EI66" t="s">
        <v>59</v>
      </c>
      <c r="EJ66" t="s">
        <v>59</v>
      </c>
      <c r="EK66" t="s">
        <v>59</v>
      </c>
      <c r="EL66" t="s">
        <v>59</v>
      </c>
      <c r="EM66" t="s">
        <v>59</v>
      </c>
      <c r="EN66" t="s">
        <v>59</v>
      </c>
      <c r="EO66" t="s">
        <v>59</v>
      </c>
      <c r="EP66" t="s">
        <v>59</v>
      </c>
      <c r="EQ66" t="s">
        <v>59</v>
      </c>
      <c r="ER66" t="s">
        <v>59</v>
      </c>
      <c r="ES66" t="s">
        <v>59</v>
      </c>
      <c r="ET66" t="s">
        <v>59</v>
      </c>
      <c r="EU66" t="s">
        <v>59</v>
      </c>
      <c r="EV66" t="s">
        <v>59</v>
      </c>
      <c r="EW66" t="s">
        <v>59</v>
      </c>
      <c r="EX66" t="s">
        <v>59</v>
      </c>
      <c r="EY66" t="s">
        <v>59</v>
      </c>
      <c r="EZ66" t="s">
        <v>59</v>
      </c>
      <c r="FA66" t="s">
        <v>59</v>
      </c>
      <c r="FB66" t="s">
        <v>59</v>
      </c>
      <c r="FC66" t="s">
        <v>59</v>
      </c>
      <c r="FD66" t="s">
        <v>59</v>
      </c>
      <c r="FE66" t="s">
        <v>59</v>
      </c>
      <c r="FF66" t="s">
        <v>59</v>
      </c>
      <c r="FG66" t="s">
        <v>59</v>
      </c>
      <c r="FH66" t="s">
        <v>59</v>
      </c>
      <c r="FI66" t="s">
        <v>59</v>
      </c>
      <c r="FJ66" t="s">
        <v>59</v>
      </c>
      <c r="FK66" t="s">
        <v>59</v>
      </c>
      <c r="FL66" t="s">
        <v>59</v>
      </c>
      <c r="FM66" t="s">
        <v>59</v>
      </c>
      <c r="FN66" t="s">
        <v>59</v>
      </c>
      <c r="FO66" t="s">
        <v>218</v>
      </c>
      <c r="FP66" t="s">
        <v>59</v>
      </c>
      <c r="FQ66" t="s">
        <v>59</v>
      </c>
      <c r="FR66" t="s">
        <v>59</v>
      </c>
      <c r="FS66" t="s">
        <v>59</v>
      </c>
      <c r="FT66" t="s">
        <v>59</v>
      </c>
      <c r="FU66" t="s">
        <v>59</v>
      </c>
      <c r="FV66" t="s">
        <v>59</v>
      </c>
      <c r="FW66" t="s">
        <v>59</v>
      </c>
      <c r="FX66" t="s">
        <v>59</v>
      </c>
      <c r="FY66" t="s">
        <v>59</v>
      </c>
      <c r="FZ66" t="s">
        <v>59</v>
      </c>
      <c r="GA66" t="s">
        <v>59</v>
      </c>
      <c r="GB66" t="s">
        <v>59</v>
      </c>
      <c r="GC66" t="s">
        <v>59</v>
      </c>
      <c r="GD66" t="s">
        <v>59</v>
      </c>
      <c r="GE66" t="s">
        <v>59</v>
      </c>
      <c r="GF66" t="s">
        <v>59</v>
      </c>
      <c r="GG66" t="s">
        <v>59</v>
      </c>
      <c r="GH66" t="s">
        <v>59</v>
      </c>
      <c r="GI66" t="s">
        <v>59</v>
      </c>
      <c r="GJ66" t="s">
        <v>59</v>
      </c>
      <c r="GK66" t="s">
        <v>218</v>
      </c>
      <c r="GL66" t="s">
        <v>59</v>
      </c>
      <c r="GM66" t="s">
        <v>59</v>
      </c>
      <c r="GN66" t="s">
        <v>59</v>
      </c>
      <c r="GO66" t="s">
        <v>59</v>
      </c>
      <c r="GP66" t="s">
        <v>59</v>
      </c>
      <c r="GQ66" t="s">
        <v>59</v>
      </c>
      <c r="GR66" t="s">
        <v>59</v>
      </c>
      <c r="GS66" t="s">
        <v>59</v>
      </c>
      <c r="GT66" t="s">
        <v>59</v>
      </c>
      <c r="GU66" t="s">
        <v>59</v>
      </c>
      <c r="GV66" t="s">
        <v>59</v>
      </c>
      <c r="GW66" t="s">
        <v>59</v>
      </c>
      <c r="GX66" t="s">
        <v>59</v>
      </c>
      <c r="GY66" t="s">
        <v>59</v>
      </c>
      <c r="GZ66" t="s">
        <v>59</v>
      </c>
      <c r="HA66" t="s">
        <v>218</v>
      </c>
      <c r="HB66" t="s">
        <v>59</v>
      </c>
      <c r="HC66" t="s">
        <v>59</v>
      </c>
      <c r="HD66" t="s">
        <v>59</v>
      </c>
      <c r="HE66" t="s">
        <v>59</v>
      </c>
      <c r="HF66" t="s">
        <v>59</v>
      </c>
      <c r="HG66" t="s">
        <v>59</v>
      </c>
      <c r="HH66" t="s">
        <v>59</v>
      </c>
      <c r="HI66" t="s">
        <v>59</v>
      </c>
      <c r="HJ66" t="s">
        <v>59</v>
      </c>
      <c r="HK66" t="s">
        <v>59</v>
      </c>
      <c r="HL66" t="s">
        <v>218</v>
      </c>
      <c r="HM66" t="s">
        <v>218</v>
      </c>
      <c r="HN66" t="s">
        <v>218</v>
      </c>
      <c r="HO66" t="s">
        <v>218</v>
      </c>
      <c r="HP66" t="s">
        <v>59</v>
      </c>
      <c r="HQ66" t="s">
        <v>59</v>
      </c>
      <c r="HR66" t="s">
        <v>59</v>
      </c>
      <c r="HS66" t="s">
        <v>59</v>
      </c>
      <c r="HT66" t="s">
        <v>59</v>
      </c>
      <c r="HU66" t="s">
        <v>59</v>
      </c>
      <c r="HV66" t="s">
        <v>59</v>
      </c>
      <c r="HW66" t="s">
        <v>59</v>
      </c>
      <c r="HX66" t="s">
        <v>59</v>
      </c>
      <c r="HY66" t="s">
        <v>59</v>
      </c>
      <c r="HZ66" t="s">
        <v>59</v>
      </c>
      <c r="IA66" t="s">
        <v>59</v>
      </c>
      <c r="IB66" t="s">
        <v>59</v>
      </c>
      <c r="IC66" t="s">
        <v>59</v>
      </c>
      <c r="ID66" t="s">
        <v>59</v>
      </c>
      <c r="IE66" t="s">
        <v>59</v>
      </c>
      <c r="IF66" t="s">
        <v>59</v>
      </c>
      <c r="IG66" t="s">
        <v>59</v>
      </c>
      <c r="IH66" t="s">
        <v>59</v>
      </c>
      <c r="II66" t="s">
        <v>59</v>
      </c>
      <c r="IJ66" t="s">
        <v>129</v>
      </c>
      <c r="IK66" t="s">
        <v>191</v>
      </c>
      <c r="IL66" t="s">
        <v>128</v>
      </c>
      <c r="IM66" t="s">
        <v>199</v>
      </c>
      <c r="IN66">
        <v>26</v>
      </c>
      <c r="IO66" t="s">
        <v>2730</v>
      </c>
      <c r="IP66" t="s">
        <v>2730</v>
      </c>
      <c r="IQ66" t="s">
        <v>2730</v>
      </c>
      <c r="IR66">
        <v>15</v>
      </c>
      <c r="IS66" t="s">
        <v>2730</v>
      </c>
      <c r="IT66" t="s">
        <v>2730</v>
      </c>
      <c r="IU66" t="s">
        <v>2730</v>
      </c>
      <c r="IV66">
        <v>17</v>
      </c>
      <c r="IW66" t="s">
        <v>2730</v>
      </c>
      <c r="IX66" t="s">
        <v>2730</v>
      </c>
      <c r="IY66" t="s">
        <v>2730</v>
      </c>
      <c r="IZ66">
        <v>57</v>
      </c>
      <c r="JA66" t="s">
        <v>2730</v>
      </c>
      <c r="JB66" t="s">
        <v>2730</v>
      </c>
      <c r="JC66" t="s">
        <v>2730</v>
      </c>
      <c r="JD66">
        <v>24</v>
      </c>
      <c r="JE66" t="s">
        <v>2730</v>
      </c>
      <c r="JF66" t="s">
        <v>2730</v>
      </c>
      <c r="JG66" t="s">
        <v>2730</v>
      </c>
      <c r="JH66">
        <v>25</v>
      </c>
      <c r="JI66" t="s">
        <v>2730</v>
      </c>
      <c r="JJ66" t="s">
        <v>2730</v>
      </c>
      <c r="JK66" t="s">
        <v>2730</v>
      </c>
      <c r="JL66">
        <v>16</v>
      </c>
      <c r="JM66" t="s">
        <v>2730</v>
      </c>
      <c r="JN66" t="s">
        <v>2730</v>
      </c>
      <c r="JO66">
        <v>4</v>
      </c>
      <c r="JP66" t="s">
        <v>2730</v>
      </c>
      <c r="JQ66" t="s">
        <v>2730</v>
      </c>
    </row>
    <row r="67" spans="1:277">
      <c r="A67" s="149" t="str">
        <f>HYPERLINK("http://www.ofsted.gov.uk/inspection-reports/find-inspection-report/provider/ELS/100526 ","Ofsted School Webpage")</f>
        <v>Ofsted School Webpage</v>
      </c>
      <c r="B67">
        <v>1133541</v>
      </c>
      <c r="C67">
        <v>100526</v>
      </c>
      <c r="D67">
        <v>2076262</v>
      </c>
      <c r="E67" t="s">
        <v>1954</v>
      </c>
      <c r="F67" t="s">
        <v>37</v>
      </c>
      <c r="G67" t="s">
        <v>209</v>
      </c>
      <c r="H67" t="s">
        <v>232</v>
      </c>
      <c r="I67" t="s">
        <v>232</v>
      </c>
      <c r="J67" t="s">
        <v>294</v>
      </c>
      <c r="K67" t="s">
        <v>1955</v>
      </c>
      <c r="L67" t="s">
        <v>184</v>
      </c>
      <c r="M67" t="s">
        <v>185</v>
      </c>
      <c r="N67" t="s">
        <v>184</v>
      </c>
      <c r="O67" t="s">
        <v>2730</v>
      </c>
      <c r="P67" t="s">
        <v>186</v>
      </c>
      <c r="Q67">
        <v>10034187</v>
      </c>
      <c r="R67" s="120">
        <v>43004</v>
      </c>
      <c r="S67" s="120">
        <v>43006</v>
      </c>
      <c r="T67" s="120">
        <v>43076</v>
      </c>
      <c r="U67" t="s">
        <v>2730</v>
      </c>
      <c r="V67" t="s">
        <v>267</v>
      </c>
      <c r="W67" t="s">
        <v>2730</v>
      </c>
      <c r="X67" t="s">
        <v>197</v>
      </c>
      <c r="Y67">
        <v>4</v>
      </c>
      <c r="Z67">
        <v>4</v>
      </c>
      <c r="AA67">
        <v>4</v>
      </c>
      <c r="AB67">
        <v>2</v>
      </c>
      <c r="AC67">
        <v>2</v>
      </c>
      <c r="AD67" t="s">
        <v>2730</v>
      </c>
      <c r="AE67">
        <v>4</v>
      </c>
      <c r="AF67" t="s">
        <v>129</v>
      </c>
      <c r="AG67" t="s">
        <v>2730</v>
      </c>
      <c r="AH67" t="s">
        <v>2733</v>
      </c>
      <c r="AI67" t="s">
        <v>59</v>
      </c>
      <c r="AJ67" t="s">
        <v>59</v>
      </c>
      <c r="AK67" t="s">
        <v>60</v>
      </c>
      <c r="AL67" t="s">
        <v>60</v>
      </c>
      <c r="AM67" t="s">
        <v>59</v>
      </c>
      <c r="AN67" t="s">
        <v>59</v>
      </c>
      <c r="AO67" t="s">
        <v>59</v>
      </c>
      <c r="AP67" t="s">
        <v>60</v>
      </c>
      <c r="AQ67" t="s">
        <v>59</v>
      </c>
      <c r="AR67" t="s">
        <v>59</v>
      </c>
      <c r="AS67" t="s">
        <v>59</v>
      </c>
      <c r="AT67" t="s">
        <v>59</v>
      </c>
      <c r="AU67" t="s">
        <v>59</v>
      </c>
      <c r="AV67" t="s">
        <v>59</v>
      </c>
      <c r="AW67" t="s">
        <v>59</v>
      </c>
      <c r="AX67" t="s">
        <v>59</v>
      </c>
      <c r="AY67" t="s">
        <v>191</v>
      </c>
      <c r="AZ67" t="s">
        <v>59</v>
      </c>
      <c r="BA67" t="s">
        <v>59</v>
      </c>
      <c r="BB67" t="s">
        <v>59</v>
      </c>
      <c r="BC67" t="s">
        <v>59</v>
      </c>
      <c r="BD67" t="s">
        <v>59</v>
      </c>
      <c r="BE67" t="s">
        <v>59</v>
      </c>
      <c r="BF67" t="s">
        <v>59</v>
      </c>
      <c r="BG67" t="s">
        <v>191</v>
      </c>
      <c r="BH67" t="s">
        <v>59</v>
      </c>
      <c r="BI67" t="s">
        <v>59</v>
      </c>
      <c r="BJ67" t="s">
        <v>59</v>
      </c>
      <c r="BK67" t="s">
        <v>59</v>
      </c>
      <c r="BL67" t="s">
        <v>59</v>
      </c>
      <c r="BM67" t="s">
        <v>59</v>
      </c>
      <c r="BN67" t="s">
        <v>59</v>
      </c>
      <c r="BO67" t="s">
        <v>59</v>
      </c>
      <c r="BP67" t="s">
        <v>59</v>
      </c>
      <c r="BQ67" t="s">
        <v>59</v>
      </c>
      <c r="BR67" t="s">
        <v>59</v>
      </c>
      <c r="BS67" t="s">
        <v>59</v>
      </c>
      <c r="BT67" t="s">
        <v>59</v>
      </c>
      <c r="BU67" t="s">
        <v>59</v>
      </c>
      <c r="BV67" t="s">
        <v>59</v>
      </c>
      <c r="BW67" t="s">
        <v>59</v>
      </c>
      <c r="BX67" t="s">
        <v>59</v>
      </c>
      <c r="BY67" t="s">
        <v>59</v>
      </c>
      <c r="BZ67" t="s">
        <v>59</v>
      </c>
      <c r="CA67" t="s">
        <v>59</v>
      </c>
      <c r="CB67" t="s">
        <v>59</v>
      </c>
      <c r="CC67" t="s">
        <v>59</v>
      </c>
      <c r="CD67" t="s">
        <v>59</v>
      </c>
      <c r="CE67" t="s">
        <v>59</v>
      </c>
      <c r="CF67" t="s">
        <v>59</v>
      </c>
      <c r="CG67" t="s">
        <v>59</v>
      </c>
      <c r="CH67" t="s">
        <v>59</v>
      </c>
      <c r="CI67" t="s">
        <v>59</v>
      </c>
      <c r="CJ67" t="s">
        <v>59</v>
      </c>
      <c r="CK67" t="s">
        <v>59</v>
      </c>
      <c r="CL67" t="s">
        <v>60</v>
      </c>
      <c r="CM67" t="s">
        <v>60</v>
      </c>
      <c r="CN67" t="s">
        <v>60</v>
      </c>
      <c r="CO67" t="s">
        <v>60</v>
      </c>
      <c r="CP67" t="s">
        <v>60</v>
      </c>
      <c r="CQ67" t="s">
        <v>60</v>
      </c>
      <c r="CR67" t="s">
        <v>59</v>
      </c>
      <c r="CS67" t="s">
        <v>59</v>
      </c>
      <c r="CT67" t="s">
        <v>59</v>
      </c>
      <c r="CU67" t="s">
        <v>59</v>
      </c>
      <c r="CV67" t="s">
        <v>59</v>
      </c>
      <c r="CW67" t="s">
        <v>60</v>
      </c>
      <c r="CX67" t="s">
        <v>60</v>
      </c>
      <c r="CY67" t="s">
        <v>59</v>
      </c>
      <c r="CZ67" t="s">
        <v>59</v>
      </c>
      <c r="DA67" t="s">
        <v>59</v>
      </c>
      <c r="DB67" t="s">
        <v>60</v>
      </c>
      <c r="DC67" t="s">
        <v>60</v>
      </c>
      <c r="DD67" t="s">
        <v>60</v>
      </c>
      <c r="DE67" t="s">
        <v>60</v>
      </c>
      <c r="DF67" t="s">
        <v>60</v>
      </c>
      <c r="DG67" t="s">
        <v>60</v>
      </c>
      <c r="DH67" t="s">
        <v>60</v>
      </c>
      <c r="DI67" t="s">
        <v>59</v>
      </c>
      <c r="DJ67" t="s">
        <v>59</v>
      </c>
      <c r="DK67" t="s">
        <v>59</v>
      </c>
      <c r="DL67" t="s">
        <v>60</v>
      </c>
      <c r="DM67" t="s">
        <v>60</v>
      </c>
      <c r="DN67" t="s">
        <v>59</v>
      </c>
      <c r="DO67" t="s">
        <v>60</v>
      </c>
      <c r="DP67" t="s">
        <v>60</v>
      </c>
      <c r="DQ67" t="s">
        <v>191</v>
      </c>
      <c r="DR67" t="s">
        <v>191</v>
      </c>
      <c r="DS67" t="s">
        <v>191</v>
      </c>
      <c r="DT67" t="s">
        <v>191</v>
      </c>
      <c r="DU67" t="s">
        <v>191</v>
      </c>
      <c r="DV67" t="s">
        <v>191</v>
      </c>
      <c r="DW67" t="s">
        <v>191</v>
      </c>
      <c r="DX67" t="s">
        <v>191</v>
      </c>
      <c r="DY67" t="s">
        <v>191</v>
      </c>
      <c r="DZ67" t="s">
        <v>191</v>
      </c>
      <c r="EA67" t="s">
        <v>191</v>
      </c>
      <c r="EB67" t="s">
        <v>191</v>
      </c>
      <c r="EC67" t="s">
        <v>191</v>
      </c>
      <c r="ED67" t="s">
        <v>191</v>
      </c>
      <c r="EE67" t="s">
        <v>191</v>
      </c>
      <c r="EF67" t="s">
        <v>191</v>
      </c>
      <c r="EG67" t="s">
        <v>191</v>
      </c>
      <c r="EH67" t="s">
        <v>191</v>
      </c>
      <c r="EI67" t="s">
        <v>191</v>
      </c>
      <c r="EJ67" t="s">
        <v>191</v>
      </c>
      <c r="EK67" t="s">
        <v>191</v>
      </c>
      <c r="EL67" t="s">
        <v>191</v>
      </c>
      <c r="EM67" t="s">
        <v>191</v>
      </c>
      <c r="EN67" t="s">
        <v>60</v>
      </c>
      <c r="EO67" t="s">
        <v>59</v>
      </c>
      <c r="EP67" t="s">
        <v>60</v>
      </c>
      <c r="EQ67" t="s">
        <v>59</v>
      </c>
      <c r="ER67" t="s">
        <v>59</v>
      </c>
      <c r="ES67" t="s">
        <v>59</v>
      </c>
      <c r="ET67" t="s">
        <v>60</v>
      </c>
      <c r="EU67" t="s">
        <v>60</v>
      </c>
      <c r="EV67" t="s">
        <v>60</v>
      </c>
      <c r="EW67" t="s">
        <v>60</v>
      </c>
      <c r="EX67" t="s">
        <v>59</v>
      </c>
      <c r="EY67" t="s">
        <v>59</v>
      </c>
      <c r="EZ67" t="s">
        <v>60</v>
      </c>
      <c r="FA67" t="s">
        <v>60</v>
      </c>
      <c r="FB67" t="s">
        <v>191</v>
      </c>
      <c r="FC67" t="s">
        <v>191</v>
      </c>
      <c r="FD67" t="s">
        <v>191</v>
      </c>
      <c r="FE67" t="s">
        <v>191</v>
      </c>
      <c r="FF67" t="s">
        <v>191</v>
      </c>
      <c r="FG67" t="s">
        <v>191</v>
      </c>
      <c r="FH67" t="s">
        <v>191</v>
      </c>
      <c r="FI67" t="s">
        <v>191</v>
      </c>
      <c r="FJ67" t="s">
        <v>191</v>
      </c>
      <c r="FK67" t="s">
        <v>191</v>
      </c>
      <c r="FL67" t="s">
        <v>59</v>
      </c>
      <c r="FM67" t="s">
        <v>59</v>
      </c>
      <c r="FN67" t="s">
        <v>59</v>
      </c>
      <c r="FO67" t="s">
        <v>59</v>
      </c>
      <c r="FP67" t="s">
        <v>59</v>
      </c>
      <c r="FQ67" t="s">
        <v>59</v>
      </c>
      <c r="FR67" t="s">
        <v>59</v>
      </c>
      <c r="FS67" t="s">
        <v>191</v>
      </c>
      <c r="FT67" t="s">
        <v>59</v>
      </c>
      <c r="FU67" t="s">
        <v>59</v>
      </c>
      <c r="FV67" t="s">
        <v>59</v>
      </c>
      <c r="FW67" t="s">
        <v>59</v>
      </c>
      <c r="FX67" t="s">
        <v>59</v>
      </c>
      <c r="FY67" t="s">
        <v>59</v>
      </c>
      <c r="FZ67" t="s">
        <v>59</v>
      </c>
      <c r="GA67" t="s">
        <v>59</v>
      </c>
      <c r="GB67" t="s">
        <v>59</v>
      </c>
      <c r="GC67" t="s">
        <v>59</v>
      </c>
      <c r="GD67" t="s">
        <v>59</v>
      </c>
      <c r="GE67" t="s">
        <v>59</v>
      </c>
      <c r="GF67" t="s">
        <v>59</v>
      </c>
      <c r="GG67" t="s">
        <v>59</v>
      </c>
      <c r="GH67" t="s">
        <v>59</v>
      </c>
      <c r="GI67" t="s">
        <v>59</v>
      </c>
      <c r="GJ67" t="s">
        <v>59</v>
      </c>
      <c r="GK67" t="s">
        <v>59</v>
      </c>
      <c r="GL67" t="s">
        <v>59</v>
      </c>
      <c r="GM67" t="s">
        <v>59</v>
      </c>
      <c r="GN67" t="s">
        <v>59</v>
      </c>
      <c r="GO67" t="s">
        <v>59</v>
      </c>
      <c r="GP67" t="s">
        <v>59</v>
      </c>
      <c r="GQ67" t="s">
        <v>59</v>
      </c>
      <c r="GR67" t="s">
        <v>59</v>
      </c>
      <c r="GS67" t="s">
        <v>59</v>
      </c>
      <c r="GT67" t="s">
        <v>191</v>
      </c>
      <c r="GU67" t="s">
        <v>191</v>
      </c>
      <c r="GV67" t="s">
        <v>59</v>
      </c>
      <c r="GW67" t="s">
        <v>59</v>
      </c>
      <c r="GX67" t="s">
        <v>59</v>
      </c>
      <c r="GY67" t="s">
        <v>59</v>
      </c>
      <c r="GZ67" t="s">
        <v>191</v>
      </c>
      <c r="HA67" t="s">
        <v>59</v>
      </c>
      <c r="HB67" t="s">
        <v>59</v>
      </c>
      <c r="HC67" t="s">
        <v>59</v>
      </c>
      <c r="HD67" t="s">
        <v>59</v>
      </c>
      <c r="HE67" t="s">
        <v>59</v>
      </c>
      <c r="HF67" t="s">
        <v>59</v>
      </c>
      <c r="HG67" t="s">
        <v>59</v>
      </c>
      <c r="HH67" t="s">
        <v>59</v>
      </c>
      <c r="HI67" t="s">
        <v>59</v>
      </c>
      <c r="HJ67" t="s">
        <v>59</v>
      </c>
      <c r="HK67" t="s">
        <v>59</v>
      </c>
      <c r="HL67" t="s">
        <v>191</v>
      </c>
      <c r="HM67" t="s">
        <v>191</v>
      </c>
      <c r="HN67" t="s">
        <v>191</v>
      </c>
      <c r="HO67" t="s">
        <v>191</v>
      </c>
      <c r="HP67" t="s">
        <v>59</v>
      </c>
      <c r="HQ67" t="s">
        <v>59</v>
      </c>
      <c r="HR67" t="s">
        <v>59</v>
      </c>
      <c r="HS67" t="s">
        <v>59</v>
      </c>
      <c r="HT67" t="s">
        <v>59</v>
      </c>
      <c r="HU67" t="s">
        <v>59</v>
      </c>
      <c r="HV67" t="s">
        <v>59</v>
      </c>
      <c r="HW67" t="s">
        <v>59</v>
      </c>
      <c r="HX67" t="s">
        <v>59</v>
      </c>
      <c r="HY67" t="s">
        <v>59</v>
      </c>
      <c r="HZ67" t="s">
        <v>59</v>
      </c>
      <c r="IA67" t="s">
        <v>59</v>
      </c>
      <c r="IB67" t="s">
        <v>59</v>
      </c>
      <c r="IC67" t="s">
        <v>59</v>
      </c>
      <c r="ID67" t="s">
        <v>59</v>
      </c>
      <c r="IE67" t="s">
        <v>59</v>
      </c>
      <c r="IF67" t="s">
        <v>60</v>
      </c>
      <c r="IG67" t="s">
        <v>60</v>
      </c>
      <c r="IH67" t="s">
        <v>60</v>
      </c>
      <c r="II67" t="s">
        <v>60</v>
      </c>
      <c r="IJ67" t="s">
        <v>128</v>
      </c>
      <c r="IK67" t="s">
        <v>129</v>
      </c>
      <c r="IL67" t="s">
        <v>128</v>
      </c>
      <c r="IM67" t="s">
        <v>199</v>
      </c>
      <c r="IN67">
        <v>30</v>
      </c>
      <c r="IO67" t="s">
        <v>2730</v>
      </c>
      <c r="IP67">
        <v>2</v>
      </c>
      <c r="IQ67" t="s">
        <v>2730</v>
      </c>
      <c r="IR67">
        <v>15</v>
      </c>
      <c r="IS67" t="s">
        <v>2730</v>
      </c>
      <c r="IT67" t="s">
        <v>2730</v>
      </c>
      <c r="IU67" t="s">
        <v>2730</v>
      </c>
      <c r="IV67">
        <v>8</v>
      </c>
      <c r="IW67" t="s">
        <v>2730</v>
      </c>
      <c r="IX67" t="s">
        <v>2730</v>
      </c>
      <c r="IY67">
        <v>11</v>
      </c>
      <c r="IZ67">
        <v>10</v>
      </c>
      <c r="JA67" t="s">
        <v>2730</v>
      </c>
      <c r="JB67">
        <v>33</v>
      </c>
      <c r="JC67">
        <v>16</v>
      </c>
      <c r="JD67">
        <v>25</v>
      </c>
      <c r="JE67" t="s">
        <v>2730</v>
      </c>
      <c r="JF67">
        <v>1</v>
      </c>
      <c r="JG67" t="s">
        <v>2730</v>
      </c>
      <c r="JH67">
        <v>23</v>
      </c>
      <c r="JI67" t="s">
        <v>2730</v>
      </c>
      <c r="JJ67">
        <v>7</v>
      </c>
      <c r="JK67" t="s">
        <v>2730</v>
      </c>
      <c r="JL67">
        <v>16</v>
      </c>
      <c r="JM67" t="s">
        <v>2730</v>
      </c>
      <c r="JN67" t="s">
        <v>2730</v>
      </c>
      <c r="JO67" t="s">
        <v>2730</v>
      </c>
      <c r="JP67" t="s">
        <v>2730</v>
      </c>
      <c r="JQ67">
        <v>4</v>
      </c>
    </row>
    <row r="68" spans="1:277">
      <c r="A68" s="149" t="str">
        <f>HYPERLINK("http://www.ofsted.gov.uk/inspection-reports/find-inspection-report/provider/ELS/135452 ","Ofsted School Webpage")</f>
        <v>Ofsted School Webpage</v>
      </c>
      <c r="B68">
        <v>1133671</v>
      </c>
      <c r="C68">
        <v>135452</v>
      </c>
      <c r="D68">
        <v>2116395</v>
      </c>
      <c r="E68" t="s">
        <v>538</v>
      </c>
      <c r="F68" t="s">
        <v>37</v>
      </c>
      <c r="G68" t="s">
        <v>209</v>
      </c>
      <c r="H68" t="s">
        <v>232</v>
      </c>
      <c r="I68" t="s">
        <v>232</v>
      </c>
      <c r="J68" t="s">
        <v>539</v>
      </c>
      <c r="K68" t="s">
        <v>540</v>
      </c>
      <c r="L68" t="s">
        <v>184</v>
      </c>
      <c r="M68" t="s">
        <v>185</v>
      </c>
      <c r="N68" t="s">
        <v>184</v>
      </c>
      <c r="O68" t="s">
        <v>2730</v>
      </c>
      <c r="P68" t="s">
        <v>186</v>
      </c>
      <c r="Q68">
        <v>10006020</v>
      </c>
      <c r="R68" s="120">
        <v>42997</v>
      </c>
      <c r="S68" s="120">
        <v>42999</v>
      </c>
      <c r="T68" s="120">
        <v>43040</v>
      </c>
      <c r="U68" t="s">
        <v>2730</v>
      </c>
      <c r="V68" t="s">
        <v>196</v>
      </c>
      <c r="W68" t="s">
        <v>2730</v>
      </c>
      <c r="X68" t="s">
        <v>197</v>
      </c>
      <c r="Y68">
        <v>3</v>
      </c>
      <c r="Z68">
        <v>3</v>
      </c>
      <c r="AA68">
        <v>0</v>
      </c>
      <c r="AB68">
        <v>0</v>
      </c>
      <c r="AC68">
        <v>0</v>
      </c>
      <c r="AD68">
        <v>0</v>
      </c>
      <c r="AE68" t="s">
        <v>2730</v>
      </c>
      <c r="AF68" t="s">
        <v>128</v>
      </c>
      <c r="AG68" t="s">
        <v>2730</v>
      </c>
      <c r="AH68" t="s">
        <v>2733</v>
      </c>
      <c r="AI68" t="s">
        <v>203</v>
      </c>
      <c r="AJ68" t="s">
        <v>203</v>
      </c>
      <c r="AK68" t="s">
        <v>59</v>
      </c>
      <c r="AL68" t="s">
        <v>59</v>
      </c>
      <c r="AM68" t="s">
        <v>60</v>
      </c>
      <c r="AN68" t="s">
        <v>60</v>
      </c>
      <c r="AO68" t="s">
        <v>60</v>
      </c>
      <c r="AP68" t="s">
        <v>60</v>
      </c>
      <c r="AQ68" t="s">
        <v>203</v>
      </c>
      <c r="AR68" t="s">
        <v>203</v>
      </c>
      <c r="AS68" t="s">
        <v>59</v>
      </c>
      <c r="AT68" t="s">
        <v>59</v>
      </c>
      <c r="AU68" t="s">
        <v>59</v>
      </c>
      <c r="AV68" t="s">
        <v>203</v>
      </c>
      <c r="AW68" t="s">
        <v>59</v>
      </c>
      <c r="AX68" t="s">
        <v>203</v>
      </c>
      <c r="AY68" t="s">
        <v>191</v>
      </c>
      <c r="AZ68" t="s">
        <v>203</v>
      </c>
      <c r="BA68" t="s">
        <v>59</v>
      </c>
      <c r="BB68" t="s">
        <v>59</v>
      </c>
      <c r="BC68" t="s">
        <v>203</v>
      </c>
      <c r="BD68" t="s">
        <v>203</v>
      </c>
      <c r="BE68" t="s">
        <v>203</v>
      </c>
      <c r="BF68" t="s">
        <v>203</v>
      </c>
      <c r="BG68" t="s">
        <v>59</v>
      </c>
      <c r="BH68" t="s">
        <v>203</v>
      </c>
      <c r="BI68" t="s">
        <v>203</v>
      </c>
      <c r="BJ68" t="s">
        <v>203</v>
      </c>
      <c r="BK68" t="s">
        <v>203</v>
      </c>
      <c r="BL68" t="s">
        <v>203</v>
      </c>
      <c r="BM68" t="s">
        <v>203</v>
      </c>
      <c r="BN68" t="s">
        <v>203</v>
      </c>
      <c r="BO68" t="s">
        <v>203</v>
      </c>
      <c r="BP68" t="s">
        <v>203</v>
      </c>
      <c r="BQ68" t="s">
        <v>203</v>
      </c>
      <c r="BR68" t="s">
        <v>203</v>
      </c>
      <c r="BS68" t="s">
        <v>203</v>
      </c>
      <c r="BT68" t="s">
        <v>203</v>
      </c>
      <c r="BU68" t="s">
        <v>203</v>
      </c>
      <c r="BV68" t="s">
        <v>59</v>
      </c>
      <c r="BW68" t="s">
        <v>203</v>
      </c>
      <c r="BX68" t="s">
        <v>203</v>
      </c>
      <c r="BY68" t="s">
        <v>203</v>
      </c>
      <c r="BZ68" t="s">
        <v>203</v>
      </c>
      <c r="CA68" t="s">
        <v>203</v>
      </c>
      <c r="CB68" t="s">
        <v>203</v>
      </c>
      <c r="CC68" t="s">
        <v>203</v>
      </c>
      <c r="CD68" t="s">
        <v>203</v>
      </c>
      <c r="CE68" t="s">
        <v>203</v>
      </c>
      <c r="CF68" t="s">
        <v>203</v>
      </c>
      <c r="CG68" t="s">
        <v>203</v>
      </c>
      <c r="CH68" t="s">
        <v>203</v>
      </c>
      <c r="CI68" t="s">
        <v>203</v>
      </c>
      <c r="CJ68" t="s">
        <v>203</v>
      </c>
      <c r="CK68" t="s">
        <v>203</v>
      </c>
      <c r="CL68" t="s">
        <v>59</v>
      </c>
      <c r="CM68" t="s">
        <v>59</v>
      </c>
      <c r="CN68" t="s">
        <v>59</v>
      </c>
      <c r="CO68" t="s">
        <v>191</v>
      </c>
      <c r="CP68" t="s">
        <v>191</v>
      </c>
      <c r="CQ68" t="s">
        <v>191</v>
      </c>
      <c r="CR68" t="s">
        <v>59</v>
      </c>
      <c r="CS68" t="s">
        <v>59</v>
      </c>
      <c r="CT68" t="s">
        <v>203</v>
      </c>
      <c r="CU68" t="s">
        <v>59</v>
      </c>
      <c r="CV68" t="s">
        <v>203</v>
      </c>
      <c r="CW68" t="s">
        <v>59</v>
      </c>
      <c r="CX68" t="s">
        <v>60</v>
      </c>
      <c r="CY68" t="s">
        <v>59</v>
      </c>
      <c r="CZ68" t="s">
        <v>59</v>
      </c>
      <c r="DA68" t="s">
        <v>60</v>
      </c>
      <c r="DB68" t="s">
        <v>203</v>
      </c>
      <c r="DC68" t="s">
        <v>59</v>
      </c>
      <c r="DD68" t="s">
        <v>203</v>
      </c>
      <c r="DE68" t="s">
        <v>59</v>
      </c>
      <c r="DF68" t="s">
        <v>59</v>
      </c>
      <c r="DG68" t="s">
        <v>59</v>
      </c>
      <c r="DH68" t="s">
        <v>59</v>
      </c>
      <c r="DI68" t="s">
        <v>59</v>
      </c>
      <c r="DJ68" t="s">
        <v>59</v>
      </c>
      <c r="DK68" t="s">
        <v>59</v>
      </c>
      <c r="DL68" t="s">
        <v>59</v>
      </c>
      <c r="DM68" t="s">
        <v>59</v>
      </c>
      <c r="DN68" t="s">
        <v>191</v>
      </c>
      <c r="DO68" t="s">
        <v>191</v>
      </c>
      <c r="DP68" t="s">
        <v>59</v>
      </c>
      <c r="DQ68" t="s">
        <v>191</v>
      </c>
      <c r="DR68" t="s">
        <v>191</v>
      </c>
      <c r="DS68" t="s">
        <v>191</v>
      </c>
      <c r="DT68" t="s">
        <v>191</v>
      </c>
      <c r="DU68" t="s">
        <v>191</v>
      </c>
      <c r="DV68" t="s">
        <v>191</v>
      </c>
      <c r="DW68" t="s">
        <v>191</v>
      </c>
      <c r="DX68" t="s">
        <v>191</v>
      </c>
      <c r="DY68" t="s">
        <v>191</v>
      </c>
      <c r="DZ68" t="s">
        <v>191</v>
      </c>
      <c r="EA68" t="s">
        <v>191</v>
      </c>
      <c r="EB68" t="s">
        <v>191</v>
      </c>
      <c r="EC68" t="s">
        <v>191</v>
      </c>
      <c r="ED68" t="s">
        <v>59</v>
      </c>
      <c r="EE68" t="s">
        <v>59</v>
      </c>
      <c r="EF68" t="s">
        <v>59</v>
      </c>
      <c r="EG68" t="s">
        <v>59</v>
      </c>
      <c r="EH68" t="s">
        <v>59</v>
      </c>
      <c r="EI68" t="s">
        <v>59</v>
      </c>
      <c r="EJ68" t="s">
        <v>59</v>
      </c>
      <c r="EK68" t="s">
        <v>59</v>
      </c>
      <c r="EL68" t="s">
        <v>59</v>
      </c>
      <c r="EM68" t="s">
        <v>59</v>
      </c>
      <c r="EN68" t="s">
        <v>59</v>
      </c>
      <c r="EO68" t="s">
        <v>59</v>
      </c>
      <c r="EP68" t="s">
        <v>59</v>
      </c>
      <c r="EQ68" t="s">
        <v>59</v>
      </c>
      <c r="ER68" t="s">
        <v>59</v>
      </c>
      <c r="ES68" t="s">
        <v>59</v>
      </c>
      <c r="ET68" t="s">
        <v>59</v>
      </c>
      <c r="EU68" t="s">
        <v>59</v>
      </c>
      <c r="EV68" t="s">
        <v>59</v>
      </c>
      <c r="EW68" t="s">
        <v>59</v>
      </c>
      <c r="EX68" t="s">
        <v>59</v>
      </c>
      <c r="EY68" t="s">
        <v>59</v>
      </c>
      <c r="EZ68" t="s">
        <v>59</v>
      </c>
      <c r="FA68" t="s">
        <v>59</v>
      </c>
      <c r="FB68" t="s">
        <v>191</v>
      </c>
      <c r="FC68" t="s">
        <v>191</v>
      </c>
      <c r="FD68" t="s">
        <v>191</v>
      </c>
      <c r="FE68" t="s">
        <v>191</v>
      </c>
      <c r="FF68" t="s">
        <v>191</v>
      </c>
      <c r="FG68" t="s">
        <v>191</v>
      </c>
      <c r="FH68" t="s">
        <v>59</v>
      </c>
      <c r="FI68" t="s">
        <v>59</v>
      </c>
      <c r="FJ68" t="s">
        <v>59</v>
      </c>
      <c r="FK68" t="s">
        <v>59</v>
      </c>
      <c r="FL68" t="s">
        <v>60</v>
      </c>
      <c r="FM68" t="s">
        <v>59</v>
      </c>
      <c r="FN68" t="s">
        <v>59</v>
      </c>
      <c r="FO68" t="s">
        <v>60</v>
      </c>
      <c r="FP68" t="s">
        <v>59</v>
      </c>
      <c r="FQ68" t="s">
        <v>59</v>
      </c>
      <c r="FR68" t="s">
        <v>59</v>
      </c>
      <c r="FS68" t="s">
        <v>191</v>
      </c>
      <c r="FT68" t="s">
        <v>59</v>
      </c>
      <c r="FU68" t="s">
        <v>60</v>
      </c>
      <c r="FV68" t="s">
        <v>59</v>
      </c>
      <c r="FW68" t="s">
        <v>59</v>
      </c>
      <c r="FX68" t="s">
        <v>59</v>
      </c>
      <c r="FY68" t="s">
        <v>59</v>
      </c>
      <c r="FZ68" t="s">
        <v>59</v>
      </c>
      <c r="GA68" t="s">
        <v>59</v>
      </c>
      <c r="GB68" t="s">
        <v>59</v>
      </c>
      <c r="GC68" t="s">
        <v>59</v>
      </c>
      <c r="GD68" t="s">
        <v>59</v>
      </c>
      <c r="GE68" t="s">
        <v>59</v>
      </c>
      <c r="GF68" t="s">
        <v>59</v>
      </c>
      <c r="GG68" t="s">
        <v>59</v>
      </c>
      <c r="GH68" t="s">
        <v>60</v>
      </c>
      <c r="GI68" t="s">
        <v>60</v>
      </c>
      <c r="GJ68" t="s">
        <v>60</v>
      </c>
      <c r="GK68" t="s">
        <v>191</v>
      </c>
      <c r="GL68" t="s">
        <v>60</v>
      </c>
      <c r="GM68" t="s">
        <v>60</v>
      </c>
      <c r="GN68" t="s">
        <v>60</v>
      </c>
      <c r="GO68" t="s">
        <v>59</v>
      </c>
      <c r="GP68" t="s">
        <v>59</v>
      </c>
      <c r="GQ68" t="s">
        <v>191</v>
      </c>
      <c r="GR68" t="s">
        <v>59</v>
      </c>
      <c r="GS68" t="s">
        <v>59</v>
      </c>
      <c r="GT68" t="s">
        <v>191</v>
      </c>
      <c r="GU68" t="s">
        <v>191</v>
      </c>
      <c r="GV68" t="s">
        <v>203</v>
      </c>
      <c r="GW68" t="s">
        <v>60</v>
      </c>
      <c r="GX68" t="s">
        <v>60</v>
      </c>
      <c r="GY68" t="s">
        <v>60</v>
      </c>
      <c r="GZ68" t="s">
        <v>60</v>
      </c>
      <c r="HA68" t="s">
        <v>191</v>
      </c>
      <c r="HB68" t="s">
        <v>60</v>
      </c>
      <c r="HC68" t="s">
        <v>59</v>
      </c>
      <c r="HD68" t="s">
        <v>60</v>
      </c>
      <c r="HE68" t="s">
        <v>60</v>
      </c>
      <c r="HF68" t="s">
        <v>191</v>
      </c>
      <c r="HG68" t="s">
        <v>59</v>
      </c>
      <c r="HH68" t="s">
        <v>59</v>
      </c>
      <c r="HI68" t="s">
        <v>203</v>
      </c>
      <c r="HJ68" t="s">
        <v>59</v>
      </c>
      <c r="HK68" t="s">
        <v>60</v>
      </c>
      <c r="HL68" t="s">
        <v>191</v>
      </c>
      <c r="HM68" t="s">
        <v>191</v>
      </c>
      <c r="HN68" t="s">
        <v>191</v>
      </c>
      <c r="HO68" t="s">
        <v>191</v>
      </c>
      <c r="HP68" t="s">
        <v>60</v>
      </c>
      <c r="HQ68" t="s">
        <v>59</v>
      </c>
      <c r="HR68" t="s">
        <v>59</v>
      </c>
      <c r="HS68" t="s">
        <v>59</v>
      </c>
      <c r="HT68" t="s">
        <v>59</v>
      </c>
      <c r="HU68" t="s">
        <v>59</v>
      </c>
      <c r="HV68" t="s">
        <v>60</v>
      </c>
      <c r="HW68" t="s">
        <v>59</v>
      </c>
      <c r="HX68" t="s">
        <v>60</v>
      </c>
      <c r="HY68" t="s">
        <v>60</v>
      </c>
      <c r="HZ68" t="s">
        <v>60</v>
      </c>
      <c r="IA68" t="s">
        <v>60</v>
      </c>
      <c r="IB68" t="s">
        <v>59</v>
      </c>
      <c r="IC68" t="s">
        <v>59</v>
      </c>
      <c r="ID68" t="s">
        <v>59</v>
      </c>
      <c r="IE68" t="s">
        <v>59</v>
      </c>
      <c r="IF68" t="s">
        <v>60</v>
      </c>
      <c r="IG68" t="s">
        <v>60</v>
      </c>
      <c r="IH68" t="s">
        <v>60</v>
      </c>
      <c r="II68" t="s">
        <v>59</v>
      </c>
      <c r="IJ68" t="s">
        <v>129</v>
      </c>
      <c r="IK68" t="s">
        <v>198</v>
      </c>
      <c r="IL68" t="s">
        <v>128</v>
      </c>
      <c r="IM68" t="s">
        <v>407</v>
      </c>
      <c r="IN68">
        <v>8</v>
      </c>
      <c r="IO68">
        <v>23</v>
      </c>
      <c r="IP68">
        <v>1</v>
      </c>
      <c r="IQ68" t="s">
        <v>2730</v>
      </c>
      <c r="IR68" t="s">
        <v>2730</v>
      </c>
      <c r="IS68">
        <v>15</v>
      </c>
      <c r="IT68" t="s">
        <v>2730</v>
      </c>
      <c r="IU68" t="s">
        <v>2730</v>
      </c>
      <c r="IV68">
        <v>10</v>
      </c>
      <c r="IW68">
        <v>4</v>
      </c>
      <c r="IX68">
        <v>3</v>
      </c>
      <c r="IY68">
        <v>2</v>
      </c>
      <c r="IZ68">
        <v>38</v>
      </c>
      <c r="JA68" t="s">
        <v>2730</v>
      </c>
      <c r="JB68">
        <v>21</v>
      </c>
      <c r="JC68" t="s">
        <v>2730</v>
      </c>
      <c r="JD68">
        <v>18</v>
      </c>
      <c r="JE68" t="s">
        <v>2730</v>
      </c>
      <c r="JF68">
        <v>2</v>
      </c>
      <c r="JG68">
        <v>6</v>
      </c>
      <c r="JH68">
        <v>8</v>
      </c>
      <c r="JI68">
        <v>2</v>
      </c>
      <c r="JJ68">
        <v>9</v>
      </c>
      <c r="JK68">
        <v>11</v>
      </c>
      <c r="JL68">
        <v>10</v>
      </c>
      <c r="JM68" t="s">
        <v>2730</v>
      </c>
      <c r="JN68">
        <v>6</v>
      </c>
      <c r="JO68">
        <v>1</v>
      </c>
      <c r="JP68" t="s">
        <v>2730</v>
      </c>
      <c r="JQ68">
        <v>3</v>
      </c>
    </row>
    <row r="69" spans="1:277">
      <c r="A69" s="149" t="str">
        <f>HYPERLINK("http://www.ofsted.gov.uk/inspection-reports/find-inspection-report/provider/ELS/133349 ","Ofsted School Webpage")</f>
        <v>Ofsted School Webpage</v>
      </c>
      <c r="B69">
        <v>1134221</v>
      </c>
      <c r="C69">
        <v>133349</v>
      </c>
      <c r="D69">
        <v>8566015</v>
      </c>
      <c r="E69" t="s">
        <v>356</v>
      </c>
      <c r="F69" t="s">
        <v>37</v>
      </c>
      <c r="G69" t="s">
        <v>209</v>
      </c>
      <c r="H69" t="s">
        <v>214</v>
      </c>
      <c r="I69" t="s">
        <v>214</v>
      </c>
      <c r="J69" t="s">
        <v>330</v>
      </c>
      <c r="K69" t="s">
        <v>357</v>
      </c>
      <c r="L69" t="s">
        <v>223</v>
      </c>
      <c r="M69" t="s">
        <v>223</v>
      </c>
      <c r="N69" t="s">
        <v>223</v>
      </c>
      <c r="O69" t="s">
        <v>2730</v>
      </c>
      <c r="P69" t="s">
        <v>186</v>
      </c>
      <c r="Q69">
        <v>10039184</v>
      </c>
      <c r="R69" s="120">
        <v>43018</v>
      </c>
      <c r="S69" s="120">
        <v>43020</v>
      </c>
      <c r="T69" s="120">
        <v>43052</v>
      </c>
      <c r="U69" t="s">
        <v>2730</v>
      </c>
      <c r="V69" t="s">
        <v>196</v>
      </c>
      <c r="W69" t="s">
        <v>2730</v>
      </c>
      <c r="X69" t="s">
        <v>197</v>
      </c>
      <c r="Y69">
        <v>2</v>
      </c>
      <c r="Z69">
        <v>2</v>
      </c>
      <c r="AA69">
        <v>1</v>
      </c>
      <c r="AB69">
        <v>2</v>
      </c>
      <c r="AC69">
        <v>2</v>
      </c>
      <c r="AD69" t="s">
        <v>2730</v>
      </c>
      <c r="AE69" t="s">
        <v>2730</v>
      </c>
      <c r="AF69" t="s">
        <v>128</v>
      </c>
      <c r="AG69" t="s">
        <v>2730</v>
      </c>
      <c r="AH69" t="s">
        <v>2732</v>
      </c>
      <c r="AI69" t="s">
        <v>59</v>
      </c>
      <c r="AJ69" t="s">
        <v>59</v>
      </c>
      <c r="AK69" t="s">
        <v>59</v>
      </c>
      <c r="AL69" t="s">
        <v>59</v>
      </c>
      <c r="AM69" t="s">
        <v>59</v>
      </c>
      <c r="AN69" t="s">
        <v>59</v>
      </c>
      <c r="AO69" t="s">
        <v>59</v>
      </c>
      <c r="AP69" t="s">
        <v>59</v>
      </c>
      <c r="AQ69" t="s">
        <v>59</v>
      </c>
      <c r="AR69" t="s">
        <v>59</v>
      </c>
      <c r="AS69" t="s">
        <v>59</v>
      </c>
      <c r="AT69" t="s">
        <v>59</v>
      </c>
      <c r="AU69" t="s">
        <v>59</v>
      </c>
      <c r="AV69" t="s">
        <v>59</v>
      </c>
      <c r="AW69" t="s">
        <v>59</v>
      </c>
      <c r="AX69" t="s">
        <v>59</v>
      </c>
      <c r="AY69" t="s">
        <v>218</v>
      </c>
      <c r="AZ69" t="s">
        <v>59</v>
      </c>
      <c r="BA69" t="s">
        <v>59</v>
      </c>
      <c r="BB69" t="s">
        <v>59</v>
      </c>
      <c r="BC69" t="s">
        <v>59</v>
      </c>
      <c r="BD69" t="s">
        <v>59</v>
      </c>
      <c r="BE69" t="s">
        <v>59</v>
      </c>
      <c r="BF69" t="s">
        <v>59</v>
      </c>
      <c r="BG69" t="s">
        <v>218</v>
      </c>
      <c r="BH69" t="s">
        <v>218</v>
      </c>
      <c r="BI69" t="s">
        <v>59</v>
      </c>
      <c r="BJ69" t="s">
        <v>59</v>
      </c>
      <c r="BK69" t="s">
        <v>59</v>
      </c>
      <c r="BL69" t="s">
        <v>59</v>
      </c>
      <c r="BM69" t="s">
        <v>59</v>
      </c>
      <c r="BN69" t="s">
        <v>59</v>
      </c>
      <c r="BO69" t="s">
        <v>59</v>
      </c>
      <c r="BP69" t="s">
        <v>59</v>
      </c>
      <c r="BQ69" t="s">
        <v>59</v>
      </c>
      <c r="BR69" t="s">
        <v>59</v>
      </c>
      <c r="BS69" t="s">
        <v>59</v>
      </c>
      <c r="BT69" t="s">
        <v>59</v>
      </c>
      <c r="BU69" t="s">
        <v>59</v>
      </c>
      <c r="BV69" t="s">
        <v>59</v>
      </c>
      <c r="BW69" t="s">
        <v>59</v>
      </c>
      <c r="BX69" t="s">
        <v>59</v>
      </c>
      <c r="BY69" t="s">
        <v>59</v>
      </c>
      <c r="BZ69" t="s">
        <v>59</v>
      </c>
      <c r="CA69" t="s">
        <v>59</v>
      </c>
      <c r="CB69" t="s">
        <v>59</v>
      </c>
      <c r="CC69" t="s">
        <v>59</v>
      </c>
      <c r="CD69" t="s">
        <v>59</v>
      </c>
      <c r="CE69" t="s">
        <v>59</v>
      </c>
      <c r="CF69" t="s">
        <v>59</v>
      </c>
      <c r="CG69" t="s">
        <v>59</v>
      </c>
      <c r="CH69" t="s">
        <v>59</v>
      </c>
      <c r="CI69" t="s">
        <v>59</v>
      </c>
      <c r="CJ69" t="s">
        <v>59</v>
      </c>
      <c r="CK69" t="s">
        <v>59</v>
      </c>
      <c r="CL69" t="s">
        <v>59</v>
      </c>
      <c r="CM69" t="s">
        <v>59</v>
      </c>
      <c r="CN69" t="s">
        <v>59</v>
      </c>
      <c r="CO69" t="s">
        <v>218</v>
      </c>
      <c r="CP69" t="s">
        <v>218</v>
      </c>
      <c r="CQ69" t="s">
        <v>218</v>
      </c>
      <c r="CR69" t="s">
        <v>59</v>
      </c>
      <c r="CS69" t="s">
        <v>59</v>
      </c>
      <c r="CT69" t="s">
        <v>59</v>
      </c>
      <c r="CU69" t="s">
        <v>59</v>
      </c>
      <c r="CV69" t="s">
        <v>59</v>
      </c>
      <c r="CW69" t="s">
        <v>59</v>
      </c>
      <c r="CX69" t="s">
        <v>59</v>
      </c>
      <c r="CY69" t="s">
        <v>59</v>
      </c>
      <c r="CZ69" t="s">
        <v>59</v>
      </c>
      <c r="DA69" t="s">
        <v>59</v>
      </c>
      <c r="DB69" t="s">
        <v>59</v>
      </c>
      <c r="DC69" t="s">
        <v>59</v>
      </c>
      <c r="DD69" t="s">
        <v>59</v>
      </c>
      <c r="DE69" t="s">
        <v>59</v>
      </c>
      <c r="DF69" t="s">
        <v>59</v>
      </c>
      <c r="DG69" t="s">
        <v>59</v>
      </c>
      <c r="DH69" t="s">
        <v>59</v>
      </c>
      <c r="DI69" t="s">
        <v>59</v>
      </c>
      <c r="DJ69" t="s">
        <v>59</v>
      </c>
      <c r="DK69" t="s">
        <v>59</v>
      </c>
      <c r="DL69" t="s">
        <v>59</v>
      </c>
      <c r="DM69" t="s">
        <v>59</v>
      </c>
      <c r="DN69" t="s">
        <v>59</v>
      </c>
      <c r="DO69" t="s">
        <v>218</v>
      </c>
      <c r="DP69" t="s">
        <v>59</v>
      </c>
      <c r="DQ69" t="s">
        <v>59</v>
      </c>
      <c r="DR69" t="s">
        <v>59</v>
      </c>
      <c r="DS69" t="s">
        <v>59</v>
      </c>
      <c r="DT69" t="s">
        <v>59</v>
      </c>
      <c r="DU69" t="s">
        <v>59</v>
      </c>
      <c r="DV69" t="s">
        <v>59</v>
      </c>
      <c r="DW69" t="s">
        <v>59</v>
      </c>
      <c r="DX69" t="s">
        <v>59</v>
      </c>
      <c r="DY69" t="s">
        <v>59</v>
      </c>
      <c r="DZ69" t="s">
        <v>59</v>
      </c>
      <c r="EA69" t="s">
        <v>59</v>
      </c>
      <c r="EB69" t="s">
        <v>59</v>
      </c>
      <c r="EC69" t="s">
        <v>218</v>
      </c>
      <c r="ED69" t="s">
        <v>59</v>
      </c>
      <c r="EE69" t="s">
        <v>59</v>
      </c>
      <c r="EF69" t="s">
        <v>59</v>
      </c>
      <c r="EG69" t="s">
        <v>59</v>
      </c>
      <c r="EH69" t="s">
        <v>59</v>
      </c>
      <c r="EI69" t="s">
        <v>59</v>
      </c>
      <c r="EJ69" t="s">
        <v>59</v>
      </c>
      <c r="EK69" t="s">
        <v>59</v>
      </c>
      <c r="EL69" t="s">
        <v>59</v>
      </c>
      <c r="EM69" t="s">
        <v>218</v>
      </c>
      <c r="EN69" t="s">
        <v>59</v>
      </c>
      <c r="EO69" t="s">
        <v>59</v>
      </c>
      <c r="EP69" t="s">
        <v>59</v>
      </c>
      <c r="EQ69" t="s">
        <v>59</v>
      </c>
      <c r="ER69" t="s">
        <v>59</v>
      </c>
      <c r="ES69" t="s">
        <v>59</v>
      </c>
      <c r="ET69" t="s">
        <v>59</v>
      </c>
      <c r="EU69" t="s">
        <v>59</v>
      </c>
      <c r="EV69" t="s">
        <v>59</v>
      </c>
      <c r="EW69" t="s">
        <v>59</v>
      </c>
      <c r="EX69" t="s">
        <v>59</v>
      </c>
      <c r="EY69" t="s">
        <v>59</v>
      </c>
      <c r="EZ69" t="s">
        <v>59</v>
      </c>
      <c r="FA69" t="s">
        <v>59</v>
      </c>
      <c r="FB69" t="s">
        <v>59</v>
      </c>
      <c r="FC69" t="s">
        <v>59</v>
      </c>
      <c r="FD69" t="s">
        <v>59</v>
      </c>
      <c r="FE69" t="s">
        <v>59</v>
      </c>
      <c r="FF69" t="s">
        <v>59</v>
      </c>
      <c r="FG69" t="s">
        <v>59</v>
      </c>
      <c r="FH69" t="s">
        <v>59</v>
      </c>
      <c r="FI69" t="s">
        <v>59</v>
      </c>
      <c r="FJ69" t="s">
        <v>59</v>
      </c>
      <c r="FK69" t="s">
        <v>59</v>
      </c>
      <c r="FL69" t="s">
        <v>59</v>
      </c>
      <c r="FM69" t="s">
        <v>59</v>
      </c>
      <c r="FN69" t="s">
        <v>59</v>
      </c>
      <c r="FO69" t="s">
        <v>59</v>
      </c>
      <c r="FP69" t="s">
        <v>59</v>
      </c>
      <c r="FQ69" t="s">
        <v>59</v>
      </c>
      <c r="FR69" t="s">
        <v>59</v>
      </c>
      <c r="FS69" t="s">
        <v>218</v>
      </c>
      <c r="FT69" t="s">
        <v>59</v>
      </c>
      <c r="FU69" t="s">
        <v>59</v>
      </c>
      <c r="FV69" t="s">
        <v>59</v>
      </c>
      <c r="FW69" t="s">
        <v>59</v>
      </c>
      <c r="FX69" t="s">
        <v>59</v>
      </c>
      <c r="FY69" t="s">
        <v>59</v>
      </c>
      <c r="FZ69" t="s">
        <v>59</v>
      </c>
      <c r="GA69" t="s">
        <v>59</v>
      </c>
      <c r="GB69" t="s">
        <v>59</v>
      </c>
      <c r="GC69" t="s">
        <v>59</v>
      </c>
      <c r="GD69" t="s">
        <v>59</v>
      </c>
      <c r="GE69" t="s">
        <v>59</v>
      </c>
      <c r="GF69" t="s">
        <v>59</v>
      </c>
      <c r="GG69" t="s">
        <v>59</v>
      </c>
      <c r="GH69" t="s">
        <v>59</v>
      </c>
      <c r="GI69" t="s">
        <v>59</v>
      </c>
      <c r="GJ69" t="s">
        <v>59</v>
      </c>
      <c r="GK69" t="s">
        <v>218</v>
      </c>
      <c r="GL69" t="s">
        <v>59</v>
      </c>
      <c r="GM69" t="s">
        <v>59</v>
      </c>
      <c r="GN69" t="s">
        <v>59</v>
      </c>
      <c r="GO69" t="s">
        <v>59</v>
      </c>
      <c r="GP69" t="s">
        <v>59</v>
      </c>
      <c r="GQ69" t="s">
        <v>218</v>
      </c>
      <c r="GR69" t="s">
        <v>59</v>
      </c>
      <c r="GS69" t="s">
        <v>59</v>
      </c>
      <c r="GT69" t="s">
        <v>218</v>
      </c>
      <c r="GU69" t="s">
        <v>218</v>
      </c>
      <c r="GV69" t="s">
        <v>218</v>
      </c>
      <c r="GW69" t="s">
        <v>59</v>
      </c>
      <c r="GX69" t="s">
        <v>59</v>
      </c>
      <c r="GY69" t="s">
        <v>59</v>
      </c>
      <c r="GZ69" t="s">
        <v>218</v>
      </c>
      <c r="HA69" t="s">
        <v>59</v>
      </c>
      <c r="HB69" t="s">
        <v>59</v>
      </c>
      <c r="HC69" t="s">
        <v>59</v>
      </c>
      <c r="HD69" t="s">
        <v>59</v>
      </c>
      <c r="HE69" t="s">
        <v>59</v>
      </c>
      <c r="HF69" t="s">
        <v>59</v>
      </c>
      <c r="HG69" t="s">
        <v>59</v>
      </c>
      <c r="HH69" t="s">
        <v>59</v>
      </c>
      <c r="HI69" t="s">
        <v>59</v>
      </c>
      <c r="HJ69" t="s">
        <v>59</v>
      </c>
      <c r="HK69" t="s">
        <v>59</v>
      </c>
      <c r="HL69" t="s">
        <v>218</v>
      </c>
      <c r="HM69" t="s">
        <v>218</v>
      </c>
      <c r="HN69" t="s">
        <v>218</v>
      </c>
      <c r="HO69" t="s">
        <v>218</v>
      </c>
      <c r="HP69" t="s">
        <v>59</v>
      </c>
      <c r="HQ69" t="s">
        <v>59</v>
      </c>
      <c r="HR69" t="s">
        <v>59</v>
      </c>
      <c r="HS69" t="s">
        <v>59</v>
      </c>
      <c r="HT69" t="s">
        <v>59</v>
      </c>
      <c r="HU69" t="s">
        <v>59</v>
      </c>
      <c r="HV69" t="s">
        <v>59</v>
      </c>
      <c r="HW69" t="s">
        <v>59</v>
      </c>
      <c r="HX69" t="s">
        <v>59</v>
      </c>
      <c r="HY69" t="s">
        <v>59</v>
      </c>
      <c r="HZ69" t="s">
        <v>59</v>
      </c>
      <c r="IA69" t="s">
        <v>59</v>
      </c>
      <c r="IB69" t="s">
        <v>59</v>
      </c>
      <c r="IC69" t="s">
        <v>59</v>
      </c>
      <c r="ID69" t="s">
        <v>59</v>
      </c>
      <c r="IE69" t="s">
        <v>59</v>
      </c>
      <c r="IF69" t="s">
        <v>59</v>
      </c>
      <c r="IG69" t="s">
        <v>59</v>
      </c>
      <c r="IH69" t="s">
        <v>59</v>
      </c>
      <c r="II69" t="s">
        <v>59</v>
      </c>
      <c r="IJ69" t="s">
        <v>129</v>
      </c>
      <c r="IK69" t="s">
        <v>191</v>
      </c>
      <c r="IL69" t="s">
        <v>128</v>
      </c>
      <c r="IM69" t="s">
        <v>199</v>
      </c>
      <c r="IN69">
        <v>29</v>
      </c>
      <c r="IO69" t="s">
        <v>2730</v>
      </c>
      <c r="IP69" t="s">
        <v>2730</v>
      </c>
      <c r="IQ69" t="s">
        <v>2730</v>
      </c>
      <c r="IR69">
        <v>15</v>
      </c>
      <c r="IS69" t="s">
        <v>2730</v>
      </c>
      <c r="IT69" t="s">
        <v>2730</v>
      </c>
      <c r="IU69" t="s">
        <v>2730</v>
      </c>
      <c r="IV69">
        <v>16</v>
      </c>
      <c r="IW69" t="s">
        <v>2730</v>
      </c>
      <c r="IX69" t="s">
        <v>2730</v>
      </c>
      <c r="IY69" t="s">
        <v>2730</v>
      </c>
      <c r="IZ69">
        <v>56</v>
      </c>
      <c r="JA69" t="s">
        <v>2730</v>
      </c>
      <c r="JB69" t="s">
        <v>2730</v>
      </c>
      <c r="JC69" t="s">
        <v>2730</v>
      </c>
      <c r="JD69">
        <v>24</v>
      </c>
      <c r="JE69" t="s">
        <v>2730</v>
      </c>
      <c r="JF69" t="s">
        <v>2730</v>
      </c>
      <c r="JG69" t="s">
        <v>2730</v>
      </c>
      <c r="JH69">
        <v>21</v>
      </c>
      <c r="JI69" t="s">
        <v>2730</v>
      </c>
      <c r="JJ69" t="s">
        <v>2730</v>
      </c>
      <c r="JK69" t="s">
        <v>2730</v>
      </c>
      <c r="JL69">
        <v>16</v>
      </c>
      <c r="JM69" t="s">
        <v>2730</v>
      </c>
      <c r="JN69" t="s">
        <v>2730</v>
      </c>
      <c r="JO69">
        <v>4</v>
      </c>
      <c r="JP69" t="s">
        <v>2730</v>
      </c>
      <c r="JQ69" t="s">
        <v>2730</v>
      </c>
    </row>
    <row r="70" spans="1:277">
      <c r="A70" s="149" t="str">
        <f>HYPERLINK("http://www.ofsted.gov.uk/inspection-reports/find-inspection-report/provider/ELS/131778 ","Ofsted School Webpage")</f>
        <v>Ofsted School Webpage</v>
      </c>
      <c r="B70">
        <v>1135704</v>
      </c>
      <c r="C70">
        <v>131778</v>
      </c>
      <c r="D70">
        <v>2076396</v>
      </c>
      <c r="E70" t="s">
        <v>426</v>
      </c>
      <c r="F70" t="s">
        <v>37</v>
      </c>
      <c r="G70" t="s">
        <v>209</v>
      </c>
      <c r="H70" t="s">
        <v>232</v>
      </c>
      <c r="I70" t="s">
        <v>232</v>
      </c>
      <c r="J70" t="s">
        <v>294</v>
      </c>
      <c r="K70" t="s">
        <v>427</v>
      </c>
      <c r="L70" t="s">
        <v>212</v>
      </c>
      <c r="M70" t="s">
        <v>212</v>
      </c>
      <c r="N70" t="s">
        <v>212</v>
      </c>
      <c r="O70" t="s">
        <v>2730</v>
      </c>
      <c r="P70" t="s">
        <v>186</v>
      </c>
      <c r="Q70">
        <v>10020864</v>
      </c>
      <c r="R70" s="120">
        <v>43025</v>
      </c>
      <c r="S70" s="120">
        <v>43027</v>
      </c>
      <c r="T70" s="120">
        <v>43067</v>
      </c>
      <c r="U70" t="s">
        <v>2730</v>
      </c>
      <c r="V70" t="s">
        <v>196</v>
      </c>
      <c r="W70" t="s">
        <v>2730</v>
      </c>
      <c r="X70" t="s">
        <v>197</v>
      </c>
      <c r="Y70">
        <v>3</v>
      </c>
      <c r="Z70">
        <v>3</v>
      </c>
      <c r="AA70">
        <v>2</v>
      </c>
      <c r="AB70">
        <v>2</v>
      </c>
      <c r="AC70">
        <v>2</v>
      </c>
      <c r="AD70">
        <v>2</v>
      </c>
      <c r="AE70" t="s">
        <v>2730</v>
      </c>
      <c r="AF70" t="s">
        <v>128</v>
      </c>
      <c r="AG70" t="s">
        <v>2730</v>
      </c>
      <c r="AH70" t="s">
        <v>2733</v>
      </c>
      <c r="AI70" t="s">
        <v>59</v>
      </c>
      <c r="AJ70" t="s">
        <v>59</v>
      </c>
      <c r="AK70" t="s">
        <v>59</v>
      </c>
      <c r="AL70" t="s">
        <v>59</v>
      </c>
      <c r="AM70" t="s">
        <v>60</v>
      </c>
      <c r="AN70" t="s">
        <v>59</v>
      </c>
      <c r="AO70" t="s">
        <v>59</v>
      </c>
      <c r="AP70" t="s">
        <v>60</v>
      </c>
      <c r="AQ70" t="s">
        <v>59</v>
      </c>
      <c r="AR70" t="s">
        <v>59</v>
      </c>
      <c r="AS70" t="s">
        <v>59</v>
      </c>
      <c r="AT70" t="s">
        <v>59</v>
      </c>
      <c r="AU70" t="s">
        <v>59</v>
      </c>
      <c r="AV70" t="s">
        <v>59</v>
      </c>
      <c r="AW70" t="s">
        <v>59</v>
      </c>
      <c r="AX70" t="s">
        <v>59</v>
      </c>
      <c r="AY70" t="s">
        <v>191</v>
      </c>
      <c r="AZ70" t="s">
        <v>59</v>
      </c>
      <c r="BA70" t="s">
        <v>59</v>
      </c>
      <c r="BB70" t="s">
        <v>59</v>
      </c>
      <c r="BC70" t="s">
        <v>59</v>
      </c>
      <c r="BD70" t="s">
        <v>59</v>
      </c>
      <c r="BE70" t="s">
        <v>59</v>
      </c>
      <c r="BF70" t="s">
        <v>59</v>
      </c>
      <c r="BG70" t="s">
        <v>191</v>
      </c>
      <c r="BH70" t="s">
        <v>191</v>
      </c>
      <c r="BI70" t="s">
        <v>59</v>
      </c>
      <c r="BJ70" t="s">
        <v>59</v>
      </c>
      <c r="BK70" t="s">
        <v>59</v>
      </c>
      <c r="BL70" t="s">
        <v>59</v>
      </c>
      <c r="BM70" t="s">
        <v>59</v>
      </c>
      <c r="BN70" t="s">
        <v>59</v>
      </c>
      <c r="BO70" t="s">
        <v>59</v>
      </c>
      <c r="BP70" t="s">
        <v>59</v>
      </c>
      <c r="BQ70" t="s">
        <v>59</v>
      </c>
      <c r="BR70" t="s">
        <v>59</v>
      </c>
      <c r="BS70" t="s">
        <v>59</v>
      </c>
      <c r="BT70" t="s">
        <v>59</v>
      </c>
      <c r="BU70" t="s">
        <v>59</v>
      </c>
      <c r="BV70" t="s">
        <v>59</v>
      </c>
      <c r="BW70" t="s">
        <v>59</v>
      </c>
      <c r="BX70" t="s">
        <v>59</v>
      </c>
      <c r="BY70" t="s">
        <v>59</v>
      </c>
      <c r="BZ70" t="s">
        <v>59</v>
      </c>
      <c r="CA70" t="s">
        <v>59</v>
      </c>
      <c r="CB70" t="s">
        <v>59</v>
      </c>
      <c r="CC70" t="s">
        <v>59</v>
      </c>
      <c r="CD70" t="s">
        <v>59</v>
      </c>
      <c r="CE70" t="s">
        <v>59</v>
      </c>
      <c r="CF70" t="s">
        <v>59</v>
      </c>
      <c r="CG70" t="s">
        <v>59</v>
      </c>
      <c r="CH70" t="s">
        <v>59</v>
      </c>
      <c r="CI70" t="s">
        <v>59</v>
      </c>
      <c r="CJ70" t="s">
        <v>59</v>
      </c>
      <c r="CK70" t="s">
        <v>59</v>
      </c>
      <c r="CL70" t="s">
        <v>59</v>
      </c>
      <c r="CM70" t="s">
        <v>59</v>
      </c>
      <c r="CN70" t="s">
        <v>59</v>
      </c>
      <c r="CO70" t="s">
        <v>191</v>
      </c>
      <c r="CP70" t="s">
        <v>191</v>
      </c>
      <c r="CQ70" t="s">
        <v>191</v>
      </c>
      <c r="CR70" t="s">
        <v>59</v>
      </c>
      <c r="CS70" t="s">
        <v>59</v>
      </c>
      <c r="CT70" t="s">
        <v>59</v>
      </c>
      <c r="CU70" t="s">
        <v>59</v>
      </c>
      <c r="CV70" t="s">
        <v>59</v>
      </c>
      <c r="CW70" t="s">
        <v>59</v>
      </c>
      <c r="CX70" t="s">
        <v>59</v>
      </c>
      <c r="CY70" t="s">
        <v>59</v>
      </c>
      <c r="CZ70" t="s">
        <v>59</v>
      </c>
      <c r="DA70" t="s">
        <v>59</v>
      </c>
      <c r="DB70" t="s">
        <v>59</v>
      </c>
      <c r="DC70" t="s">
        <v>59</v>
      </c>
      <c r="DD70" t="s">
        <v>59</v>
      </c>
      <c r="DE70" t="s">
        <v>59</v>
      </c>
      <c r="DF70" t="s">
        <v>59</v>
      </c>
      <c r="DG70" t="s">
        <v>59</v>
      </c>
      <c r="DH70" t="s">
        <v>59</v>
      </c>
      <c r="DI70" t="s">
        <v>59</v>
      </c>
      <c r="DJ70" t="s">
        <v>59</v>
      </c>
      <c r="DK70" t="s">
        <v>59</v>
      </c>
      <c r="DL70" t="s">
        <v>59</v>
      </c>
      <c r="DM70" t="s">
        <v>59</v>
      </c>
      <c r="DN70" t="s">
        <v>59</v>
      </c>
      <c r="DO70" t="s">
        <v>191</v>
      </c>
      <c r="DP70" t="s">
        <v>59</v>
      </c>
      <c r="DQ70" t="s">
        <v>59</v>
      </c>
      <c r="DR70" t="s">
        <v>59</v>
      </c>
      <c r="DS70" t="s">
        <v>59</v>
      </c>
      <c r="DT70" t="s">
        <v>59</v>
      </c>
      <c r="DU70" t="s">
        <v>59</v>
      </c>
      <c r="DV70" t="s">
        <v>59</v>
      </c>
      <c r="DW70" t="s">
        <v>59</v>
      </c>
      <c r="DX70" t="s">
        <v>59</v>
      </c>
      <c r="DY70" t="s">
        <v>59</v>
      </c>
      <c r="DZ70" t="s">
        <v>59</v>
      </c>
      <c r="EA70" t="s">
        <v>59</v>
      </c>
      <c r="EB70" t="s">
        <v>59</v>
      </c>
      <c r="EC70" t="s">
        <v>191</v>
      </c>
      <c r="ED70" t="s">
        <v>59</v>
      </c>
      <c r="EE70" t="s">
        <v>59</v>
      </c>
      <c r="EF70" t="s">
        <v>59</v>
      </c>
      <c r="EG70" t="s">
        <v>59</v>
      </c>
      <c r="EH70" t="s">
        <v>59</v>
      </c>
      <c r="EI70" t="s">
        <v>59</v>
      </c>
      <c r="EJ70" t="s">
        <v>59</v>
      </c>
      <c r="EK70" t="s">
        <v>59</v>
      </c>
      <c r="EL70" t="s">
        <v>59</v>
      </c>
      <c r="EM70" t="s">
        <v>59</v>
      </c>
      <c r="EN70" t="s">
        <v>59</v>
      </c>
      <c r="EO70" t="s">
        <v>59</v>
      </c>
      <c r="EP70" t="s">
        <v>59</v>
      </c>
      <c r="EQ70" t="s">
        <v>59</v>
      </c>
      <c r="ER70" t="s">
        <v>59</v>
      </c>
      <c r="ES70" t="s">
        <v>59</v>
      </c>
      <c r="ET70" t="s">
        <v>59</v>
      </c>
      <c r="EU70" t="s">
        <v>59</v>
      </c>
      <c r="EV70" t="s">
        <v>59</v>
      </c>
      <c r="EW70" t="s">
        <v>59</v>
      </c>
      <c r="EX70" t="s">
        <v>59</v>
      </c>
      <c r="EY70" t="s">
        <v>59</v>
      </c>
      <c r="EZ70" t="s">
        <v>59</v>
      </c>
      <c r="FA70" t="s">
        <v>59</v>
      </c>
      <c r="FB70" t="s">
        <v>59</v>
      </c>
      <c r="FC70" t="s">
        <v>59</v>
      </c>
      <c r="FD70" t="s">
        <v>59</v>
      </c>
      <c r="FE70" t="s">
        <v>59</v>
      </c>
      <c r="FF70" t="s">
        <v>59</v>
      </c>
      <c r="FG70" t="s">
        <v>59</v>
      </c>
      <c r="FH70" t="s">
        <v>59</v>
      </c>
      <c r="FI70" t="s">
        <v>59</v>
      </c>
      <c r="FJ70" t="s">
        <v>59</v>
      </c>
      <c r="FK70" t="s">
        <v>59</v>
      </c>
      <c r="FL70" t="s">
        <v>60</v>
      </c>
      <c r="FM70" t="s">
        <v>59</v>
      </c>
      <c r="FN70" t="s">
        <v>59</v>
      </c>
      <c r="FO70" t="s">
        <v>60</v>
      </c>
      <c r="FP70" t="s">
        <v>59</v>
      </c>
      <c r="FQ70" t="s">
        <v>59</v>
      </c>
      <c r="FR70" t="s">
        <v>59</v>
      </c>
      <c r="FS70" t="s">
        <v>191</v>
      </c>
      <c r="FT70" t="s">
        <v>59</v>
      </c>
      <c r="FU70" t="s">
        <v>59</v>
      </c>
      <c r="FV70" t="s">
        <v>59</v>
      </c>
      <c r="FW70" t="s">
        <v>59</v>
      </c>
      <c r="FX70" t="s">
        <v>59</v>
      </c>
      <c r="FY70" t="s">
        <v>59</v>
      </c>
      <c r="FZ70" t="s">
        <v>59</v>
      </c>
      <c r="GA70" t="s">
        <v>59</v>
      </c>
      <c r="GB70" t="s">
        <v>59</v>
      </c>
      <c r="GC70" t="s">
        <v>59</v>
      </c>
      <c r="GD70" t="s">
        <v>59</v>
      </c>
      <c r="GE70" t="s">
        <v>59</v>
      </c>
      <c r="GF70" t="s">
        <v>59</v>
      </c>
      <c r="GG70" t="s">
        <v>59</v>
      </c>
      <c r="GH70" t="s">
        <v>59</v>
      </c>
      <c r="GI70" t="s">
        <v>59</v>
      </c>
      <c r="GJ70" t="s">
        <v>59</v>
      </c>
      <c r="GK70" t="s">
        <v>191</v>
      </c>
      <c r="GL70" t="s">
        <v>59</v>
      </c>
      <c r="GM70" t="s">
        <v>59</v>
      </c>
      <c r="GN70" t="s">
        <v>59</v>
      </c>
      <c r="GO70" t="s">
        <v>59</v>
      </c>
      <c r="GP70" t="s">
        <v>59</v>
      </c>
      <c r="GQ70" t="s">
        <v>59</v>
      </c>
      <c r="GR70" t="s">
        <v>59</v>
      </c>
      <c r="GS70" t="s">
        <v>59</v>
      </c>
      <c r="GT70" t="s">
        <v>191</v>
      </c>
      <c r="GU70" t="s">
        <v>59</v>
      </c>
      <c r="GV70" t="s">
        <v>59</v>
      </c>
      <c r="GW70" t="s">
        <v>59</v>
      </c>
      <c r="GX70" t="s">
        <v>59</v>
      </c>
      <c r="GY70" t="s">
        <v>59</v>
      </c>
      <c r="GZ70" t="s">
        <v>191</v>
      </c>
      <c r="HA70" t="s">
        <v>59</v>
      </c>
      <c r="HB70" t="s">
        <v>191</v>
      </c>
      <c r="HC70" t="s">
        <v>59</v>
      </c>
      <c r="HD70" t="s">
        <v>59</v>
      </c>
      <c r="HE70" t="s">
        <v>59</v>
      </c>
      <c r="HF70" t="s">
        <v>59</v>
      </c>
      <c r="HG70" t="s">
        <v>59</v>
      </c>
      <c r="HH70" t="s">
        <v>59</v>
      </c>
      <c r="HI70" t="s">
        <v>59</v>
      </c>
      <c r="HJ70" t="s">
        <v>59</v>
      </c>
      <c r="HK70" t="s">
        <v>59</v>
      </c>
      <c r="HL70" t="s">
        <v>191</v>
      </c>
      <c r="HM70" t="s">
        <v>191</v>
      </c>
      <c r="HN70" t="s">
        <v>191</v>
      </c>
      <c r="HO70" t="s">
        <v>191</v>
      </c>
      <c r="HP70" t="s">
        <v>59</v>
      </c>
      <c r="HQ70" t="s">
        <v>59</v>
      </c>
      <c r="HR70" t="s">
        <v>59</v>
      </c>
      <c r="HS70" t="s">
        <v>59</v>
      </c>
      <c r="HT70" t="s">
        <v>59</v>
      </c>
      <c r="HU70" t="s">
        <v>59</v>
      </c>
      <c r="HV70" t="s">
        <v>59</v>
      </c>
      <c r="HW70" t="s">
        <v>59</v>
      </c>
      <c r="HX70" t="s">
        <v>59</v>
      </c>
      <c r="HY70" t="s">
        <v>59</v>
      </c>
      <c r="HZ70" t="s">
        <v>59</v>
      </c>
      <c r="IA70" t="s">
        <v>59</v>
      </c>
      <c r="IB70" t="s">
        <v>59</v>
      </c>
      <c r="IC70" t="s">
        <v>59</v>
      </c>
      <c r="ID70" t="s">
        <v>59</v>
      </c>
      <c r="IE70" t="s">
        <v>59</v>
      </c>
      <c r="IF70" t="s">
        <v>60</v>
      </c>
      <c r="IG70" t="s">
        <v>60</v>
      </c>
      <c r="IH70" t="s">
        <v>60</v>
      </c>
      <c r="II70" t="s">
        <v>60</v>
      </c>
      <c r="IJ70" t="s">
        <v>129</v>
      </c>
      <c r="IK70" t="s">
        <v>198</v>
      </c>
      <c r="IL70" t="s">
        <v>128</v>
      </c>
      <c r="IM70" t="s">
        <v>199</v>
      </c>
      <c r="IN70">
        <v>29</v>
      </c>
      <c r="IO70" t="s">
        <v>2730</v>
      </c>
      <c r="IP70">
        <v>3</v>
      </c>
      <c r="IQ70" t="s">
        <v>2730</v>
      </c>
      <c r="IR70">
        <v>15</v>
      </c>
      <c r="IS70" t="s">
        <v>2730</v>
      </c>
      <c r="IT70" t="s">
        <v>2730</v>
      </c>
      <c r="IU70" t="s">
        <v>2730</v>
      </c>
      <c r="IV70">
        <v>16</v>
      </c>
      <c r="IW70" t="s">
        <v>2730</v>
      </c>
      <c r="IX70">
        <v>3</v>
      </c>
      <c r="IY70" t="s">
        <v>2730</v>
      </c>
      <c r="IZ70">
        <v>57</v>
      </c>
      <c r="JA70" t="s">
        <v>2730</v>
      </c>
      <c r="JB70">
        <v>2</v>
      </c>
      <c r="JC70" t="s">
        <v>2730</v>
      </c>
      <c r="JD70">
        <v>22</v>
      </c>
      <c r="JE70" t="s">
        <v>2730</v>
      </c>
      <c r="JF70">
        <v>2</v>
      </c>
      <c r="JG70">
        <v>2</v>
      </c>
      <c r="JH70">
        <v>23</v>
      </c>
      <c r="JI70" t="s">
        <v>2730</v>
      </c>
      <c r="JJ70">
        <v>7</v>
      </c>
      <c r="JK70" t="s">
        <v>2730</v>
      </c>
      <c r="JL70">
        <v>16</v>
      </c>
      <c r="JM70" t="s">
        <v>2730</v>
      </c>
      <c r="JN70" t="s">
        <v>2730</v>
      </c>
      <c r="JO70" t="s">
        <v>2730</v>
      </c>
      <c r="JP70" t="s">
        <v>2730</v>
      </c>
      <c r="JQ70">
        <v>4</v>
      </c>
    </row>
    <row r="71" spans="1:277">
      <c r="A71" s="149" t="str">
        <f>HYPERLINK("http://www.ofsted.gov.uk/inspection-reports/find-inspection-report/provider/ELS/119005 ","Ofsted School Webpage")</f>
        <v>Ofsted School Webpage</v>
      </c>
      <c r="B71">
        <v>1133620</v>
      </c>
      <c r="C71">
        <v>119005</v>
      </c>
      <c r="D71">
        <v>8866057</v>
      </c>
      <c r="E71" t="s">
        <v>343</v>
      </c>
      <c r="F71" t="s">
        <v>37</v>
      </c>
      <c r="G71" t="s">
        <v>209</v>
      </c>
      <c r="H71" t="s">
        <v>181</v>
      </c>
      <c r="I71" t="s">
        <v>181</v>
      </c>
      <c r="J71" t="s">
        <v>182</v>
      </c>
      <c r="K71" t="s">
        <v>344</v>
      </c>
      <c r="L71" t="s">
        <v>184</v>
      </c>
      <c r="M71" t="s">
        <v>185</v>
      </c>
      <c r="N71" t="s">
        <v>212</v>
      </c>
      <c r="O71" t="s">
        <v>2730</v>
      </c>
      <c r="P71" t="s">
        <v>186</v>
      </c>
      <c r="Q71">
        <v>10020908</v>
      </c>
      <c r="R71" s="120">
        <v>43046</v>
      </c>
      <c r="S71" s="120">
        <v>43048</v>
      </c>
      <c r="T71" s="120">
        <v>43069</v>
      </c>
      <c r="U71" t="s">
        <v>2730</v>
      </c>
      <c r="V71" t="s">
        <v>196</v>
      </c>
      <c r="W71" t="s">
        <v>2730</v>
      </c>
      <c r="X71" t="s">
        <v>197</v>
      </c>
      <c r="Y71">
        <v>3</v>
      </c>
      <c r="Z71">
        <v>3</v>
      </c>
      <c r="AA71">
        <v>2</v>
      </c>
      <c r="AB71">
        <v>3</v>
      </c>
      <c r="AC71">
        <v>3</v>
      </c>
      <c r="AD71">
        <v>3</v>
      </c>
      <c r="AE71" t="s">
        <v>2730</v>
      </c>
      <c r="AF71" t="s">
        <v>128</v>
      </c>
      <c r="AG71" t="s">
        <v>2730</v>
      </c>
      <c r="AH71" t="s">
        <v>2732</v>
      </c>
      <c r="AI71" t="s">
        <v>59</v>
      </c>
      <c r="AJ71" t="s">
        <v>59</v>
      </c>
      <c r="AK71" t="s">
        <v>59</v>
      </c>
      <c r="AL71" t="s">
        <v>59</v>
      </c>
      <c r="AM71" t="s">
        <v>59</v>
      </c>
      <c r="AN71" t="s">
        <v>59</v>
      </c>
      <c r="AO71" t="s">
        <v>59</v>
      </c>
      <c r="AP71" t="s">
        <v>59</v>
      </c>
      <c r="AQ71" t="s">
        <v>59</v>
      </c>
      <c r="AR71" t="s">
        <v>59</v>
      </c>
      <c r="AS71" t="s">
        <v>59</v>
      </c>
      <c r="AT71" t="s">
        <v>59</v>
      </c>
      <c r="AU71" t="s">
        <v>59</v>
      </c>
      <c r="AV71" t="s">
        <v>59</v>
      </c>
      <c r="AW71" t="s">
        <v>59</v>
      </c>
      <c r="AX71" t="s">
        <v>59</v>
      </c>
      <c r="AY71" t="s">
        <v>191</v>
      </c>
      <c r="AZ71" t="s">
        <v>59</v>
      </c>
      <c r="BA71" t="s">
        <v>59</v>
      </c>
      <c r="BB71" t="s">
        <v>59</v>
      </c>
      <c r="BC71" t="s">
        <v>191</v>
      </c>
      <c r="BD71" t="s">
        <v>191</v>
      </c>
      <c r="BE71" t="s">
        <v>191</v>
      </c>
      <c r="BF71" t="s">
        <v>191</v>
      </c>
      <c r="BG71" t="s">
        <v>59</v>
      </c>
      <c r="BH71" t="s">
        <v>191</v>
      </c>
      <c r="BI71" t="s">
        <v>59</v>
      </c>
      <c r="BJ71" t="s">
        <v>59</v>
      </c>
      <c r="BK71" t="s">
        <v>59</v>
      </c>
      <c r="BL71" t="s">
        <v>59</v>
      </c>
      <c r="BM71" t="s">
        <v>59</v>
      </c>
      <c r="BN71" t="s">
        <v>59</v>
      </c>
      <c r="BO71" t="s">
        <v>59</v>
      </c>
      <c r="BP71" t="s">
        <v>59</v>
      </c>
      <c r="BQ71" t="s">
        <v>59</v>
      </c>
      <c r="BR71" t="s">
        <v>59</v>
      </c>
      <c r="BS71" t="s">
        <v>59</v>
      </c>
      <c r="BT71" t="s">
        <v>59</v>
      </c>
      <c r="BU71" t="s">
        <v>59</v>
      </c>
      <c r="BV71" t="s">
        <v>59</v>
      </c>
      <c r="BW71" t="s">
        <v>59</v>
      </c>
      <c r="BX71" t="s">
        <v>59</v>
      </c>
      <c r="BY71" t="s">
        <v>59</v>
      </c>
      <c r="BZ71" t="s">
        <v>59</v>
      </c>
      <c r="CA71" t="s">
        <v>59</v>
      </c>
      <c r="CB71" t="s">
        <v>59</v>
      </c>
      <c r="CC71" t="s">
        <v>59</v>
      </c>
      <c r="CD71" t="s">
        <v>59</v>
      </c>
      <c r="CE71" t="s">
        <v>59</v>
      </c>
      <c r="CF71" t="s">
        <v>59</v>
      </c>
      <c r="CG71" t="s">
        <v>59</v>
      </c>
      <c r="CH71" t="s">
        <v>59</v>
      </c>
      <c r="CI71" t="s">
        <v>59</v>
      </c>
      <c r="CJ71" t="s">
        <v>59</v>
      </c>
      <c r="CK71" t="s">
        <v>59</v>
      </c>
      <c r="CL71" t="s">
        <v>59</v>
      </c>
      <c r="CM71" t="s">
        <v>59</v>
      </c>
      <c r="CN71" t="s">
        <v>59</v>
      </c>
      <c r="CO71" t="s">
        <v>191</v>
      </c>
      <c r="CP71" t="s">
        <v>191</v>
      </c>
      <c r="CQ71" t="s">
        <v>191</v>
      </c>
      <c r="CR71" t="s">
        <v>59</v>
      </c>
      <c r="CS71" t="s">
        <v>59</v>
      </c>
      <c r="CT71" t="s">
        <v>59</v>
      </c>
      <c r="CU71" t="s">
        <v>59</v>
      </c>
      <c r="CV71" t="s">
        <v>59</v>
      </c>
      <c r="CW71" t="s">
        <v>59</v>
      </c>
      <c r="CX71" t="s">
        <v>59</v>
      </c>
      <c r="CY71" t="s">
        <v>59</v>
      </c>
      <c r="CZ71" t="s">
        <v>59</v>
      </c>
      <c r="DA71" t="s">
        <v>59</v>
      </c>
      <c r="DB71" t="s">
        <v>59</v>
      </c>
      <c r="DC71" t="s">
        <v>59</v>
      </c>
      <c r="DD71" t="s">
        <v>59</v>
      </c>
      <c r="DE71" t="s">
        <v>59</v>
      </c>
      <c r="DF71" t="s">
        <v>59</v>
      </c>
      <c r="DG71" t="s">
        <v>59</v>
      </c>
      <c r="DH71" t="s">
        <v>59</v>
      </c>
      <c r="DI71" t="s">
        <v>59</v>
      </c>
      <c r="DJ71" t="s">
        <v>59</v>
      </c>
      <c r="DK71" t="s">
        <v>59</v>
      </c>
      <c r="DL71" t="s">
        <v>59</v>
      </c>
      <c r="DM71" t="s">
        <v>59</v>
      </c>
      <c r="DN71" t="s">
        <v>59</v>
      </c>
      <c r="DO71" t="s">
        <v>191</v>
      </c>
      <c r="DP71" t="s">
        <v>59</v>
      </c>
      <c r="DQ71" t="s">
        <v>191</v>
      </c>
      <c r="DR71" t="s">
        <v>191</v>
      </c>
      <c r="DS71" t="s">
        <v>191</v>
      </c>
      <c r="DT71" t="s">
        <v>191</v>
      </c>
      <c r="DU71" t="s">
        <v>191</v>
      </c>
      <c r="DV71" t="s">
        <v>191</v>
      </c>
      <c r="DW71" t="s">
        <v>191</v>
      </c>
      <c r="DX71" t="s">
        <v>191</v>
      </c>
      <c r="DY71" t="s">
        <v>191</v>
      </c>
      <c r="DZ71" t="s">
        <v>191</v>
      </c>
      <c r="EA71" t="s">
        <v>191</v>
      </c>
      <c r="EB71" t="s">
        <v>191</v>
      </c>
      <c r="EC71" t="s">
        <v>191</v>
      </c>
      <c r="ED71" t="s">
        <v>191</v>
      </c>
      <c r="EE71" t="s">
        <v>59</v>
      </c>
      <c r="EF71" t="s">
        <v>59</v>
      </c>
      <c r="EG71" t="s">
        <v>59</v>
      </c>
      <c r="EH71" t="s">
        <v>59</v>
      </c>
      <c r="EI71" t="s">
        <v>59</v>
      </c>
      <c r="EJ71" t="s">
        <v>59</v>
      </c>
      <c r="EK71" t="s">
        <v>59</v>
      </c>
      <c r="EL71" t="s">
        <v>59</v>
      </c>
      <c r="EM71" t="s">
        <v>59</v>
      </c>
      <c r="EN71" t="s">
        <v>59</v>
      </c>
      <c r="EO71" t="s">
        <v>59</v>
      </c>
      <c r="EP71" t="s">
        <v>59</v>
      </c>
      <c r="EQ71" t="s">
        <v>59</v>
      </c>
      <c r="ER71" t="s">
        <v>59</v>
      </c>
      <c r="ES71" t="s">
        <v>59</v>
      </c>
      <c r="ET71" t="s">
        <v>59</v>
      </c>
      <c r="EU71" t="s">
        <v>59</v>
      </c>
      <c r="EV71" t="s">
        <v>59</v>
      </c>
      <c r="EW71" t="s">
        <v>59</v>
      </c>
      <c r="EX71" t="s">
        <v>59</v>
      </c>
      <c r="EY71" t="s">
        <v>59</v>
      </c>
      <c r="EZ71" t="s">
        <v>59</v>
      </c>
      <c r="FA71" t="s">
        <v>59</v>
      </c>
      <c r="FB71" t="s">
        <v>191</v>
      </c>
      <c r="FC71" t="s">
        <v>191</v>
      </c>
      <c r="FD71" t="s">
        <v>191</v>
      </c>
      <c r="FE71" t="s">
        <v>191</v>
      </c>
      <c r="FF71" t="s">
        <v>191</v>
      </c>
      <c r="FG71" t="s">
        <v>191</v>
      </c>
      <c r="FH71" t="s">
        <v>59</v>
      </c>
      <c r="FI71" t="s">
        <v>59</v>
      </c>
      <c r="FJ71" t="s">
        <v>59</v>
      </c>
      <c r="FK71" t="s">
        <v>59</v>
      </c>
      <c r="FL71" t="s">
        <v>59</v>
      </c>
      <c r="FM71" t="s">
        <v>59</v>
      </c>
      <c r="FN71" t="s">
        <v>59</v>
      </c>
      <c r="FO71" t="s">
        <v>191</v>
      </c>
      <c r="FP71" t="s">
        <v>59</v>
      </c>
      <c r="FQ71" t="s">
        <v>59</v>
      </c>
      <c r="FR71" t="s">
        <v>59</v>
      </c>
      <c r="FS71" t="s">
        <v>59</v>
      </c>
      <c r="FT71" t="s">
        <v>59</v>
      </c>
      <c r="FU71" t="s">
        <v>59</v>
      </c>
      <c r="FV71" t="s">
        <v>59</v>
      </c>
      <c r="FW71" t="s">
        <v>59</v>
      </c>
      <c r="FX71" t="s">
        <v>59</v>
      </c>
      <c r="FY71" t="s">
        <v>59</v>
      </c>
      <c r="FZ71" t="s">
        <v>59</v>
      </c>
      <c r="GA71" t="s">
        <v>59</v>
      </c>
      <c r="GB71" t="s">
        <v>59</v>
      </c>
      <c r="GC71" t="s">
        <v>59</v>
      </c>
      <c r="GD71" t="s">
        <v>59</v>
      </c>
      <c r="GE71" t="s">
        <v>59</v>
      </c>
      <c r="GF71" t="s">
        <v>59</v>
      </c>
      <c r="GG71" t="s">
        <v>59</v>
      </c>
      <c r="GH71" t="s">
        <v>59</v>
      </c>
      <c r="GI71" t="s">
        <v>59</v>
      </c>
      <c r="GJ71" t="s">
        <v>59</v>
      </c>
      <c r="GK71" t="s">
        <v>191</v>
      </c>
      <c r="GL71" t="s">
        <v>59</v>
      </c>
      <c r="GM71" t="s">
        <v>59</v>
      </c>
      <c r="GN71" t="s">
        <v>59</v>
      </c>
      <c r="GO71" t="s">
        <v>59</v>
      </c>
      <c r="GP71" t="s">
        <v>59</v>
      </c>
      <c r="GQ71" t="s">
        <v>191</v>
      </c>
      <c r="GR71" t="s">
        <v>59</v>
      </c>
      <c r="GS71" t="s">
        <v>59</v>
      </c>
      <c r="GT71" t="s">
        <v>191</v>
      </c>
      <c r="GU71" t="s">
        <v>191</v>
      </c>
      <c r="GV71" t="s">
        <v>59</v>
      </c>
      <c r="GW71" t="s">
        <v>59</v>
      </c>
      <c r="GX71" t="s">
        <v>59</v>
      </c>
      <c r="GY71" t="s">
        <v>59</v>
      </c>
      <c r="GZ71" t="s">
        <v>59</v>
      </c>
      <c r="HA71" t="s">
        <v>191</v>
      </c>
      <c r="HB71" t="s">
        <v>191</v>
      </c>
      <c r="HC71" t="s">
        <v>59</v>
      </c>
      <c r="HD71" t="s">
        <v>59</v>
      </c>
      <c r="HE71" t="s">
        <v>59</v>
      </c>
      <c r="HF71" t="s">
        <v>59</v>
      </c>
      <c r="HG71" t="s">
        <v>59</v>
      </c>
      <c r="HH71" t="s">
        <v>59</v>
      </c>
      <c r="HI71" t="s">
        <v>59</v>
      </c>
      <c r="HJ71" t="s">
        <v>59</v>
      </c>
      <c r="HK71" t="s">
        <v>59</v>
      </c>
      <c r="HL71" t="s">
        <v>191</v>
      </c>
      <c r="HM71" t="s">
        <v>191</v>
      </c>
      <c r="HN71" t="s">
        <v>191</v>
      </c>
      <c r="HO71" t="s">
        <v>191</v>
      </c>
      <c r="HP71" t="s">
        <v>59</v>
      </c>
      <c r="HQ71" t="s">
        <v>59</v>
      </c>
      <c r="HR71" t="s">
        <v>59</v>
      </c>
      <c r="HS71" t="s">
        <v>59</v>
      </c>
      <c r="HT71" t="s">
        <v>59</v>
      </c>
      <c r="HU71" t="s">
        <v>59</v>
      </c>
      <c r="HV71" t="s">
        <v>59</v>
      </c>
      <c r="HW71" t="s">
        <v>59</v>
      </c>
      <c r="HX71" t="s">
        <v>59</v>
      </c>
      <c r="HY71" t="s">
        <v>59</v>
      </c>
      <c r="HZ71" t="s">
        <v>59</v>
      </c>
      <c r="IA71" t="s">
        <v>59</v>
      </c>
      <c r="IB71" t="s">
        <v>59</v>
      </c>
      <c r="IC71" t="s">
        <v>59</v>
      </c>
      <c r="ID71" t="s">
        <v>59</v>
      </c>
      <c r="IE71" t="s">
        <v>59</v>
      </c>
      <c r="IF71" t="s">
        <v>59</v>
      </c>
      <c r="IG71" t="s">
        <v>59</v>
      </c>
      <c r="IH71" t="s">
        <v>59</v>
      </c>
      <c r="II71" t="s">
        <v>59</v>
      </c>
      <c r="IJ71" t="s">
        <v>129</v>
      </c>
      <c r="IK71" t="s">
        <v>198</v>
      </c>
      <c r="IL71" t="s">
        <v>128</v>
      </c>
      <c r="IM71" t="s">
        <v>199</v>
      </c>
      <c r="IN71">
        <v>26</v>
      </c>
      <c r="IO71" t="s">
        <v>2730</v>
      </c>
      <c r="IP71">
        <v>6</v>
      </c>
      <c r="IQ71" t="s">
        <v>2730</v>
      </c>
      <c r="IR71">
        <v>15</v>
      </c>
      <c r="IS71" t="s">
        <v>2730</v>
      </c>
      <c r="IT71" t="s">
        <v>2730</v>
      </c>
      <c r="IU71" t="s">
        <v>2730</v>
      </c>
      <c r="IV71">
        <v>16</v>
      </c>
      <c r="IW71" t="s">
        <v>2730</v>
      </c>
      <c r="IX71">
        <v>3</v>
      </c>
      <c r="IY71" t="s">
        <v>2730</v>
      </c>
      <c r="IZ71">
        <v>38</v>
      </c>
      <c r="JA71" t="s">
        <v>2730</v>
      </c>
      <c r="JB71">
        <v>21</v>
      </c>
      <c r="JC71" t="s">
        <v>2730</v>
      </c>
      <c r="JD71">
        <v>24</v>
      </c>
      <c r="JE71" t="s">
        <v>2730</v>
      </c>
      <c r="JF71">
        <v>2</v>
      </c>
      <c r="JG71" t="s">
        <v>2730</v>
      </c>
      <c r="JH71">
        <v>21</v>
      </c>
      <c r="JI71" t="s">
        <v>2730</v>
      </c>
      <c r="JJ71">
        <v>9</v>
      </c>
      <c r="JK71" t="s">
        <v>2730</v>
      </c>
      <c r="JL71">
        <v>16</v>
      </c>
      <c r="JM71" t="s">
        <v>2730</v>
      </c>
      <c r="JN71" t="s">
        <v>2730</v>
      </c>
      <c r="JO71">
        <v>4</v>
      </c>
      <c r="JP71" t="s">
        <v>2730</v>
      </c>
      <c r="JQ71" t="s">
        <v>2730</v>
      </c>
    </row>
    <row r="72" spans="1:277">
      <c r="A72" s="149" t="str">
        <f>HYPERLINK("http://www.ofsted.gov.uk/inspection-reports/find-inspection-report/provider/ELS/137574 ","Ofsted School Webpage")</f>
        <v>Ofsted School Webpage</v>
      </c>
      <c r="B72">
        <v>1136120</v>
      </c>
      <c r="C72">
        <v>137574</v>
      </c>
      <c r="D72">
        <v>8616006</v>
      </c>
      <c r="E72" t="s">
        <v>526</v>
      </c>
      <c r="F72" t="s">
        <v>37</v>
      </c>
      <c r="G72" t="s">
        <v>209</v>
      </c>
      <c r="H72" t="s">
        <v>193</v>
      </c>
      <c r="I72" t="s">
        <v>193</v>
      </c>
      <c r="J72" t="s">
        <v>492</v>
      </c>
      <c r="K72" t="s">
        <v>527</v>
      </c>
      <c r="L72" t="s">
        <v>184</v>
      </c>
      <c r="M72" t="s">
        <v>185</v>
      </c>
      <c r="N72" t="s">
        <v>184</v>
      </c>
      <c r="O72" t="s">
        <v>2730</v>
      </c>
      <c r="P72" t="s">
        <v>186</v>
      </c>
      <c r="Q72">
        <v>10006068</v>
      </c>
      <c r="R72" s="120">
        <v>43018</v>
      </c>
      <c r="S72" s="120">
        <v>43020</v>
      </c>
      <c r="T72" s="120">
        <v>43047</v>
      </c>
      <c r="U72" t="s">
        <v>2730</v>
      </c>
      <c r="V72" t="s">
        <v>196</v>
      </c>
      <c r="W72" t="s">
        <v>2730</v>
      </c>
      <c r="X72" t="s">
        <v>197</v>
      </c>
      <c r="Y72">
        <v>2</v>
      </c>
      <c r="Z72">
        <v>2</v>
      </c>
      <c r="AA72">
        <v>2</v>
      </c>
      <c r="AB72">
        <v>2</v>
      </c>
      <c r="AC72">
        <v>2</v>
      </c>
      <c r="AD72" t="s">
        <v>2730</v>
      </c>
      <c r="AE72" t="s">
        <v>2730</v>
      </c>
      <c r="AF72" t="s">
        <v>128</v>
      </c>
      <c r="AG72" t="s">
        <v>2730</v>
      </c>
      <c r="AH72" t="s">
        <v>2732</v>
      </c>
      <c r="AI72" t="s">
        <v>59</v>
      </c>
      <c r="AJ72" t="s">
        <v>59</v>
      </c>
      <c r="AK72" t="s">
        <v>59</v>
      </c>
      <c r="AL72" t="s">
        <v>59</v>
      </c>
      <c r="AM72" t="s">
        <v>59</v>
      </c>
      <c r="AN72" t="s">
        <v>59</v>
      </c>
      <c r="AO72" t="s">
        <v>59</v>
      </c>
      <c r="AP72" t="s">
        <v>59</v>
      </c>
      <c r="AQ72" t="s">
        <v>59</v>
      </c>
      <c r="AR72" t="s">
        <v>59</v>
      </c>
      <c r="AS72" t="s">
        <v>59</v>
      </c>
      <c r="AT72" t="s">
        <v>59</v>
      </c>
      <c r="AU72" t="s">
        <v>59</v>
      </c>
      <c r="AV72" t="s">
        <v>59</v>
      </c>
      <c r="AW72" t="s">
        <v>59</v>
      </c>
      <c r="AX72" t="s">
        <v>59</v>
      </c>
      <c r="AY72" t="s">
        <v>191</v>
      </c>
      <c r="AZ72" t="s">
        <v>59</v>
      </c>
      <c r="BA72" t="s">
        <v>59</v>
      </c>
      <c r="BB72" t="s">
        <v>59</v>
      </c>
      <c r="BC72" t="s">
        <v>59</v>
      </c>
      <c r="BD72" t="s">
        <v>59</v>
      </c>
      <c r="BE72" t="s">
        <v>59</v>
      </c>
      <c r="BF72" t="s">
        <v>59</v>
      </c>
      <c r="BG72" t="s">
        <v>191</v>
      </c>
      <c r="BH72" t="s">
        <v>191</v>
      </c>
      <c r="BI72" t="s">
        <v>59</v>
      </c>
      <c r="BJ72" t="s">
        <v>59</v>
      </c>
      <c r="BK72" t="s">
        <v>59</v>
      </c>
      <c r="BL72" t="s">
        <v>59</v>
      </c>
      <c r="BM72" t="s">
        <v>59</v>
      </c>
      <c r="BN72" t="s">
        <v>59</v>
      </c>
      <c r="BO72" t="s">
        <v>59</v>
      </c>
      <c r="BP72" t="s">
        <v>59</v>
      </c>
      <c r="BQ72" t="s">
        <v>59</v>
      </c>
      <c r="BR72" t="s">
        <v>59</v>
      </c>
      <c r="BS72" t="s">
        <v>59</v>
      </c>
      <c r="BT72" t="s">
        <v>59</v>
      </c>
      <c r="BU72" t="s">
        <v>59</v>
      </c>
      <c r="BV72" t="s">
        <v>59</v>
      </c>
      <c r="BW72" t="s">
        <v>59</v>
      </c>
      <c r="BX72" t="s">
        <v>59</v>
      </c>
      <c r="BY72" t="s">
        <v>59</v>
      </c>
      <c r="BZ72" t="s">
        <v>59</v>
      </c>
      <c r="CA72" t="s">
        <v>59</v>
      </c>
      <c r="CB72" t="s">
        <v>59</v>
      </c>
      <c r="CC72" t="s">
        <v>59</v>
      </c>
      <c r="CD72" t="s">
        <v>59</v>
      </c>
      <c r="CE72" t="s">
        <v>59</v>
      </c>
      <c r="CF72" t="s">
        <v>59</v>
      </c>
      <c r="CG72" t="s">
        <v>59</v>
      </c>
      <c r="CH72" t="s">
        <v>59</v>
      </c>
      <c r="CI72" t="s">
        <v>59</v>
      </c>
      <c r="CJ72" t="s">
        <v>59</v>
      </c>
      <c r="CK72" t="s">
        <v>59</v>
      </c>
      <c r="CL72" t="s">
        <v>59</v>
      </c>
      <c r="CM72" t="s">
        <v>59</v>
      </c>
      <c r="CN72" t="s">
        <v>59</v>
      </c>
      <c r="CO72" t="s">
        <v>191</v>
      </c>
      <c r="CP72" t="s">
        <v>191</v>
      </c>
      <c r="CQ72" t="s">
        <v>191</v>
      </c>
      <c r="CR72" t="s">
        <v>59</v>
      </c>
      <c r="CS72" t="s">
        <v>59</v>
      </c>
      <c r="CT72" t="s">
        <v>59</v>
      </c>
      <c r="CU72" t="s">
        <v>59</v>
      </c>
      <c r="CV72" t="s">
        <v>59</v>
      </c>
      <c r="CW72" t="s">
        <v>59</v>
      </c>
      <c r="CX72" t="s">
        <v>59</v>
      </c>
      <c r="CY72" t="s">
        <v>59</v>
      </c>
      <c r="CZ72" t="s">
        <v>59</v>
      </c>
      <c r="DA72" t="s">
        <v>59</v>
      </c>
      <c r="DB72" t="s">
        <v>59</v>
      </c>
      <c r="DC72" t="s">
        <v>59</v>
      </c>
      <c r="DD72" t="s">
        <v>59</v>
      </c>
      <c r="DE72" t="s">
        <v>59</v>
      </c>
      <c r="DF72" t="s">
        <v>59</v>
      </c>
      <c r="DG72" t="s">
        <v>59</v>
      </c>
      <c r="DH72" t="s">
        <v>59</v>
      </c>
      <c r="DI72" t="s">
        <v>59</v>
      </c>
      <c r="DJ72" t="s">
        <v>59</v>
      </c>
      <c r="DK72" t="s">
        <v>59</v>
      </c>
      <c r="DL72" t="s">
        <v>59</v>
      </c>
      <c r="DM72" t="s">
        <v>59</v>
      </c>
      <c r="DN72" t="s">
        <v>59</v>
      </c>
      <c r="DO72" t="s">
        <v>191</v>
      </c>
      <c r="DP72" t="s">
        <v>59</v>
      </c>
      <c r="DQ72" t="s">
        <v>191</v>
      </c>
      <c r="DR72" t="s">
        <v>191</v>
      </c>
      <c r="DS72" t="s">
        <v>191</v>
      </c>
      <c r="DT72" t="s">
        <v>191</v>
      </c>
      <c r="DU72" t="s">
        <v>191</v>
      </c>
      <c r="DV72" t="s">
        <v>191</v>
      </c>
      <c r="DW72" t="s">
        <v>191</v>
      </c>
      <c r="DX72" t="s">
        <v>191</v>
      </c>
      <c r="DY72" t="s">
        <v>191</v>
      </c>
      <c r="DZ72" t="s">
        <v>191</v>
      </c>
      <c r="EA72" t="s">
        <v>191</v>
      </c>
      <c r="EB72" t="s">
        <v>191</v>
      </c>
      <c r="EC72" t="s">
        <v>191</v>
      </c>
      <c r="ED72" t="s">
        <v>59</v>
      </c>
      <c r="EE72" t="s">
        <v>59</v>
      </c>
      <c r="EF72" t="s">
        <v>59</v>
      </c>
      <c r="EG72" t="s">
        <v>59</v>
      </c>
      <c r="EH72" t="s">
        <v>59</v>
      </c>
      <c r="EI72" t="s">
        <v>191</v>
      </c>
      <c r="EJ72" t="s">
        <v>191</v>
      </c>
      <c r="EK72" t="s">
        <v>191</v>
      </c>
      <c r="EL72" t="s">
        <v>191</v>
      </c>
      <c r="EM72" t="s">
        <v>59</v>
      </c>
      <c r="EN72" t="s">
        <v>59</v>
      </c>
      <c r="EO72" t="s">
        <v>59</v>
      </c>
      <c r="EP72" t="s">
        <v>59</v>
      </c>
      <c r="EQ72" t="s">
        <v>59</v>
      </c>
      <c r="ER72" t="s">
        <v>59</v>
      </c>
      <c r="ES72" t="s">
        <v>59</v>
      </c>
      <c r="ET72" t="s">
        <v>59</v>
      </c>
      <c r="EU72" t="s">
        <v>59</v>
      </c>
      <c r="EV72" t="s">
        <v>59</v>
      </c>
      <c r="EW72" t="s">
        <v>59</v>
      </c>
      <c r="EX72" t="s">
        <v>59</v>
      </c>
      <c r="EY72" t="s">
        <v>59</v>
      </c>
      <c r="EZ72" t="s">
        <v>59</v>
      </c>
      <c r="FA72" t="s">
        <v>191</v>
      </c>
      <c r="FB72" t="s">
        <v>191</v>
      </c>
      <c r="FC72" t="s">
        <v>191</v>
      </c>
      <c r="FD72" t="s">
        <v>191</v>
      </c>
      <c r="FE72" t="s">
        <v>191</v>
      </c>
      <c r="FF72" t="s">
        <v>191</v>
      </c>
      <c r="FG72" t="s">
        <v>191</v>
      </c>
      <c r="FH72" t="s">
        <v>59</v>
      </c>
      <c r="FI72" t="s">
        <v>191</v>
      </c>
      <c r="FJ72" t="s">
        <v>191</v>
      </c>
      <c r="FK72" t="s">
        <v>191</v>
      </c>
      <c r="FL72" t="s">
        <v>59</v>
      </c>
      <c r="FM72" t="s">
        <v>59</v>
      </c>
      <c r="FN72" t="s">
        <v>59</v>
      </c>
      <c r="FO72" t="s">
        <v>59</v>
      </c>
      <c r="FP72" t="s">
        <v>59</v>
      </c>
      <c r="FQ72" t="s">
        <v>59</v>
      </c>
      <c r="FR72" t="s">
        <v>59</v>
      </c>
      <c r="FS72" t="s">
        <v>191</v>
      </c>
      <c r="FT72" t="s">
        <v>59</v>
      </c>
      <c r="FU72" t="s">
        <v>59</v>
      </c>
      <c r="FV72" t="s">
        <v>59</v>
      </c>
      <c r="FW72" t="s">
        <v>59</v>
      </c>
      <c r="FX72" t="s">
        <v>59</v>
      </c>
      <c r="FY72" t="s">
        <v>59</v>
      </c>
      <c r="FZ72" t="s">
        <v>59</v>
      </c>
      <c r="GA72" t="s">
        <v>59</v>
      </c>
      <c r="GB72" t="s">
        <v>59</v>
      </c>
      <c r="GC72" t="s">
        <v>59</v>
      </c>
      <c r="GD72" t="s">
        <v>59</v>
      </c>
      <c r="GE72" t="s">
        <v>59</v>
      </c>
      <c r="GF72" t="s">
        <v>59</v>
      </c>
      <c r="GG72" t="s">
        <v>59</v>
      </c>
      <c r="GH72" t="s">
        <v>59</v>
      </c>
      <c r="GI72" t="s">
        <v>59</v>
      </c>
      <c r="GJ72" t="s">
        <v>59</v>
      </c>
      <c r="GK72" t="s">
        <v>191</v>
      </c>
      <c r="GL72" t="s">
        <v>59</v>
      </c>
      <c r="GM72" t="s">
        <v>59</v>
      </c>
      <c r="GN72" t="s">
        <v>59</v>
      </c>
      <c r="GO72" t="s">
        <v>59</v>
      </c>
      <c r="GP72" t="s">
        <v>59</v>
      </c>
      <c r="GQ72" t="s">
        <v>59</v>
      </c>
      <c r="GR72" t="s">
        <v>59</v>
      </c>
      <c r="GS72" t="s">
        <v>59</v>
      </c>
      <c r="GT72" t="s">
        <v>59</v>
      </c>
      <c r="GU72" t="s">
        <v>191</v>
      </c>
      <c r="GV72" t="s">
        <v>59</v>
      </c>
      <c r="GW72" t="s">
        <v>59</v>
      </c>
      <c r="GX72" t="s">
        <v>59</v>
      </c>
      <c r="GY72" t="s">
        <v>59</v>
      </c>
      <c r="GZ72" t="s">
        <v>191</v>
      </c>
      <c r="HA72" t="s">
        <v>59</v>
      </c>
      <c r="HB72" t="s">
        <v>191</v>
      </c>
      <c r="HC72" t="s">
        <v>59</v>
      </c>
      <c r="HD72" t="s">
        <v>59</v>
      </c>
      <c r="HE72" t="s">
        <v>59</v>
      </c>
      <c r="HF72" t="s">
        <v>59</v>
      </c>
      <c r="HG72" t="s">
        <v>59</v>
      </c>
      <c r="HH72" t="s">
        <v>59</v>
      </c>
      <c r="HI72" t="s">
        <v>59</v>
      </c>
      <c r="HJ72" t="s">
        <v>59</v>
      </c>
      <c r="HK72" t="s">
        <v>59</v>
      </c>
      <c r="HL72" t="s">
        <v>59</v>
      </c>
      <c r="HM72" t="s">
        <v>191</v>
      </c>
      <c r="HN72" t="s">
        <v>191</v>
      </c>
      <c r="HO72" t="s">
        <v>191</v>
      </c>
      <c r="HP72" t="s">
        <v>59</v>
      </c>
      <c r="HQ72" t="s">
        <v>59</v>
      </c>
      <c r="HR72" t="s">
        <v>59</v>
      </c>
      <c r="HS72" t="s">
        <v>59</v>
      </c>
      <c r="HT72" t="s">
        <v>59</v>
      </c>
      <c r="HU72" t="s">
        <v>59</v>
      </c>
      <c r="HV72" t="s">
        <v>59</v>
      </c>
      <c r="HW72" t="s">
        <v>59</v>
      </c>
      <c r="HX72" t="s">
        <v>59</v>
      </c>
      <c r="HY72" t="s">
        <v>59</v>
      </c>
      <c r="HZ72" t="s">
        <v>59</v>
      </c>
      <c r="IA72" t="s">
        <v>59</v>
      </c>
      <c r="IB72" t="s">
        <v>59</v>
      </c>
      <c r="IC72" t="s">
        <v>59</v>
      </c>
      <c r="ID72" t="s">
        <v>59</v>
      </c>
      <c r="IE72" t="s">
        <v>59</v>
      </c>
      <c r="IF72" t="s">
        <v>59</v>
      </c>
      <c r="IG72" t="s">
        <v>59</v>
      </c>
      <c r="IH72" t="s">
        <v>59</v>
      </c>
      <c r="II72" t="s">
        <v>59</v>
      </c>
      <c r="IJ72" t="s">
        <v>129</v>
      </c>
      <c r="IK72" t="s">
        <v>198</v>
      </c>
      <c r="IL72" t="s">
        <v>128</v>
      </c>
      <c r="IM72" t="s">
        <v>199</v>
      </c>
      <c r="IN72">
        <v>29</v>
      </c>
      <c r="IO72" t="s">
        <v>2730</v>
      </c>
      <c r="IP72">
        <v>3</v>
      </c>
      <c r="IQ72" t="s">
        <v>2730</v>
      </c>
      <c r="IR72">
        <v>15</v>
      </c>
      <c r="IS72" t="s">
        <v>2730</v>
      </c>
      <c r="IT72" t="s">
        <v>2730</v>
      </c>
      <c r="IU72" t="s">
        <v>2730</v>
      </c>
      <c r="IV72">
        <v>16</v>
      </c>
      <c r="IW72" t="s">
        <v>2730</v>
      </c>
      <c r="IX72">
        <v>3</v>
      </c>
      <c r="IY72" t="s">
        <v>2730</v>
      </c>
      <c r="IZ72">
        <v>31</v>
      </c>
      <c r="JA72" t="s">
        <v>2730</v>
      </c>
      <c r="JB72">
        <v>28</v>
      </c>
      <c r="JC72" t="s">
        <v>2730</v>
      </c>
      <c r="JD72">
        <v>24</v>
      </c>
      <c r="JE72" t="s">
        <v>2730</v>
      </c>
      <c r="JF72">
        <v>2</v>
      </c>
      <c r="JG72" t="s">
        <v>2730</v>
      </c>
      <c r="JH72">
        <v>24</v>
      </c>
      <c r="JI72" t="s">
        <v>2730</v>
      </c>
      <c r="JJ72">
        <v>6</v>
      </c>
      <c r="JK72" t="s">
        <v>2730</v>
      </c>
      <c r="JL72">
        <v>16</v>
      </c>
      <c r="JM72" t="s">
        <v>2730</v>
      </c>
      <c r="JN72" t="s">
        <v>2730</v>
      </c>
      <c r="JO72">
        <v>4</v>
      </c>
      <c r="JP72" t="s">
        <v>2730</v>
      </c>
      <c r="JQ72" t="s">
        <v>2730</v>
      </c>
    </row>
    <row r="73" spans="1:277">
      <c r="A73" s="149" t="str">
        <f>HYPERLINK("http://www.ofsted.gov.uk/inspection-reports/find-inspection-report/provider/ELS/100301 ","Ofsted School Webpage")</f>
        <v>Ofsted School Webpage</v>
      </c>
      <c r="B73">
        <v>1134887</v>
      </c>
      <c r="C73">
        <v>100301</v>
      </c>
      <c r="D73">
        <v>2046389</v>
      </c>
      <c r="E73" t="s">
        <v>2135</v>
      </c>
      <c r="F73" t="s">
        <v>37</v>
      </c>
      <c r="G73" t="s">
        <v>209</v>
      </c>
      <c r="H73" t="s">
        <v>232</v>
      </c>
      <c r="I73" t="s">
        <v>232</v>
      </c>
      <c r="J73" t="s">
        <v>479</v>
      </c>
      <c r="K73" t="s">
        <v>2136</v>
      </c>
      <c r="L73" t="s">
        <v>184</v>
      </c>
      <c r="M73" t="s">
        <v>185</v>
      </c>
      <c r="N73" t="s">
        <v>212</v>
      </c>
      <c r="O73" t="s">
        <v>2730</v>
      </c>
      <c r="P73" t="s">
        <v>186</v>
      </c>
      <c r="Q73">
        <v>10026269</v>
      </c>
      <c r="R73" s="120">
        <v>43067</v>
      </c>
      <c r="S73" s="120">
        <v>43069</v>
      </c>
      <c r="T73" s="120">
        <v>43088</v>
      </c>
      <c r="U73" t="s">
        <v>2730</v>
      </c>
      <c r="V73" t="s">
        <v>196</v>
      </c>
      <c r="W73" t="s">
        <v>2730</v>
      </c>
      <c r="X73" t="s">
        <v>197</v>
      </c>
      <c r="Y73">
        <v>3</v>
      </c>
      <c r="Z73">
        <v>3</v>
      </c>
      <c r="AA73">
        <v>2</v>
      </c>
      <c r="AB73">
        <v>3</v>
      </c>
      <c r="AC73">
        <v>3</v>
      </c>
      <c r="AD73">
        <v>3</v>
      </c>
      <c r="AE73" t="s">
        <v>2730</v>
      </c>
      <c r="AF73" t="s">
        <v>128</v>
      </c>
      <c r="AG73" t="s">
        <v>2730</v>
      </c>
      <c r="AH73" t="s">
        <v>2732</v>
      </c>
      <c r="AI73" t="s">
        <v>59</v>
      </c>
      <c r="AJ73" t="s">
        <v>59</v>
      </c>
      <c r="AK73" t="s">
        <v>59</v>
      </c>
      <c r="AL73" t="s">
        <v>59</v>
      </c>
      <c r="AM73" t="s">
        <v>59</v>
      </c>
      <c r="AN73" t="s">
        <v>59</v>
      </c>
      <c r="AO73" t="s">
        <v>59</v>
      </c>
      <c r="AP73" t="s">
        <v>59</v>
      </c>
      <c r="AQ73" t="s">
        <v>59</v>
      </c>
      <c r="AR73" t="s">
        <v>59</v>
      </c>
      <c r="AS73" t="s">
        <v>59</v>
      </c>
      <c r="AT73" t="s">
        <v>59</v>
      </c>
      <c r="AU73" t="s">
        <v>59</v>
      </c>
      <c r="AV73" t="s">
        <v>59</v>
      </c>
      <c r="AW73" t="s">
        <v>59</v>
      </c>
      <c r="AX73" t="s">
        <v>59</v>
      </c>
      <c r="AY73" t="s">
        <v>218</v>
      </c>
      <c r="AZ73" t="s">
        <v>59</v>
      </c>
      <c r="BA73" t="s">
        <v>59</v>
      </c>
      <c r="BB73" t="s">
        <v>59</v>
      </c>
      <c r="BC73" t="s">
        <v>59</v>
      </c>
      <c r="BD73" t="s">
        <v>59</v>
      </c>
      <c r="BE73" t="s">
        <v>59</v>
      </c>
      <c r="BF73" t="s">
        <v>59</v>
      </c>
      <c r="BG73" t="s">
        <v>59</v>
      </c>
      <c r="BH73" t="s">
        <v>218</v>
      </c>
      <c r="BI73" t="s">
        <v>59</v>
      </c>
      <c r="BJ73" t="s">
        <v>59</v>
      </c>
      <c r="BK73" t="s">
        <v>59</v>
      </c>
      <c r="BL73" t="s">
        <v>59</v>
      </c>
      <c r="BM73" t="s">
        <v>59</v>
      </c>
      <c r="BN73" t="s">
        <v>59</v>
      </c>
      <c r="BO73" t="s">
        <v>59</v>
      </c>
      <c r="BP73" t="s">
        <v>59</v>
      </c>
      <c r="BQ73" t="s">
        <v>59</v>
      </c>
      <c r="BR73" t="s">
        <v>59</v>
      </c>
      <c r="BS73" t="s">
        <v>59</v>
      </c>
      <c r="BT73" t="s">
        <v>59</v>
      </c>
      <c r="BU73" t="s">
        <v>59</v>
      </c>
      <c r="BV73" t="s">
        <v>59</v>
      </c>
      <c r="BW73" t="s">
        <v>59</v>
      </c>
      <c r="BX73" t="s">
        <v>59</v>
      </c>
      <c r="BY73" t="s">
        <v>59</v>
      </c>
      <c r="BZ73" t="s">
        <v>59</v>
      </c>
      <c r="CA73" t="s">
        <v>59</v>
      </c>
      <c r="CB73" t="s">
        <v>59</v>
      </c>
      <c r="CC73" t="s">
        <v>59</v>
      </c>
      <c r="CD73" t="s">
        <v>59</v>
      </c>
      <c r="CE73" t="s">
        <v>59</v>
      </c>
      <c r="CF73" t="s">
        <v>59</v>
      </c>
      <c r="CG73" t="s">
        <v>59</v>
      </c>
      <c r="CH73" t="s">
        <v>59</v>
      </c>
      <c r="CI73" t="s">
        <v>59</v>
      </c>
      <c r="CJ73" t="s">
        <v>59</v>
      </c>
      <c r="CK73" t="s">
        <v>59</v>
      </c>
      <c r="CL73" t="s">
        <v>59</v>
      </c>
      <c r="CM73" t="s">
        <v>59</v>
      </c>
      <c r="CN73" t="s">
        <v>59</v>
      </c>
      <c r="CO73" t="s">
        <v>218</v>
      </c>
      <c r="CP73" t="s">
        <v>218</v>
      </c>
      <c r="CQ73" t="s">
        <v>218</v>
      </c>
      <c r="CR73" t="s">
        <v>59</v>
      </c>
      <c r="CS73" t="s">
        <v>59</v>
      </c>
      <c r="CT73" t="s">
        <v>59</v>
      </c>
      <c r="CU73" t="s">
        <v>59</v>
      </c>
      <c r="CV73" t="s">
        <v>59</v>
      </c>
      <c r="CW73" t="s">
        <v>59</v>
      </c>
      <c r="CX73" t="s">
        <v>59</v>
      </c>
      <c r="CY73" t="s">
        <v>59</v>
      </c>
      <c r="CZ73" t="s">
        <v>59</v>
      </c>
      <c r="DA73" t="s">
        <v>59</v>
      </c>
      <c r="DB73" t="s">
        <v>59</v>
      </c>
      <c r="DC73" t="s">
        <v>59</v>
      </c>
      <c r="DD73" t="s">
        <v>59</v>
      </c>
      <c r="DE73" t="s">
        <v>59</v>
      </c>
      <c r="DF73" t="s">
        <v>59</v>
      </c>
      <c r="DG73" t="s">
        <v>59</v>
      </c>
      <c r="DH73" t="s">
        <v>59</v>
      </c>
      <c r="DI73" t="s">
        <v>59</v>
      </c>
      <c r="DJ73" t="s">
        <v>59</v>
      </c>
      <c r="DK73" t="s">
        <v>59</v>
      </c>
      <c r="DL73" t="s">
        <v>59</v>
      </c>
      <c r="DM73" t="s">
        <v>59</v>
      </c>
      <c r="DN73" t="s">
        <v>59</v>
      </c>
      <c r="DO73" t="s">
        <v>218</v>
      </c>
      <c r="DP73" t="s">
        <v>59</v>
      </c>
      <c r="DQ73" t="s">
        <v>218</v>
      </c>
      <c r="DR73" t="s">
        <v>218</v>
      </c>
      <c r="DS73" t="s">
        <v>218</v>
      </c>
      <c r="DT73" t="s">
        <v>218</v>
      </c>
      <c r="DU73" t="s">
        <v>218</v>
      </c>
      <c r="DV73" t="s">
        <v>218</v>
      </c>
      <c r="DW73" t="s">
        <v>218</v>
      </c>
      <c r="DX73" t="s">
        <v>218</v>
      </c>
      <c r="DY73" t="s">
        <v>218</v>
      </c>
      <c r="DZ73" t="s">
        <v>218</v>
      </c>
      <c r="EA73" t="s">
        <v>218</v>
      </c>
      <c r="EB73" t="s">
        <v>218</v>
      </c>
      <c r="EC73" t="s">
        <v>218</v>
      </c>
      <c r="ED73" t="s">
        <v>218</v>
      </c>
      <c r="EE73" t="s">
        <v>59</v>
      </c>
      <c r="EF73" t="s">
        <v>59</v>
      </c>
      <c r="EG73" t="s">
        <v>59</v>
      </c>
      <c r="EH73" t="s">
        <v>59</v>
      </c>
      <c r="EI73" t="s">
        <v>59</v>
      </c>
      <c r="EJ73" t="s">
        <v>59</v>
      </c>
      <c r="EK73" t="s">
        <v>59</v>
      </c>
      <c r="EL73" t="s">
        <v>218</v>
      </c>
      <c r="EM73" t="s">
        <v>59</v>
      </c>
      <c r="EN73" t="s">
        <v>59</v>
      </c>
      <c r="EO73" t="s">
        <v>59</v>
      </c>
      <c r="EP73" t="s">
        <v>59</v>
      </c>
      <c r="EQ73" t="s">
        <v>59</v>
      </c>
      <c r="ER73" t="s">
        <v>59</v>
      </c>
      <c r="ES73" t="s">
        <v>59</v>
      </c>
      <c r="ET73" t="s">
        <v>59</v>
      </c>
      <c r="EU73" t="s">
        <v>59</v>
      </c>
      <c r="EV73" t="s">
        <v>59</v>
      </c>
      <c r="EW73" t="s">
        <v>59</v>
      </c>
      <c r="EX73" t="s">
        <v>59</v>
      </c>
      <c r="EY73" t="s">
        <v>59</v>
      </c>
      <c r="EZ73" t="s">
        <v>59</v>
      </c>
      <c r="FA73" t="s">
        <v>59</v>
      </c>
      <c r="FB73" t="s">
        <v>218</v>
      </c>
      <c r="FC73" t="s">
        <v>218</v>
      </c>
      <c r="FD73" t="s">
        <v>218</v>
      </c>
      <c r="FE73" t="s">
        <v>218</v>
      </c>
      <c r="FF73" t="s">
        <v>218</v>
      </c>
      <c r="FG73" t="s">
        <v>218</v>
      </c>
      <c r="FH73" t="s">
        <v>59</v>
      </c>
      <c r="FI73" t="s">
        <v>59</v>
      </c>
      <c r="FJ73" t="s">
        <v>59</v>
      </c>
      <c r="FK73" t="s">
        <v>59</v>
      </c>
      <c r="FL73" t="s">
        <v>59</v>
      </c>
      <c r="FM73" t="s">
        <v>59</v>
      </c>
      <c r="FN73" t="s">
        <v>59</v>
      </c>
      <c r="FO73" t="s">
        <v>59</v>
      </c>
      <c r="FP73" t="s">
        <v>59</v>
      </c>
      <c r="FQ73" t="s">
        <v>59</v>
      </c>
      <c r="FR73" t="s">
        <v>59</v>
      </c>
      <c r="FS73" t="s">
        <v>218</v>
      </c>
      <c r="FT73" t="s">
        <v>59</v>
      </c>
      <c r="FU73" t="s">
        <v>59</v>
      </c>
      <c r="FV73" t="s">
        <v>59</v>
      </c>
      <c r="FW73" t="s">
        <v>59</v>
      </c>
      <c r="FX73" t="s">
        <v>59</v>
      </c>
      <c r="FY73" t="s">
        <v>59</v>
      </c>
      <c r="FZ73" t="s">
        <v>59</v>
      </c>
      <c r="GA73" t="s">
        <v>59</v>
      </c>
      <c r="GB73" t="s">
        <v>59</v>
      </c>
      <c r="GC73" t="s">
        <v>59</v>
      </c>
      <c r="GD73" t="s">
        <v>59</v>
      </c>
      <c r="GE73" t="s">
        <v>59</v>
      </c>
      <c r="GF73" t="s">
        <v>59</v>
      </c>
      <c r="GG73" t="s">
        <v>59</v>
      </c>
      <c r="GH73" t="s">
        <v>59</v>
      </c>
      <c r="GI73" t="s">
        <v>59</v>
      </c>
      <c r="GJ73" t="s">
        <v>59</v>
      </c>
      <c r="GK73" t="s">
        <v>218</v>
      </c>
      <c r="GL73" t="s">
        <v>59</v>
      </c>
      <c r="GM73" t="s">
        <v>59</v>
      </c>
      <c r="GN73" t="s">
        <v>59</v>
      </c>
      <c r="GO73" t="s">
        <v>59</v>
      </c>
      <c r="GP73" t="s">
        <v>59</v>
      </c>
      <c r="GQ73" t="s">
        <v>218</v>
      </c>
      <c r="GR73" t="s">
        <v>59</v>
      </c>
      <c r="GS73" t="s">
        <v>59</v>
      </c>
      <c r="GT73" t="s">
        <v>218</v>
      </c>
      <c r="GU73" t="s">
        <v>218</v>
      </c>
      <c r="GV73" t="s">
        <v>59</v>
      </c>
      <c r="GW73" t="s">
        <v>59</v>
      </c>
      <c r="GX73" t="s">
        <v>59</v>
      </c>
      <c r="GY73" t="s">
        <v>59</v>
      </c>
      <c r="GZ73" t="s">
        <v>218</v>
      </c>
      <c r="HA73" t="s">
        <v>59</v>
      </c>
      <c r="HB73" t="s">
        <v>59</v>
      </c>
      <c r="HC73" t="s">
        <v>59</v>
      </c>
      <c r="HD73" t="s">
        <v>59</v>
      </c>
      <c r="HE73" t="s">
        <v>59</v>
      </c>
      <c r="HF73" t="s">
        <v>59</v>
      </c>
      <c r="HG73" t="s">
        <v>59</v>
      </c>
      <c r="HH73" t="s">
        <v>59</v>
      </c>
      <c r="HI73" t="s">
        <v>59</v>
      </c>
      <c r="HJ73" t="s">
        <v>59</v>
      </c>
      <c r="HK73" t="s">
        <v>59</v>
      </c>
      <c r="HL73" t="s">
        <v>218</v>
      </c>
      <c r="HM73" t="s">
        <v>218</v>
      </c>
      <c r="HN73" t="s">
        <v>218</v>
      </c>
      <c r="HO73" t="s">
        <v>218</v>
      </c>
      <c r="HP73" t="s">
        <v>59</v>
      </c>
      <c r="HQ73" t="s">
        <v>59</v>
      </c>
      <c r="HR73" t="s">
        <v>59</v>
      </c>
      <c r="HS73" t="s">
        <v>59</v>
      </c>
      <c r="HT73" t="s">
        <v>59</v>
      </c>
      <c r="HU73" t="s">
        <v>59</v>
      </c>
      <c r="HV73" t="s">
        <v>59</v>
      </c>
      <c r="HW73" t="s">
        <v>59</v>
      </c>
      <c r="HX73" t="s">
        <v>59</v>
      </c>
      <c r="HY73" t="s">
        <v>59</v>
      </c>
      <c r="HZ73" t="s">
        <v>59</v>
      </c>
      <c r="IA73" t="s">
        <v>59</v>
      </c>
      <c r="IB73" t="s">
        <v>59</v>
      </c>
      <c r="IC73" t="s">
        <v>59</v>
      </c>
      <c r="ID73" t="s">
        <v>59</v>
      </c>
      <c r="IE73" t="s">
        <v>59</v>
      </c>
      <c r="IF73" t="s">
        <v>59</v>
      </c>
      <c r="IG73" t="s">
        <v>59</v>
      </c>
      <c r="IH73" t="s">
        <v>59</v>
      </c>
      <c r="II73" t="s">
        <v>59</v>
      </c>
      <c r="IJ73" t="s">
        <v>129</v>
      </c>
      <c r="IK73" t="s">
        <v>191</v>
      </c>
      <c r="IL73" t="s">
        <v>128</v>
      </c>
      <c r="IM73" t="s">
        <v>199</v>
      </c>
      <c r="IN73">
        <v>30</v>
      </c>
      <c r="IO73" t="s">
        <v>2730</v>
      </c>
      <c r="IP73" t="s">
        <v>2730</v>
      </c>
      <c r="IQ73" t="s">
        <v>2730</v>
      </c>
      <c r="IR73">
        <v>15</v>
      </c>
      <c r="IS73" t="s">
        <v>2730</v>
      </c>
      <c r="IT73" t="s">
        <v>2730</v>
      </c>
      <c r="IU73" t="s">
        <v>2730</v>
      </c>
      <c r="IV73">
        <v>16</v>
      </c>
      <c r="IW73" t="s">
        <v>2730</v>
      </c>
      <c r="IX73" t="s">
        <v>2730</v>
      </c>
      <c r="IY73" t="s">
        <v>2730</v>
      </c>
      <c r="IZ73">
        <v>37</v>
      </c>
      <c r="JA73" t="s">
        <v>2730</v>
      </c>
      <c r="JB73" t="s">
        <v>2730</v>
      </c>
      <c r="JC73" t="s">
        <v>2730</v>
      </c>
      <c r="JD73">
        <v>24</v>
      </c>
      <c r="JE73" t="s">
        <v>2730</v>
      </c>
      <c r="JF73" t="s">
        <v>2730</v>
      </c>
      <c r="JG73" t="s">
        <v>2730</v>
      </c>
      <c r="JH73">
        <v>22</v>
      </c>
      <c r="JI73" t="s">
        <v>2730</v>
      </c>
      <c r="JJ73" t="s">
        <v>2730</v>
      </c>
      <c r="JK73" t="s">
        <v>2730</v>
      </c>
      <c r="JL73">
        <v>16</v>
      </c>
      <c r="JM73" t="s">
        <v>2730</v>
      </c>
      <c r="JN73" t="s">
        <v>2730</v>
      </c>
      <c r="JO73">
        <v>4</v>
      </c>
      <c r="JP73" t="s">
        <v>2730</v>
      </c>
      <c r="JQ73" t="s">
        <v>2730</v>
      </c>
    </row>
    <row r="74" spans="1:277">
      <c r="A74" s="149" t="str">
        <f>HYPERLINK("http://www.ofsted.gov.uk/inspection-reports/find-inspection-report/provider/ELS/136003 ","Ofsted School Webpage")</f>
        <v>Ofsted School Webpage</v>
      </c>
      <c r="B74">
        <v>1132545</v>
      </c>
      <c r="C74">
        <v>136003</v>
      </c>
      <c r="D74">
        <v>8886111</v>
      </c>
      <c r="E74" t="s">
        <v>204</v>
      </c>
      <c r="F74" t="s">
        <v>38</v>
      </c>
      <c r="G74" t="s">
        <v>180</v>
      </c>
      <c r="H74" t="s">
        <v>205</v>
      </c>
      <c r="I74" t="s">
        <v>205</v>
      </c>
      <c r="J74" t="s">
        <v>206</v>
      </c>
      <c r="K74" t="s">
        <v>207</v>
      </c>
      <c r="L74" t="s">
        <v>184</v>
      </c>
      <c r="M74" t="s">
        <v>185</v>
      </c>
      <c r="N74" t="s">
        <v>184</v>
      </c>
      <c r="O74" t="s">
        <v>2730</v>
      </c>
      <c r="P74" t="s">
        <v>186</v>
      </c>
      <c r="Q74">
        <v>10026014</v>
      </c>
      <c r="R74" s="120">
        <v>42990</v>
      </c>
      <c r="S74" s="120">
        <v>42992</v>
      </c>
      <c r="T74" s="120">
        <v>43027</v>
      </c>
      <c r="U74" t="s">
        <v>2730</v>
      </c>
      <c r="V74" t="s">
        <v>196</v>
      </c>
      <c r="W74" t="s">
        <v>2730</v>
      </c>
      <c r="X74" t="s">
        <v>197</v>
      </c>
      <c r="Y74">
        <v>1</v>
      </c>
      <c r="Z74">
        <v>1</v>
      </c>
      <c r="AA74">
        <v>1</v>
      </c>
      <c r="AB74">
        <v>1</v>
      </c>
      <c r="AC74">
        <v>1</v>
      </c>
      <c r="AD74" t="s">
        <v>2730</v>
      </c>
      <c r="AE74" t="s">
        <v>2730</v>
      </c>
      <c r="AF74" t="s">
        <v>128</v>
      </c>
      <c r="AG74" t="s">
        <v>2730</v>
      </c>
      <c r="AH74" t="s">
        <v>2732</v>
      </c>
      <c r="AI74" t="s">
        <v>59</v>
      </c>
      <c r="AJ74" t="s">
        <v>59</v>
      </c>
      <c r="AK74" t="s">
        <v>59</v>
      </c>
      <c r="AL74" t="s">
        <v>59</v>
      </c>
      <c r="AM74" t="s">
        <v>59</v>
      </c>
      <c r="AN74" t="s">
        <v>59</v>
      </c>
      <c r="AO74" t="s">
        <v>59</v>
      </c>
      <c r="AP74" t="s">
        <v>59</v>
      </c>
      <c r="AQ74" t="s">
        <v>59</v>
      </c>
      <c r="AR74" t="s">
        <v>59</v>
      </c>
      <c r="AS74" t="s">
        <v>59</v>
      </c>
      <c r="AT74" t="s">
        <v>59</v>
      </c>
      <c r="AU74" t="s">
        <v>59</v>
      </c>
      <c r="AV74" t="s">
        <v>59</v>
      </c>
      <c r="AW74" t="s">
        <v>59</v>
      </c>
      <c r="AX74" t="s">
        <v>59</v>
      </c>
      <c r="AY74" t="s">
        <v>191</v>
      </c>
      <c r="AZ74" t="s">
        <v>59</v>
      </c>
      <c r="BA74" t="s">
        <v>59</v>
      </c>
      <c r="BB74" t="s">
        <v>59</v>
      </c>
      <c r="BC74" t="s">
        <v>59</v>
      </c>
      <c r="BD74" t="s">
        <v>59</v>
      </c>
      <c r="BE74" t="s">
        <v>59</v>
      </c>
      <c r="BF74" t="s">
        <v>59</v>
      </c>
      <c r="BG74" t="s">
        <v>191</v>
      </c>
      <c r="BH74" t="s">
        <v>191</v>
      </c>
      <c r="BI74" t="s">
        <v>59</v>
      </c>
      <c r="BJ74" t="s">
        <v>59</v>
      </c>
      <c r="BK74" t="s">
        <v>59</v>
      </c>
      <c r="BL74" t="s">
        <v>59</v>
      </c>
      <c r="BM74" t="s">
        <v>59</v>
      </c>
      <c r="BN74" t="s">
        <v>59</v>
      </c>
      <c r="BO74" t="s">
        <v>59</v>
      </c>
      <c r="BP74" t="s">
        <v>59</v>
      </c>
      <c r="BQ74" t="s">
        <v>59</v>
      </c>
      <c r="BR74" t="s">
        <v>59</v>
      </c>
      <c r="BS74" t="s">
        <v>59</v>
      </c>
      <c r="BT74" t="s">
        <v>59</v>
      </c>
      <c r="BU74" t="s">
        <v>59</v>
      </c>
      <c r="BV74" t="s">
        <v>59</v>
      </c>
      <c r="BW74" t="s">
        <v>59</v>
      </c>
      <c r="BX74" t="s">
        <v>59</v>
      </c>
      <c r="BY74" t="s">
        <v>59</v>
      </c>
      <c r="BZ74" t="s">
        <v>59</v>
      </c>
      <c r="CA74" t="s">
        <v>59</v>
      </c>
      <c r="CB74" t="s">
        <v>59</v>
      </c>
      <c r="CC74" t="s">
        <v>59</v>
      </c>
      <c r="CD74" t="s">
        <v>59</v>
      </c>
      <c r="CE74" t="s">
        <v>59</v>
      </c>
      <c r="CF74" t="s">
        <v>59</v>
      </c>
      <c r="CG74" t="s">
        <v>59</v>
      </c>
      <c r="CH74" t="s">
        <v>59</v>
      </c>
      <c r="CI74" t="s">
        <v>59</v>
      </c>
      <c r="CJ74" t="s">
        <v>59</v>
      </c>
      <c r="CK74" t="s">
        <v>59</v>
      </c>
      <c r="CL74" t="s">
        <v>59</v>
      </c>
      <c r="CM74" t="s">
        <v>59</v>
      </c>
      <c r="CN74" t="s">
        <v>59</v>
      </c>
      <c r="CO74" t="s">
        <v>191</v>
      </c>
      <c r="CP74" t="s">
        <v>191</v>
      </c>
      <c r="CQ74" t="s">
        <v>191</v>
      </c>
      <c r="CR74" t="s">
        <v>59</v>
      </c>
      <c r="CS74" t="s">
        <v>59</v>
      </c>
      <c r="CT74" t="s">
        <v>59</v>
      </c>
      <c r="CU74" t="s">
        <v>59</v>
      </c>
      <c r="CV74" t="s">
        <v>59</v>
      </c>
      <c r="CW74" t="s">
        <v>59</v>
      </c>
      <c r="CX74" t="s">
        <v>59</v>
      </c>
      <c r="CY74" t="s">
        <v>59</v>
      </c>
      <c r="CZ74" t="s">
        <v>59</v>
      </c>
      <c r="DA74" t="s">
        <v>59</v>
      </c>
      <c r="DB74" t="s">
        <v>59</v>
      </c>
      <c r="DC74" t="s">
        <v>59</v>
      </c>
      <c r="DD74" t="s">
        <v>59</v>
      </c>
      <c r="DE74" t="s">
        <v>59</v>
      </c>
      <c r="DF74" t="s">
        <v>59</v>
      </c>
      <c r="DG74" t="s">
        <v>59</v>
      </c>
      <c r="DH74" t="s">
        <v>59</v>
      </c>
      <c r="DI74" t="s">
        <v>59</v>
      </c>
      <c r="DJ74" t="s">
        <v>59</v>
      </c>
      <c r="DK74" t="s">
        <v>59</v>
      </c>
      <c r="DL74" t="s">
        <v>59</v>
      </c>
      <c r="DM74" t="s">
        <v>59</v>
      </c>
      <c r="DN74" t="s">
        <v>191</v>
      </c>
      <c r="DO74" t="s">
        <v>191</v>
      </c>
      <c r="DP74" t="s">
        <v>59</v>
      </c>
      <c r="DQ74" t="s">
        <v>59</v>
      </c>
      <c r="DR74" t="s">
        <v>59</v>
      </c>
      <c r="DS74" t="s">
        <v>59</v>
      </c>
      <c r="DT74" t="s">
        <v>59</v>
      </c>
      <c r="DU74" t="s">
        <v>59</v>
      </c>
      <c r="DV74" t="s">
        <v>59</v>
      </c>
      <c r="DW74" t="s">
        <v>59</v>
      </c>
      <c r="DX74" t="s">
        <v>59</v>
      </c>
      <c r="DY74" t="s">
        <v>59</v>
      </c>
      <c r="DZ74" t="s">
        <v>59</v>
      </c>
      <c r="EA74" t="s">
        <v>59</v>
      </c>
      <c r="EB74" t="s">
        <v>59</v>
      </c>
      <c r="EC74" t="s">
        <v>191</v>
      </c>
      <c r="ED74" t="s">
        <v>59</v>
      </c>
      <c r="EE74" t="s">
        <v>59</v>
      </c>
      <c r="EF74" t="s">
        <v>59</v>
      </c>
      <c r="EG74" t="s">
        <v>59</v>
      </c>
      <c r="EH74" t="s">
        <v>59</v>
      </c>
      <c r="EI74" t="s">
        <v>59</v>
      </c>
      <c r="EJ74" t="s">
        <v>59</v>
      </c>
      <c r="EK74" t="s">
        <v>59</v>
      </c>
      <c r="EL74" t="s">
        <v>59</v>
      </c>
      <c r="EM74" t="s">
        <v>59</v>
      </c>
      <c r="EN74" t="s">
        <v>59</v>
      </c>
      <c r="EO74" t="s">
        <v>59</v>
      </c>
      <c r="EP74" t="s">
        <v>59</v>
      </c>
      <c r="EQ74" t="s">
        <v>59</v>
      </c>
      <c r="ER74" t="s">
        <v>59</v>
      </c>
      <c r="ES74" t="s">
        <v>59</v>
      </c>
      <c r="ET74" t="s">
        <v>59</v>
      </c>
      <c r="EU74" t="s">
        <v>59</v>
      </c>
      <c r="EV74" t="s">
        <v>59</v>
      </c>
      <c r="EW74" t="s">
        <v>59</v>
      </c>
      <c r="EX74" t="s">
        <v>191</v>
      </c>
      <c r="EY74" t="s">
        <v>59</v>
      </c>
      <c r="EZ74" t="s">
        <v>59</v>
      </c>
      <c r="FA74" t="s">
        <v>59</v>
      </c>
      <c r="FB74" t="s">
        <v>59</v>
      </c>
      <c r="FC74" t="s">
        <v>59</v>
      </c>
      <c r="FD74" t="s">
        <v>59</v>
      </c>
      <c r="FE74" t="s">
        <v>59</v>
      </c>
      <c r="FF74" t="s">
        <v>191</v>
      </c>
      <c r="FG74" t="s">
        <v>59</v>
      </c>
      <c r="FH74" t="s">
        <v>59</v>
      </c>
      <c r="FI74" t="s">
        <v>59</v>
      </c>
      <c r="FJ74" t="s">
        <v>59</v>
      </c>
      <c r="FK74" t="s">
        <v>59</v>
      </c>
      <c r="FL74" t="s">
        <v>59</v>
      </c>
      <c r="FM74" t="s">
        <v>59</v>
      </c>
      <c r="FN74" t="s">
        <v>191</v>
      </c>
      <c r="FO74" t="s">
        <v>59</v>
      </c>
      <c r="FP74" t="s">
        <v>59</v>
      </c>
      <c r="FQ74" t="s">
        <v>59</v>
      </c>
      <c r="FR74" t="s">
        <v>59</v>
      </c>
      <c r="FS74" t="s">
        <v>191</v>
      </c>
      <c r="FT74" t="s">
        <v>59</v>
      </c>
      <c r="FU74" t="s">
        <v>59</v>
      </c>
      <c r="FV74" t="s">
        <v>59</v>
      </c>
      <c r="FW74" t="s">
        <v>59</v>
      </c>
      <c r="FX74" t="s">
        <v>59</v>
      </c>
      <c r="FY74" t="s">
        <v>59</v>
      </c>
      <c r="FZ74" t="s">
        <v>59</v>
      </c>
      <c r="GA74" t="s">
        <v>59</v>
      </c>
      <c r="GB74" t="s">
        <v>59</v>
      </c>
      <c r="GC74" t="s">
        <v>59</v>
      </c>
      <c r="GD74" t="s">
        <v>59</v>
      </c>
      <c r="GE74" t="s">
        <v>59</v>
      </c>
      <c r="GF74" t="s">
        <v>59</v>
      </c>
      <c r="GG74" t="s">
        <v>59</v>
      </c>
      <c r="GH74" t="s">
        <v>59</v>
      </c>
      <c r="GI74" t="s">
        <v>59</v>
      </c>
      <c r="GJ74" t="s">
        <v>59</v>
      </c>
      <c r="GK74" t="s">
        <v>191</v>
      </c>
      <c r="GL74" t="s">
        <v>59</v>
      </c>
      <c r="GM74" t="s">
        <v>59</v>
      </c>
      <c r="GN74" t="s">
        <v>59</v>
      </c>
      <c r="GO74" t="s">
        <v>59</v>
      </c>
      <c r="GP74" t="s">
        <v>59</v>
      </c>
      <c r="GQ74" t="s">
        <v>59</v>
      </c>
      <c r="GR74" t="s">
        <v>59</v>
      </c>
      <c r="GS74" t="s">
        <v>59</v>
      </c>
      <c r="GT74" t="s">
        <v>59</v>
      </c>
      <c r="GU74" t="s">
        <v>59</v>
      </c>
      <c r="GV74" t="s">
        <v>59</v>
      </c>
      <c r="GW74" t="s">
        <v>59</v>
      </c>
      <c r="GX74" t="s">
        <v>59</v>
      </c>
      <c r="GY74" t="s">
        <v>59</v>
      </c>
      <c r="GZ74" t="s">
        <v>191</v>
      </c>
      <c r="HA74" t="s">
        <v>59</v>
      </c>
      <c r="HB74" t="s">
        <v>59</v>
      </c>
      <c r="HC74" t="s">
        <v>59</v>
      </c>
      <c r="HD74" t="s">
        <v>59</v>
      </c>
      <c r="HE74" t="s">
        <v>59</v>
      </c>
      <c r="HF74" t="s">
        <v>59</v>
      </c>
      <c r="HG74" t="s">
        <v>59</v>
      </c>
      <c r="HH74" t="s">
        <v>59</v>
      </c>
      <c r="HI74" t="s">
        <v>59</v>
      </c>
      <c r="HJ74" t="s">
        <v>59</v>
      </c>
      <c r="HK74" t="s">
        <v>59</v>
      </c>
      <c r="HL74" t="s">
        <v>59</v>
      </c>
      <c r="HM74" t="s">
        <v>191</v>
      </c>
      <c r="HN74" t="s">
        <v>191</v>
      </c>
      <c r="HO74" t="s">
        <v>191</v>
      </c>
      <c r="HP74" t="s">
        <v>59</v>
      </c>
      <c r="HQ74" t="s">
        <v>59</v>
      </c>
      <c r="HR74" t="s">
        <v>59</v>
      </c>
      <c r="HS74" t="s">
        <v>59</v>
      </c>
      <c r="HT74" t="s">
        <v>59</v>
      </c>
      <c r="HU74" t="s">
        <v>59</v>
      </c>
      <c r="HV74" t="s">
        <v>59</v>
      </c>
      <c r="HW74" t="s">
        <v>59</v>
      </c>
      <c r="HX74" t="s">
        <v>59</v>
      </c>
      <c r="HY74" t="s">
        <v>59</v>
      </c>
      <c r="HZ74" t="s">
        <v>59</v>
      </c>
      <c r="IA74" t="s">
        <v>59</v>
      </c>
      <c r="IB74" t="s">
        <v>59</v>
      </c>
      <c r="IC74" t="s">
        <v>59</v>
      </c>
      <c r="ID74" t="s">
        <v>59</v>
      </c>
      <c r="IE74" t="s">
        <v>59</v>
      </c>
      <c r="IF74" t="s">
        <v>59</v>
      </c>
      <c r="IG74" t="s">
        <v>59</v>
      </c>
      <c r="IH74" t="s">
        <v>59</v>
      </c>
      <c r="II74" t="s">
        <v>59</v>
      </c>
      <c r="IJ74" t="s">
        <v>129</v>
      </c>
      <c r="IK74" t="s">
        <v>198</v>
      </c>
      <c r="IL74" t="s">
        <v>128</v>
      </c>
      <c r="IM74" t="s">
        <v>199</v>
      </c>
      <c r="IN74">
        <v>29</v>
      </c>
      <c r="IO74" t="s">
        <v>2730</v>
      </c>
      <c r="IP74">
        <v>3</v>
      </c>
      <c r="IQ74" t="s">
        <v>2730</v>
      </c>
      <c r="IR74">
        <v>15</v>
      </c>
      <c r="IS74" t="s">
        <v>2730</v>
      </c>
      <c r="IT74" t="s">
        <v>2730</v>
      </c>
      <c r="IU74" t="s">
        <v>2730</v>
      </c>
      <c r="IV74">
        <v>16</v>
      </c>
      <c r="IW74" t="s">
        <v>2730</v>
      </c>
      <c r="IX74">
        <v>3</v>
      </c>
      <c r="IY74" t="s">
        <v>2730</v>
      </c>
      <c r="IZ74">
        <v>54</v>
      </c>
      <c r="JA74" t="s">
        <v>2730</v>
      </c>
      <c r="JB74">
        <v>5</v>
      </c>
      <c r="JC74" t="s">
        <v>2730</v>
      </c>
      <c r="JD74">
        <v>23</v>
      </c>
      <c r="JE74" t="s">
        <v>2730</v>
      </c>
      <c r="JF74">
        <v>3</v>
      </c>
      <c r="JG74" t="s">
        <v>2730</v>
      </c>
      <c r="JH74">
        <v>26</v>
      </c>
      <c r="JI74" t="s">
        <v>2730</v>
      </c>
      <c r="JJ74">
        <v>4</v>
      </c>
      <c r="JK74" t="s">
        <v>2730</v>
      </c>
      <c r="JL74">
        <v>16</v>
      </c>
      <c r="JM74" t="s">
        <v>2730</v>
      </c>
      <c r="JN74" t="s">
        <v>2730</v>
      </c>
      <c r="JO74">
        <v>4</v>
      </c>
      <c r="JP74" t="s">
        <v>2730</v>
      </c>
      <c r="JQ74" t="s">
        <v>2730</v>
      </c>
    </row>
    <row r="75" spans="1:277">
      <c r="A75" s="149" t="str">
        <f>HYPERLINK("http://www.ofsted.gov.uk/inspection-reports/find-inspection-report/provider/ELS/140273 ","Ofsted School Webpage")</f>
        <v>Ofsted School Webpage</v>
      </c>
      <c r="B75">
        <v>1133280</v>
      </c>
      <c r="C75">
        <v>140273</v>
      </c>
      <c r="D75">
        <v>3356002</v>
      </c>
      <c r="E75" t="s">
        <v>1628</v>
      </c>
      <c r="F75" t="s">
        <v>38</v>
      </c>
      <c r="G75" t="s">
        <v>180</v>
      </c>
      <c r="H75" t="s">
        <v>193</v>
      </c>
      <c r="I75" t="s">
        <v>193</v>
      </c>
      <c r="J75" t="s">
        <v>1531</v>
      </c>
      <c r="K75" t="s">
        <v>1016</v>
      </c>
      <c r="L75" t="s">
        <v>184</v>
      </c>
      <c r="M75" t="s">
        <v>185</v>
      </c>
      <c r="N75" t="s">
        <v>184</v>
      </c>
      <c r="O75" t="s">
        <v>2730</v>
      </c>
      <c r="P75" t="s">
        <v>186</v>
      </c>
      <c r="Q75">
        <v>10026238</v>
      </c>
      <c r="R75" s="120">
        <v>43046</v>
      </c>
      <c r="S75" s="120">
        <v>43048</v>
      </c>
      <c r="T75" s="120">
        <v>43090</v>
      </c>
      <c r="U75" t="s">
        <v>2730</v>
      </c>
      <c r="V75" t="s">
        <v>3119</v>
      </c>
      <c r="W75" t="s">
        <v>2730</v>
      </c>
      <c r="X75" t="s">
        <v>197</v>
      </c>
      <c r="Y75">
        <v>2</v>
      </c>
      <c r="Z75">
        <v>2</v>
      </c>
      <c r="AA75">
        <v>2</v>
      </c>
      <c r="AB75">
        <v>2</v>
      </c>
      <c r="AC75">
        <v>2</v>
      </c>
      <c r="AD75" t="s">
        <v>2730</v>
      </c>
      <c r="AE75" t="s">
        <v>2730</v>
      </c>
      <c r="AF75" t="s">
        <v>128</v>
      </c>
      <c r="AG75" t="s">
        <v>2730</v>
      </c>
      <c r="AH75" t="s">
        <v>2732</v>
      </c>
      <c r="AI75" t="s">
        <v>59</v>
      </c>
      <c r="AJ75" t="s">
        <v>59</v>
      </c>
      <c r="AK75" t="s">
        <v>59</v>
      </c>
      <c r="AL75" t="s">
        <v>59</v>
      </c>
      <c r="AM75" t="s">
        <v>59</v>
      </c>
      <c r="AN75" t="s">
        <v>59</v>
      </c>
      <c r="AO75" t="s">
        <v>59</v>
      </c>
      <c r="AP75" t="s">
        <v>59</v>
      </c>
      <c r="AQ75" t="s">
        <v>59</v>
      </c>
      <c r="AR75" t="s">
        <v>59</v>
      </c>
      <c r="AS75" t="s">
        <v>59</v>
      </c>
      <c r="AT75" t="s">
        <v>59</v>
      </c>
      <c r="AU75" t="s">
        <v>59</v>
      </c>
      <c r="AV75" t="s">
        <v>59</v>
      </c>
      <c r="AW75" t="s">
        <v>59</v>
      </c>
      <c r="AX75" t="s">
        <v>59</v>
      </c>
      <c r="AY75" t="s">
        <v>218</v>
      </c>
      <c r="AZ75" t="s">
        <v>59</v>
      </c>
      <c r="BA75" t="s">
        <v>59</v>
      </c>
      <c r="BB75" t="s">
        <v>59</v>
      </c>
      <c r="BC75" t="s">
        <v>59</v>
      </c>
      <c r="BD75" t="s">
        <v>59</v>
      </c>
      <c r="BE75" t="s">
        <v>59</v>
      </c>
      <c r="BF75" t="s">
        <v>59</v>
      </c>
      <c r="BG75" t="s">
        <v>218</v>
      </c>
      <c r="BH75" t="s">
        <v>218</v>
      </c>
      <c r="BI75" t="s">
        <v>59</v>
      </c>
      <c r="BJ75" t="s">
        <v>59</v>
      </c>
      <c r="BK75" t="s">
        <v>59</v>
      </c>
      <c r="BL75" t="s">
        <v>59</v>
      </c>
      <c r="BM75" t="s">
        <v>59</v>
      </c>
      <c r="BN75" t="s">
        <v>59</v>
      </c>
      <c r="BO75" t="s">
        <v>59</v>
      </c>
      <c r="BP75" t="s">
        <v>59</v>
      </c>
      <c r="BQ75" t="s">
        <v>59</v>
      </c>
      <c r="BR75" t="s">
        <v>59</v>
      </c>
      <c r="BS75" t="s">
        <v>59</v>
      </c>
      <c r="BT75" t="s">
        <v>59</v>
      </c>
      <c r="BU75" t="s">
        <v>59</v>
      </c>
      <c r="BV75" t="s">
        <v>59</v>
      </c>
      <c r="BW75" t="s">
        <v>59</v>
      </c>
      <c r="BX75" t="s">
        <v>59</v>
      </c>
      <c r="BY75" t="s">
        <v>59</v>
      </c>
      <c r="BZ75" t="s">
        <v>59</v>
      </c>
      <c r="CA75" t="s">
        <v>59</v>
      </c>
      <c r="CB75" t="s">
        <v>59</v>
      </c>
      <c r="CC75" t="s">
        <v>59</v>
      </c>
      <c r="CD75" t="s">
        <v>59</v>
      </c>
      <c r="CE75" t="s">
        <v>59</v>
      </c>
      <c r="CF75" t="s">
        <v>59</v>
      </c>
      <c r="CG75" t="s">
        <v>59</v>
      </c>
      <c r="CH75" t="s">
        <v>59</v>
      </c>
      <c r="CI75" t="s">
        <v>59</v>
      </c>
      <c r="CJ75" t="s">
        <v>59</v>
      </c>
      <c r="CK75" t="s">
        <v>59</v>
      </c>
      <c r="CL75" t="s">
        <v>59</v>
      </c>
      <c r="CM75" t="s">
        <v>59</v>
      </c>
      <c r="CN75" t="s">
        <v>59</v>
      </c>
      <c r="CO75" t="s">
        <v>218</v>
      </c>
      <c r="CP75" t="s">
        <v>218</v>
      </c>
      <c r="CQ75" t="s">
        <v>218</v>
      </c>
      <c r="CR75" t="s">
        <v>59</v>
      </c>
      <c r="CS75" t="s">
        <v>59</v>
      </c>
      <c r="CT75" t="s">
        <v>59</v>
      </c>
      <c r="CU75" t="s">
        <v>59</v>
      </c>
      <c r="CV75" t="s">
        <v>59</v>
      </c>
      <c r="CW75" t="s">
        <v>59</v>
      </c>
      <c r="CX75" t="s">
        <v>59</v>
      </c>
      <c r="CY75" t="s">
        <v>59</v>
      </c>
      <c r="CZ75" t="s">
        <v>59</v>
      </c>
      <c r="DA75" t="s">
        <v>59</v>
      </c>
      <c r="DB75" t="s">
        <v>59</v>
      </c>
      <c r="DC75" t="s">
        <v>59</v>
      </c>
      <c r="DD75" t="s">
        <v>59</v>
      </c>
      <c r="DE75" t="s">
        <v>59</v>
      </c>
      <c r="DF75" t="s">
        <v>59</v>
      </c>
      <c r="DG75" t="s">
        <v>59</v>
      </c>
      <c r="DH75" t="s">
        <v>59</v>
      </c>
      <c r="DI75" t="s">
        <v>59</v>
      </c>
      <c r="DJ75" t="s">
        <v>59</v>
      </c>
      <c r="DK75" t="s">
        <v>59</v>
      </c>
      <c r="DL75" t="s">
        <v>59</v>
      </c>
      <c r="DM75" t="s">
        <v>59</v>
      </c>
      <c r="DN75" t="s">
        <v>59</v>
      </c>
      <c r="DO75" t="s">
        <v>218</v>
      </c>
      <c r="DP75" t="s">
        <v>59</v>
      </c>
      <c r="DQ75" t="s">
        <v>59</v>
      </c>
      <c r="DR75" t="s">
        <v>59</v>
      </c>
      <c r="DS75" t="s">
        <v>59</v>
      </c>
      <c r="DT75" t="s">
        <v>59</v>
      </c>
      <c r="DU75" t="s">
        <v>59</v>
      </c>
      <c r="DV75" t="s">
        <v>59</v>
      </c>
      <c r="DW75" t="s">
        <v>59</v>
      </c>
      <c r="DX75" t="s">
        <v>59</v>
      </c>
      <c r="DY75" t="s">
        <v>59</v>
      </c>
      <c r="DZ75" t="s">
        <v>59</v>
      </c>
      <c r="EA75" t="s">
        <v>59</v>
      </c>
      <c r="EB75" t="s">
        <v>59</v>
      </c>
      <c r="EC75" t="s">
        <v>218</v>
      </c>
      <c r="ED75" t="s">
        <v>59</v>
      </c>
      <c r="EE75" t="s">
        <v>59</v>
      </c>
      <c r="EF75" t="s">
        <v>59</v>
      </c>
      <c r="EG75" t="s">
        <v>59</v>
      </c>
      <c r="EH75" t="s">
        <v>59</v>
      </c>
      <c r="EI75" t="s">
        <v>59</v>
      </c>
      <c r="EJ75" t="s">
        <v>59</v>
      </c>
      <c r="EK75" t="s">
        <v>59</v>
      </c>
      <c r="EL75" t="s">
        <v>59</v>
      </c>
      <c r="EM75" t="s">
        <v>59</v>
      </c>
      <c r="EN75" t="s">
        <v>59</v>
      </c>
      <c r="EO75" t="s">
        <v>59</v>
      </c>
      <c r="EP75" t="s">
        <v>59</v>
      </c>
      <c r="EQ75" t="s">
        <v>59</v>
      </c>
      <c r="ER75" t="s">
        <v>59</v>
      </c>
      <c r="ES75" t="s">
        <v>59</v>
      </c>
      <c r="ET75" t="s">
        <v>59</v>
      </c>
      <c r="EU75" t="s">
        <v>59</v>
      </c>
      <c r="EV75" t="s">
        <v>59</v>
      </c>
      <c r="EW75" t="s">
        <v>59</v>
      </c>
      <c r="EX75" t="s">
        <v>59</v>
      </c>
      <c r="EY75" t="s">
        <v>59</v>
      </c>
      <c r="EZ75" t="s">
        <v>59</v>
      </c>
      <c r="FA75" t="s">
        <v>59</v>
      </c>
      <c r="FB75" t="s">
        <v>59</v>
      </c>
      <c r="FC75" t="s">
        <v>59</v>
      </c>
      <c r="FD75" t="s">
        <v>59</v>
      </c>
      <c r="FE75" t="s">
        <v>59</v>
      </c>
      <c r="FF75" t="s">
        <v>59</v>
      </c>
      <c r="FG75" t="s">
        <v>59</v>
      </c>
      <c r="FH75" t="s">
        <v>59</v>
      </c>
      <c r="FI75" t="s">
        <v>59</v>
      </c>
      <c r="FJ75" t="s">
        <v>59</v>
      </c>
      <c r="FK75" t="s">
        <v>59</v>
      </c>
      <c r="FL75" t="s">
        <v>59</v>
      </c>
      <c r="FM75" t="s">
        <v>59</v>
      </c>
      <c r="FN75" t="s">
        <v>59</v>
      </c>
      <c r="FO75" t="s">
        <v>59</v>
      </c>
      <c r="FP75" t="s">
        <v>59</v>
      </c>
      <c r="FQ75" t="s">
        <v>59</v>
      </c>
      <c r="FR75" t="s">
        <v>59</v>
      </c>
      <c r="FS75" t="s">
        <v>218</v>
      </c>
      <c r="FT75" t="s">
        <v>59</v>
      </c>
      <c r="FU75" t="s">
        <v>59</v>
      </c>
      <c r="FV75" t="s">
        <v>59</v>
      </c>
      <c r="FW75" t="s">
        <v>59</v>
      </c>
      <c r="FX75" t="s">
        <v>59</v>
      </c>
      <c r="FY75" t="s">
        <v>59</v>
      </c>
      <c r="FZ75" t="s">
        <v>59</v>
      </c>
      <c r="GA75" t="s">
        <v>59</v>
      </c>
      <c r="GB75" t="s">
        <v>59</v>
      </c>
      <c r="GC75" t="s">
        <v>59</v>
      </c>
      <c r="GD75" t="s">
        <v>59</v>
      </c>
      <c r="GE75" t="s">
        <v>59</v>
      </c>
      <c r="GF75" t="s">
        <v>59</v>
      </c>
      <c r="GG75" t="s">
        <v>59</v>
      </c>
      <c r="GH75" t="s">
        <v>59</v>
      </c>
      <c r="GI75" t="s">
        <v>59</v>
      </c>
      <c r="GJ75" t="s">
        <v>59</v>
      </c>
      <c r="GK75" t="s">
        <v>218</v>
      </c>
      <c r="GL75" t="s">
        <v>59</v>
      </c>
      <c r="GM75" t="s">
        <v>59</v>
      </c>
      <c r="GN75" t="s">
        <v>59</v>
      </c>
      <c r="GO75" t="s">
        <v>59</v>
      </c>
      <c r="GP75" t="s">
        <v>59</v>
      </c>
      <c r="GQ75" t="s">
        <v>218</v>
      </c>
      <c r="GR75" t="s">
        <v>59</v>
      </c>
      <c r="GS75" t="s">
        <v>59</v>
      </c>
      <c r="GT75" t="s">
        <v>59</v>
      </c>
      <c r="GU75" t="s">
        <v>59</v>
      </c>
      <c r="GV75" t="s">
        <v>59</v>
      </c>
      <c r="GW75" t="s">
        <v>59</v>
      </c>
      <c r="GX75" t="s">
        <v>59</v>
      </c>
      <c r="GY75" t="s">
        <v>59</v>
      </c>
      <c r="GZ75" t="s">
        <v>59</v>
      </c>
      <c r="HA75" t="s">
        <v>218</v>
      </c>
      <c r="HB75" t="s">
        <v>218</v>
      </c>
      <c r="HC75" t="s">
        <v>59</v>
      </c>
      <c r="HD75" t="s">
        <v>59</v>
      </c>
      <c r="HE75" t="s">
        <v>59</v>
      </c>
      <c r="HF75" t="s">
        <v>59</v>
      </c>
      <c r="HG75" t="s">
        <v>59</v>
      </c>
      <c r="HH75" t="s">
        <v>59</v>
      </c>
      <c r="HI75" t="s">
        <v>59</v>
      </c>
      <c r="HJ75" t="s">
        <v>59</v>
      </c>
      <c r="HK75" t="s">
        <v>59</v>
      </c>
      <c r="HL75" t="s">
        <v>218</v>
      </c>
      <c r="HM75" t="s">
        <v>218</v>
      </c>
      <c r="HN75" t="s">
        <v>218</v>
      </c>
      <c r="HO75" t="s">
        <v>218</v>
      </c>
      <c r="HP75" t="s">
        <v>59</v>
      </c>
      <c r="HQ75" t="s">
        <v>59</v>
      </c>
      <c r="HR75" t="s">
        <v>59</v>
      </c>
      <c r="HS75" t="s">
        <v>59</v>
      </c>
      <c r="HT75" t="s">
        <v>59</v>
      </c>
      <c r="HU75" t="s">
        <v>59</v>
      </c>
      <c r="HV75" t="s">
        <v>59</v>
      </c>
      <c r="HW75" t="s">
        <v>59</v>
      </c>
      <c r="HX75" t="s">
        <v>59</v>
      </c>
      <c r="HY75" t="s">
        <v>59</v>
      </c>
      <c r="HZ75" t="s">
        <v>59</v>
      </c>
      <c r="IA75" t="s">
        <v>59</v>
      </c>
      <c r="IB75" t="s">
        <v>59</v>
      </c>
      <c r="IC75" t="s">
        <v>59</v>
      </c>
      <c r="ID75" t="s">
        <v>59</v>
      </c>
      <c r="IE75" t="s">
        <v>59</v>
      </c>
      <c r="IF75" t="s">
        <v>59</v>
      </c>
      <c r="IG75" t="s">
        <v>59</v>
      </c>
      <c r="IH75" t="s">
        <v>59</v>
      </c>
      <c r="II75" t="s">
        <v>59</v>
      </c>
      <c r="IJ75" t="s">
        <v>128</v>
      </c>
      <c r="IK75" t="s">
        <v>191</v>
      </c>
      <c r="IL75" t="s">
        <v>128</v>
      </c>
      <c r="IM75" t="s">
        <v>199</v>
      </c>
      <c r="IN75">
        <v>29</v>
      </c>
      <c r="IO75" t="s">
        <v>2730</v>
      </c>
      <c r="IP75" t="s">
        <v>2730</v>
      </c>
      <c r="IQ75" t="s">
        <v>2730</v>
      </c>
      <c r="IR75">
        <v>15</v>
      </c>
      <c r="IS75" t="s">
        <v>2730</v>
      </c>
      <c r="IT75" t="s">
        <v>2730</v>
      </c>
      <c r="IU75" t="s">
        <v>2730</v>
      </c>
      <c r="IV75">
        <v>16</v>
      </c>
      <c r="IW75" t="s">
        <v>2730</v>
      </c>
      <c r="IX75" t="s">
        <v>2730</v>
      </c>
      <c r="IY75" t="s">
        <v>2730</v>
      </c>
      <c r="IZ75">
        <v>57</v>
      </c>
      <c r="JA75" t="s">
        <v>2730</v>
      </c>
      <c r="JB75" t="s">
        <v>2730</v>
      </c>
      <c r="JC75" t="s">
        <v>2730</v>
      </c>
      <c r="JD75">
        <v>24</v>
      </c>
      <c r="JE75" t="s">
        <v>2730</v>
      </c>
      <c r="JF75" t="s">
        <v>2730</v>
      </c>
      <c r="JG75" t="s">
        <v>2730</v>
      </c>
      <c r="JH75">
        <v>23</v>
      </c>
      <c r="JI75" t="s">
        <v>2730</v>
      </c>
      <c r="JJ75" t="s">
        <v>2730</v>
      </c>
      <c r="JK75" t="s">
        <v>2730</v>
      </c>
      <c r="JL75">
        <v>16</v>
      </c>
      <c r="JM75" t="s">
        <v>2730</v>
      </c>
      <c r="JN75" t="s">
        <v>2730</v>
      </c>
      <c r="JO75">
        <v>4</v>
      </c>
      <c r="JP75" t="s">
        <v>2730</v>
      </c>
      <c r="JQ75" t="s">
        <v>2730</v>
      </c>
    </row>
    <row r="76" spans="1:277">
      <c r="A76" s="149" t="str">
        <f>HYPERLINK("http://www.ofsted.gov.uk/inspection-reports/find-inspection-report/provider/ELS/136123 ","Ofsted School Webpage")</f>
        <v>Ofsted School Webpage</v>
      </c>
      <c r="B76">
        <v>1133995</v>
      </c>
      <c r="C76">
        <v>136123</v>
      </c>
      <c r="D76">
        <v>3306170</v>
      </c>
      <c r="E76" t="s">
        <v>498</v>
      </c>
      <c r="F76" t="s">
        <v>37</v>
      </c>
      <c r="G76" t="s">
        <v>209</v>
      </c>
      <c r="H76" t="s">
        <v>193</v>
      </c>
      <c r="I76" t="s">
        <v>193</v>
      </c>
      <c r="J76" t="s">
        <v>210</v>
      </c>
      <c r="K76" t="s">
        <v>499</v>
      </c>
      <c r="L76" t="s">
        <v>304</v>
      </c>
      <c r="M76" t="s">
        <v>2730</v>
      </c>
      <c r="N76" t="s">
        <v>223</v>
      </c>
      <c r="O76" t="s">
        <v>2730</v>
      </c>
      <c r="P76" t="s">
        <v>186</v>
      </c>
      <c r="Q76">
        <v>10038841</v>
      </c>
      <c r="R76" s="120">
        <v>43039</v>
      </c>
      <c r="S76" s="120">
        <v>43041</v>
      </c>
      <c r="T76" s="120">
        <v>43067</v>
      </c>
      <c r="U76" t="s">
        <v>2730</v>
      </c>
      <c r="V76" t="s">
        <v>196</v>
      </c>
      <c r="W76" t="s">
        <v>2730</v>
      </c>
      <c r="X76" t="s">
        <v>197</v>
      </c>
      <c r="Y76">
        <v>3</v>
      </c>
      <c r="Z76">
        <v>3</v>
      </c>
      <c r="AA76">
        <v>2</v>
      </c>
      <c r="AB76">
        <v>3</v>
      </c>
      <c r="AC76">
        <v>3</v>
      </c>
      <c r="AD76" t="s">
        <v>2730</v>
      </c>
      <c r="AE76" t="s">
        <v>2730</v>
      </c>
      <c r="AF76" t="s">
        <v>128</v>
      </c>
      <c r="AG76" t="s">
        <v>2730</v>
      </c>
      <c r="AH76" t="s">
        <v>2733</v>
      </c>
      <c r="AI76" t="s">
        <v>59</v>
      </c>
      <c r="AJ76" t="s">
        <v>59</v>
      </c>
      <c r="AK76" t="s">
        <v>59</v>
      </c>
      <c r="AL76" t="s">
        <v>59</v>
      </c>
      <c r="AM76" t="s">
        <v>59</v>
      </c>
      <c r="AN76" t="s">
        <v>59</v>
      </c>
      <c r="AO76" t="s">
        <v>59</v>
      </c>
      <c r="AP76" t="s">
        <v>60</v>
      </c>
      <c r="AQ76" t="s">
        <v>59</v>
      </c>
      <c r="AR76" t="s">
        <v>59</v>
      </c>
      <c r="AS76" t="s">
        <v>59</v>
      </c>
      <c r="AT76" t="s">
        <v>59</v>
      </c>
      <c r="AU76" t="s">
        <v>59</v>
      </c>
      <c r="AV76" t="s">
        <v>59</v>
      </c>
      <c r="AW76" t="s">
        <v>59</v>
      </c>
      <c r="AX76" t="s">
        <v>59</v>
      </c>
      <c r="AY76" t="s">
        <v>218</v>
      </c>
      <c r="AZ76" t="s">
        <v>59</v>
      </c>
      <c r="BA76" t="s">
        <v>59</v>
      </c>
      <c r="BB76" t="s">
        <v>59</v>
      </c>
      <c r="BC76" t="s">
        <v>59</v>
      </c>
      <c r="BD76" t="s">
        <v>59</v>
      </c>
      <c r="BE76" t="s">
        <v>59</v>
      </c>
      <c r="BF76" t="s">
        <v>59</v>
      </c>
      <c r="BG76" t="s">
        <v>218</v>
      </c>
      <c r="BH76" t="s">
        <v>218</v>
      </c>
      <c r="BI76" t="s">
        <v>59</v>
      </c>
      <c r="BJ76" t="s">
        <v>59</v>
      </c>
      <c r="BK76" t="s">
        <v>60</v>
      </c>
      <c r="BL76" t="s">
        <v>60</v>
      </c>
      <c r="BM76" t="s">
        <v>60</v>
      </c>
      <c r="BN76" t="s">
        <v>60</v>
      </c>
      <c r="BO76" t="s">
        <v>59</v>
      </c>
      <c r="BP76" t="s">
        <v>59</v>
      </c>
      <c r="BQ76" t="s">
        <v>59</v>
      </c>
      <c r="BR76" t="s">
        <v>60</v>
      </c>
      <c r="BS76" t="s">
        <v>59</v>
      </c>
      <c r="BT76" t="s">
        <v>59</v>
      </c>
      <c r="BU76" t="s">
        <v>59</v>
      </c>
      <c r="BV76" t="s">
        <v>59</v>
      </c>
      <c r="BW76" t="s">
        <v>59</v>
      </c>
      <c r="BX76" t="s">
        <v>59</v>
      </c>
      <c r="BY76" t="s">
        <v>59</v>
      </c>
      <c r="BZ76" t="s">
        <v>59</v>
      </c>
      <c r="CA76" t="s">
        <v>59</v>
      </c>
      <c r="CB76" t="s">
        <v>59</v>
      </c>
      <c r="CC76" t="s">
        <v>59</v>
      </c>
      <c r="CD76" t="s">
        <v>59</v>
      </c>
      <c r="CE76" t="s">
        <v>59</v>
      </c>
      <c r="CF76" t="s">
        <v>59</v>
      </c>
      <c r="CG76" t="s">
        <v>59</v>
      </c>
      <c r="CH76" t="s">
        <v>59</v>
      </c>
      <c r="CI76" t="s">
        <v>59</v>
      </c>
      <c r="CJ76" t="s">
        <v>59</v>
      </c>
      <c r="CK76" t="s">
        <v>59</v>
      </c>
      <c r="CL76" t="s">
        <v>59</v>
      </c>
      <c r="CM76" t="s">
        <v>59</v>
      </c>
      <c r="CN76" t="s">
        <v>59</v>
      </c>
      <c r="CO76" t="s">
        <v>218</v>
      </c>
      <c r="CP76" t="s">
        <v>218</v>
      </c>
      <c r="CQ76" t="s">
        <v>218</v>
      </c>
      <c r="CR76" t="s">
        <v>59</v>
      </c>
      <c r="CS76" t="s">
        <v>59</v>
      </c>
      <c r="CT76" t="s">
        <v>59</v>
      </c>
      <c r="CU76" t="s">
        <v>59</v>
      </c>
      <c r="CV76" t="s">
        <v>59</v>
      </c>
      <c r="CW76" t="s">
        <v>59</v>
      </c>
      <c r="CX76" t="s">
        <v>59</v>
      </c>
      <c r="CY76" t="s">
        <v>59</v>
      </c>
      <c r="CZ76" t="s">
        <v>59</v>
      </c>
      <c r="DA76" t="s">
        <v>59</v>
      </c>
      <c r="DB76" t="s">
        <v>59</v>
      </c>
      <c r="DC76" t="s">
        <v>59</v>
      </c>
      <c r="DD76" t="s">
        <v>59</v>
      </c>
      <c r="DE76" t="s">
        <v>59</v>
      </c>
      <c r="DF76" t="s">
        <v>59</v>
      </c>
      <c r="DG76" t="s">
        <v>59</v>
      </c>
      <c r="DH76" t="s">
        <v>59</v>
      </c>
      <c r="DI76" t="s">
        <v>59</v>
      </c>
      <c r="DJ76" t="s">
        <v>59</v>
      </c>
      <c r="DK76" t="s">
        <v>59</v>
      </c>
      <c r="DL76" t="s">
        <v>59</v>
      </c>
      <c r="DM76" t="s">
        <v>59</v>
      </c>
      <c r="DN76" t="s">
        <v>59</v>
      </c>
      <c r="DO76" t="s">
        <v>218</v>
      </c>
      <c r="DP76" t="s">
        <v>59</v>
      </c>
      <c r="DQ76" t="s">
        <v>218</v>
      </c>
      <c r="DR76" t="s">
        <v>218</v>
      </c>
      <c r="DS76" t="s">
        <v>218</v>
      </c>
      <c r="DT76" t="s">
        <v>218</v>
      </c>
      <c r="DU76" t="s">
        <v>218</v>
      </c>
      <c r="DV76" t="s">
        <v>218</v>
      </c>
      <c r="DW76" t="s">
        <v>218</v>
      </c>
      <c r="DX76" t="s">
        <v>218</v>
      </c>
      <c r="DY76" t="s">
        <v>218</v>
      </c>
      <c r="DZ76" t="s">
        <v>218</v>
      </c>
      <c r="EA76" t="s">
        <v>218</v>
      </c>
      <c r="EB76" t="s">
        <v>218</v>
      </c>
      <c r="EC76" t="s">
        <v>218</v>
      </c>
      <c r="ED76" t="s">
        <v>59</v>
      </c>
      <c r="EE76" t="s">
        <v>59</v>
      </c>
      <c r="EF76" t="s">
        <v>59</v>
      </c>
      <c r="EG76" t="s">
        <v>59</v>
      </c>
      <c r="EH76" t="s">
        <v>59</v>
      </c>
      <c r="EI76" t="s">
        <v>59</v>
      </c>
      <c r="EJ76" t="s">
        <v>59</v>
      </c>
      <c r="EK76" t="s">
        <v>59</v>
      </c>
      <c r="EL76" t="s">
        <v>59</v>
      </c>
      <c r="EM76" t="s">
        <v>59</v>
      </c>
      <c r="EN76" t="s">
        <v>59</v>
      </c>
      <c r="EO76" t="s">
        <v>59</v>
      </c>
      <c r="EP76" t="s">
        <v>59</v>
      </c>
      <c r="EQ76" t="s">
        <v>59</v>
      </c>
      <c r="ER76" t="s">
        <v>59</v>
      </c>
      <c r="ES76" t="s">
        <v>59</v>
      </c>
      <c r="ET76" t="s">
        <v>59</v>
      </c>
      <c r="EU76" t="s">
        <v>59</v>
      </c>
      <c r="EV76" t="s">
        <v>59</v>
      </c>
      <c r="EW76" t="s">
        <v>59</v>
      </c>
      <c r="EX76" t="s">
        <v>59</v>
      </c>
      <c r="EY76" t="s">
        <v>59</v>
      </c>
      <c r="EZ76" t="s">
        <v>59</v>
      </c>
      <c r="FA76" t="s">
        <v>59</v>
      </c>
      <c r="FB76" t="s">
        <v>218</v>
      </c>
      <c r="FC76" t="s">
        <v>218</v>
      </c>
      <c r="FD76" t="s">
        <v>218</v>
      </c>
      <c r="FE76" t="s">
        <v>218</v>
      </c>
      <c r="FF76" t="s">
        <v>218</v>
      </c>
      <c r="FG76" t="s">
        <v>218</v>
      </c>
      <c r="FH76" t="s">
        <v>59</v>
      </c>
      <c r="FI76" t="s">
        <v>59</v>
      </c>
      <c r="FJ76" t="s">
        <v>59</v>
      </c>
      <c r="FK76" t="s">
        <v>59</v>
      </c>
      <c r="FL76" t="s">
        <v>59</v>
      </c>
      <c r="FM76" t="s">
        <v>59</v>
      </c>
      <c r="FN76" t="s">
        <v>218</v>
      </c>
      <c r="FO76" t="s">
        <v>59</v>
      </c>
      <c r="FP76" t="s">
        <v>59</v>
      </c>
      <c r="FQ76" t="s">
        <v>59</v>
      </c>
      <c r="FR76" t="s">
        <v>59</v>
      </c>
      <c r="FS76" t="s">
        <v>218</v>
      </c>
      <c r="FT76" t="s">
        <v>59</v>
      </c>
      <c r="FU76" t="s">
        <v>59</v>
      </c>
      <c r="FV76" t="s">
        <v>59</v>
      </c>
      <c r="FW76" t="s">
        <v>59</v>
      </c>
      <c r="FX76" t="s">
        <v>59</v>
      </c>
      <c r="FY76" t="s">
        <v>59</v>
      </c>
      <c r="FZ76" t="s">
        <v>59</v>
      </c>
      <c r="GA76" t="s">
        <v>59</v>
      </c>
      <c r="GB76" t="s">
        <v>59</v>
      </c>
      <c r="GC76" t="s">
        <v>59</v>
      </c>
      <c r="GD76" t="s">
        <v>59</v>
      </c>
      <c r="GE76" t="s">
        <v>59</v>
      </c>
      <c r="GF76" t="s">
        <v>59</v>
      </c>
      <c r="GG76" t="s">
        <v>59</v>
      </c>
      <c r="GH76" t="s">
        <v>59</v>
      </c>
      <c r="GI76" t="s">
        <v>59</v>
      </c>
      <c r="GJ76" t="s">
        <v>59</v>
      </c>
      <c r="GK76" t="s">
        <v>218</v>
      </c>
      <c r="GL76" t="s">
        <v>59</v>
      </c>
      <c r="GM76" t="s">
        <v>59</v>
      </c>
      <c r="GN76" t="s">
        <v>59</v>
      </c>
      <c r="GO76" t="s">
        <v>59</v>
      </c>
      <c r="GP76" t="s">
        <v>59</v>
      </c>
      <c r="GQ76" t="s">
        <v>218</v>
      </c>
      <c r="GR76" t="s">
        <v>59</v>
      </c>
      <c r="GS76" t="s">
        <v>59</v>
      </c>
      <c r="GT76" t="s">
        <v>218</v>
      </c>
      <c r="GU76" t="s">
        <v>218</v>
      </c>
      <c r="GV76" t="s">
        <v>59</v>
      </c>
      <c r="GW76" t="s">
        <v>59</v>
      </c>
      <c r="GX76" t="s">
        <v>59</v>
      </c>
      <c r="GY76" t="s">
        <v>59</v>
      </c>
      <c r="GZ76" t="s">
        <v>218</v>
      </c>
      <c r="HA76" t="s">
        <v>59</v>
      </c>
      <c r="HB76" t="s">
        <v>59</v>
      </c>
      <c r="HC76" t="s">
        <v>59</v>
      </c>
      <c r="HD76" t="s">
        <v>59</v>
      </c>
      <c r="HE76" t="s">
        <v>59</v>
      </c>
      <c r="HF76" t="s">
        <v>59</v>
      </c>
      <c r="HG76" t="s">
        <v>59</v>
      </c>
      <c r="HH76" t="s">
        <v>59</v>
      </c>
      <c r="HI76" t="s">
        <v>59</v>
      </c>
      <c r="HJ76" t="s">
        <v>59</v>
      </c>
      <c r="HK76" t="s">
        <v>59</v>
      </c>
      <c r="HL76" t="s">
        <v>218</v>
      </c>
      <c r="HM76" t="s">
        <v>218</v>
      </c>
      <c r="HN76" t="s">
        <v>218</v>
      </c>
      <c r="HO76" t="s">
        <v>218</v>
      </c>
      <c r="HP76" t="s">
        <v>59</v>
      </c>
      <c r="HQ76" t="s">
        <v>59</v>
      </c>
      <c r="HR76" t="s">
        <v>59</v>
      </c>
      <c r="HS76" t="s">
        <v>59</v>
      </c>
      <c r="HT76" t="s">
        <v>59</v>
      </c>
      <c r="HU76" t="s">
        <v>59</v>
      </c>
      <c r="HV76" t="s">
        <v>59</v>
      </c>
      <c r="HW76" t="s">
        <v>59</v>
      </c>
      <c r="HX76" t="s">
        <v>59</v>
      </c>
      <c r="HY76" t="s">
        <v>59</v>
      </c>
      <c r="HZ76" t="s">
        <v>59</v>
      </c>
      <c r="IA76" t="s">
        <v>59</v>
      </c>
      <c r="IB76" t="s">
        <v>59</v>
      </c>
      <c r="IC76" t="s">
        <v>59</v>
      </c>
      <c r="ID76" t="s">
        <v>59</v>
      </c>
      <c r="IE76" t="s">
        <v>59</v>
      </c>
      <c r="IF76" t="s">
        <v>60</v>
      </c>
      <c r="IG76" t="s">
        <v>60</v>
      </c>
      <c r="IH76" t="s">
        <v>60</v>
      </c>
      <c r="II76" t="s">
        <v>59</v>
      </c>
      <c r="IJ76" t="s">
        <v>129</v>
      </c>
      <c r="IK76" t="s">
        <v>191</v>
      </c>
      <c r="IL76" t="s">
        <v>128</v>
      </c>
      <c r="IM76" t="s">
        <v>199</v>
      </c>
      <c r="IN76">
        <v>24</v>
      </c>
      <c r="IO76" t="s">
        <v>2730</v>
      </c>
      <c r="IP76" t="s">
        <v>2730</v>
      </c>
      <c r="IQ76">
        <v>5</v>
      </c>
      <c r="IR76">
        <v>15</v>
      </c>
      <c r="IS76" t="s">
        <v>2730</v>
      </c>
      <c r="IT76" t="s">
        <v>2730</v>
      </c>
      <c r="IU76" t="s">
        <v>2730</v>
      </c>
      <c r="IV76">
        <v>16</v>
      </c>
      <c r="IW76" t="s">
        <v>2730</v>
      </c>
      <c r="IX76" t="s">
        <v>2730</v>
      </c>
      <c r="IY76" t="s">
        <v>2730</v>
      </c>
      <c r="IZ76">
        <v>39</v>
      </c>
      <c r="JA76" t="s">
        <v>2730</v>
      </c>
      <c r="JB76" t="s">
        <v>2730</v>
      </c>
      <c r="JC76" t="s">
        <v>2730</v>
      </c>
      <c r="JD76">
        <v>23</v>
      </c>
      <c r="JE76" t="s">
        <v>2730</v>
      </c>
      <c r="JF76" t="s">
        <v>2730</v>
      </c>
      <c r="JG76" t="s">
        <v>2730</v>
      </c>
      <c r="JH76">
        <v>22</v>
      </c>
      <c r="JI76" t="s">
        <v>2730</v>
      </c>
      <c r="JJ76" t="s">
        <v>2730</v>
      </c>
      <c r="JK76" t="s">
        <v>2730</v>
      </c>
      <c r="JL76">
        <v>16</v>
      </c>
      <c r="JM76" t="s">
        <v>2730</v>
      </c>
      <c r="JN76" t="s">
        <v>2730</v>
      </c>
      <c r="JO76">
        <v>1</v>
      </c>
      <c r="JP76" t="s">
        <v>2730</v>
      </c>
      <c r="JQ76">
        <v>3</v>
      </c>
    </row>
    <row r="77" spans="1:277">
      <c r="A77" s="149" t="str">
        <f>HYPERLINK("http://www.ofsted.gov.uk/inspection-reports/find-inspection-report/provider/ELS/100534 ","Ofsted School Webpage")</f>
        <v>Ofsted School Webpage</v>
      </c>
      <c r="B77">
        <v>1136035</v>
      </c>
      <c r="C77">
        <v>100534</v>
      </c>
      <c r="D77">
        <v>2076317</v>
      </c>
      <c r="E77" t="s">
        <v>531</v>
      </c>
      <c r="F77" t="s">
        <v>37</v>
      </c>
      <c r="G77" t="s">
        <v>209</v>
      </c>
      <c r="H77" t="s">
        <v>232</v>
      </c>
      <c r="I77" t="s">
        <v>232</v>
      </c>
      <c r="J77" t="s">
        <v>294</v>
      </c>
      <c r="K77" t="s">
        <v>532</v>
      </c>
      <c r="L77" t="s">
        <v>184</v>
      </c>
      <c r="M77" t="s">
        <v>185</v>
      </c>
      <c r="N77" t="s">
        <v>184</v>
      </c>
      <c r="O77" t="s">
        <v>2730</v>
      </c>
      <c r="P77" t="s">
        <v>186</v>
      </c>
      <c r="Q77">
        <v>10012796</v>
      </c>
      <c r="R77" s="120">
        <v>43039</v>
      </c>
      <c r="S77" s="120">
        <v>43041</v>
      </c>
      <c r="T77" s="120">
        <v>43068</v>
      </c>
      <c r="U77" t="s">
        <v>2730</v>
      </c>
      <c r="V77" t="s">
        <v>196</v>
      </c>
      <c r="W77" t="s">
        <v>2730</v>
      </c>
      <c r="X77" t="s">
        <v>197</v>
      </c>
      <c r="Y77">
        <v>1</v>
      </c>
      <c r="Z77">
        <v>1</v>
      </c>
      <c r="AA77">
        <v>1</v>
      </c>
      <c r="AB77">
        <v>1</v>
      </c>
      <c r="AC77">
        <v>1</v>
      </c>
      <c r="AD77">
        <v>1</v>
      </c>
      <c r="AE77" t="s">
        <v>2730</v>
      </c>
      <c r="AF77" t="s">
        <v>128</v>
      </c>
      <c r="AG77" t="s">
        <v>2730</v>
      </c>
      <c r="AH77" t="s">
        <v>2732</v>
      </c>
      <c r="AI77" t="s">
        <v>59</v>
      </c>
      <c r="AJ77" t="s">
        <v>59</v>
      </c>
      <c r="AK77" t="s">
        <v>59</v>
      </c>
      <c r="AL77" t="s">
        <v>59</v>
      </c>
      <c r="AM77" t="s">
        <v>59</v>
      </c>
      <c r="AN77" t="s">
        <v>59</v>
      </c>
      <c r="AO77" t="s">
        <v>59</v>
      </c>
      <c r="AP77" t="s">
        <v>59</v>
      </c>
      <c r="AQ77" t="s">
        <v>59</v>
      </c>
      <c r="AR77" t="s">
        <v>59</v>
      </c>
      <c r="AS77" t="s">
        <v>59</v>
      </c>
      <c r="AT77" t="s">
        <v>59</v>
      </c>
      <c r="AU77" t="s">
        <v>59</v>
      </c>
      <c r="AV77" t="s">
        <v>59</v>
      </c>
      <c r="AW77" t="s">
        <v>59</v>
      </c>
      <c r="AX77" t="s">
        <v>59</v>
      </c>
      <c r="AY77" t="s">
        <v>191</v>
      </c>
      <c r="AZ77" t="s">
        <v>59</v>
      </c>
      <c r="BA77" t="s">
        <v>59</v>
      </c>
      <c r="BB77" t="s">
        <v>59</v>
      </c>
      <c r="BC77" t="s">
        <v>191</v>
      </c>
      <c r="BD77" t="s">
        <v>191</v>
      </c>
      <c r="BE77" t="s">
        <v>191</v>
      </c>
      <c r="BF77" t="s">
        <v>191</v>
      </c>
      <c r="BG77" t="s">
        <v>59</v>
      </c>
      <c r="BH77" t="s">
        <v>59</v>
      </c>
      <c r="BI77" t="s">
        <v>59</v>
      </c>
      <c r="BJ77" t="s">
        <v>59</v>
      </c>
      <c r="BK77" t="s">
        <v>59</v>
      </c>
      <c r="BL77" t="s">
        <v>59</v>
      </c>
      <c r="BM77" t="s">
        <v>59</v>
      </c>
      <c r="BN77" t="s">
        <v>59</v>
      </c>
      <c r="BO77" t="s">
        <v>59</v>
      </c>
      <c r="BP77" t="s">
        <v>59</v>
      </c>
      <c r="BQ77" t="s">
        <v>59</v>
      </c>
      <c r="BR77" t="s">
        <v>59</v>
      </c>
      <c r="BS77" t="s">
        <v>59</v>
      </c>
      <c r="BT77" t="s">
        <v>59</v>
      </c>
      <c r="BU77" t="s">
        <v>59</v>
      </c>
      <c r="BV77" t="s">
        <v>59</v>
      </c>
      <c r="BW77" t="s">
        <v>59</v>
      </c>
      <c r="BX77" t="s">
        <v>59</v>
      </c>
      <c r="BY77" t="s">
        <v>59</v>
      </c>
      <c r="BZ77" t="s">
        <v>59</v>
      </c>
      <c r="CA77" t="s">
        <v>59</v>
      </c>
      <c r="CB77" t="s">
        <v>59</v>
      </c>
      <c r="CC77" t="s">
        <v>59</v>
      </c>
      <c r="CD77" t="s">
        <v>59</v>
      </c>
      <c r="CE77" t="s">
        <v>59</v>
      </c>
      <c r="CF77" t="s">
        <v>59</v>
      </c>
      <c r="CG77" t="s">
        <v>59</v>
      </c>
      <c r="CH77" t="s">
        <v>59</v>
      </c>
      <c r="CI77" t="s">
        <v>59</v>
      </c>
      <c r="CJ77" t="s">
        <v>59</v>
      </c>
      <c r="CK77" t="s">
        <v>59</v>
      </c>
      <c r="CL77" t="s">
        <v>59</v>
      </c>
      <c r="CM77" t="s">
        <v>59</v>
      </c>
      <c r="CN77" t="s">
        <v>59</v>
      </c>
      <c r="CO77" t="s">
        <v>191</v>
      </c>
      <c r="CP77" t="s">
        <v>191</v>
      </c>
      <c r="CQ77" t="s">
        <v>191</v>
      </c>
      <c r="CR77" t="s">
        <v>59</v>
      </c>
      <c r="CS77" t="s">
        <v>59</v>
      </c>
      <c r="CT77" t="s">
        <v>59</v>
      </c>
      <c r="CU77" t="s">
        <v>59</v>
      </c>
      <c r="CV77" t="s">
        <v>59</v>
      </c>
      <c r="CW77" t="s">
        <v>59</v>
      </c>
      <c r="CX77" t="s">
        <v>59</v>
      </c>
      <c r="CY77" t="s">
        <v>59</v>
      </c>
      <c r="CZ77" t="s">
        <v>59</v>
      </c>
      <c r="DA77" t="s">
        <v>59</v>
      </c>
      <c r="DB77" t="s">
        <v>59</v>
      </c>
      <c r="DC77" t="s">
        <v>59</v>
      </c>
      <c r="DD77" t="s">
        <v>59</v>
      </c>
      <c r="DE77" t="s">
        <v>59</v>
      </c>
      <c r="DF77" t="s">
        <v>59</v>
      </c>
      <c r="DG77" t="s">
        <v>59</v>
      </c>
      <c r="DH77" t="s">
        <v>59</v>
      </c>
      <c r="DI77" t="s">
        <v>59</v>
      </c>
      <c r="DJ77" t="s">
        <v>59</v>
      </c>
      <c r="DK77" t="s">
        <v>59</v>
      </c>
      <c r="DL77" t="s">
        <v>59</v>
      </c>
      <c r="DM77" t="s">
        <v>59</v>
      </c>
      <c r="DN77" t="s">
        <v>59</v>
      </c>
      <c r="DO77" t="s">
        <v>191</v>
      </c>
      <c r="DP77" t="s">
        <v>59</v>
      </c>
      <c r="DQ77" t="s">
        <v>59</v>
      </c>
      <c r="DR77" t="s">
        <v>59</v>
      </c>
      <c r="DS77" t="s">
        <v>59</v>
      </c>
      <c r="DT77" t="s">
        <v>59</v>
      </c>
      <c r="DU77" t="s">
        <v>59</v>
      </c>
      <c r="DV77" t="s">
        <v>59</v>
      </c>
      <c r="DW77" t="s">
        <v>59</v>
      </c>
      <c r="DX77" t="s">
        <v>59</v>
      </c>
      <c r="DY77" t="s">
        <v>59</v>
      </c>
      <c r="DZ77" t="s">
        <v>59</v>
      </c>
      <c r="EA77" t="s">
        <v>59</v>
      </c>
      <c r="EB77" t="s">
        <v>59</v>
      </c>
      <c r="EC77" t="s">
        <v>191</v>
      </c>
      <c r="ED77" t="s">
        <v>59</v>
      </c>
      <c r="EE77" t="s">
        <v>59</v>
      </c>
      <c r="EF77" t="s">
        <v>59</v>
      </c>
      <c r="EG77" t="s">
        <v>59</v>
      </c>
      <c r="EH77" t="s">
        <v>59</v>
      </c>
      <c r="EI77" t="s">
        <v>59</v>
      </c>
      <c r="EJ77" t="s">
        <v>59</v>
      </c>
      <c r="EK77" t="s">
        <v>59</v>
      </c>
      <c r="EL77" t="s">
        <v>59</v>
      </c>
      <c r="EM77" t="s">
        <v>59</v>
      </c>
      <c r="EN77" t="s">
        <v>59</v>
      </c>
      <c r="EO77" t="s">
        <v>59</v>
      </c>
      <c r="EP77" t="s">
        <v>59</v>
      </c>
      <c r="EQ77" t="s">
        <v>59</v>
      </c>
      <c r="ER77" t="s">
        <v>59</v>
      </c>
      <c r="ES77" t="s">
        <v>59</v>
      </c>
      <c r="ET77" t="s">
        <v>59</v>
      </c>
      <c r="EU77" t="s">
        <v>59</v>
      </c>
      <c r="EV77" t="s">
        <v>59</v>
      </c>
      <c r="EW77" t="s">
        <v>59</v>
      </c>
      <c r="EX77" t="s">
        <v>59</v>
      </c>
      <c r="EY77" t="s">
        <v>59</v>
      </c>
      <c r="EZ77" t="s">
        <v>59</v>
      </c>
      <c r="FA77" t="s">
        <v>59</v>
      </c>
      <c r="FB77" t="s">
        <v>59</v>
      </c>
      <c r="FC77" t="s">
        <v>59</v>
      </c>
      <c r="FD77" t="s">
        <v>59</v>
      </c>
      <c r="FE77" t="s">
        <v>59</v>
      </c>
      <c r="FF77" t="s">
        <v>59</v>
      </c>
      <c r="FG77" t="s">
        <v>59</v>
      </c>
      <c r="FH77" t="s">
        <v>59</v>
      </c>
      <c r="FI77" t="s">
        <v>59</v>
      </c>
      <c r="FJ77" t="s">
        <v>59</v>
      </c>
      <c r="FK77" t="s">
        <v>59</v>
      </c>
      <c r="FL77" t="s">
        <v>59</v>
      </c>
      <c r="FM77" t="s">
        <v>59</v>
      </c>
      <c r="FN77" t="s">
        <v>59</v>
      </c>
      <c r="FO77" t="s">
        <v>191</v>
      </c>
      <c r="FP77" t="s">
        <v>59</v>
      </c>
      <c r="FQ77" t="s">
        <v>59</v>
      </c>
      <c r="FR77" t="s">
        <v>59</v>
      </c>
      <c r="FS77" t="s">
        <v>191</v>
      </c>
      <c r="FT77" t="s">
        <v>59</v>
      </c>
      <c r="FU77" t="s">
        <v>59</v>
      </c>
      <c r="FV77" t="s">
        <v>59</v>
      </c>
      <c r="FW77" t="s">
        <v>59</v>
      </c>
      <c r="FX77" t="s">
        <v>59</v>
      </c>
      <c r="FY77" t="s">
        <v>59</v>
      </c>
      <c r="FZ77" t="s">
        <v>59</v>
      </c>
      <c r="GA77" t="s">
        <v>59</v>
      </c>
      <c r="GB77" t="s">
        <v>59</v>
      </c>
      <c r="GC77" t="s">
        <v>59</v>
      </c>
      <c r="GD77" t="s">
        <v>59</v>
      </c>
      <c r="GE77" t="s">
        <v>59</v>
      </c>
      <c r="GF77" t="s">
        <v>59</v>
      </c>
      <c r="GG77" t="s">
        <v>59</v>
      </c>
      <c r="GH77" t="s">
        <v>59</v>
      </c>
      <c r="GI77" t="s">
        <v>59</v>
      </c>
      <c r="GJ77" t="s">
        <v>59</v>
      </c>
      <c r="GK77" t="s">
        <v>191</v>
      </c>
      <c r="GL77" t="s">
        <v>59</v>
      </c>
      <c r="GM77" t="s">
        <v>59</v>
      </c>
      <c r="GN77" t="s">
        <v>59</v>
      </c>
      <c r="GO77" t="s">
        <v>59</v>
      </c>
      <c r="GP77" t="s">
        <v>59</v>
      </c>
      <c r="GQ77" t="s">
        <v>191</v>
      </c>
      <c r="GR77" t="s">
        <v>59</v>
      </c>
      <c r="GS77" t="s">
        <v>59</v>
      </c>
      <c r="GT77" t="s">
        <v>191</v>
      </c>
      <c r="GU77" t="s">
        <v>191</v>
      </c>
      <c r="GV77" t="s">
        <v>191</v>
      </c>
      <c r="GW77" t="s">
        <v>59</v>
      </c>
      <c r="GX77" t="s">
        <v>59</v>
      </c>
      <c r="GY77" t="s">
        <v>59</v>
      </c>
      <c r="GZ77" t="s">
        <v>59</v>
      </c>
      <c r="HA77" t="s">
        <v>59</v>
      </c>
      <c r="HB77" t="s">
        <v>191</v>
      </c>
      <c r="HC77" t="s">
        <v>59</v>
      </c>
      <c r="HD77" t="s">
        <v>59</v>
      </c>
      <c r="HE77" t="s">
        <v>59</v>
      </c>
      <c r="HF77" t="s">
        <v>59</v>
      </c>
      <c r="HG77" t="s">
        <v>59</v>
      </c>
      <c r="HH77" t="s">
        <v>59</v>
      </c>
      <c r="HI77" t="s">
        <v>59</v>
      </c>
      <c r="HJ77" t="s">
        <v>59</v>
      </c>
      <c r="HK77" t="s">
        <v>59</v>
      </c>
      <c r="HL77" t="s">
        <v>191</v>
      </c>
      <c r="HM77" t="s">
        <v>191</v>
      </c>
      <c r="HN77" t="s">
        <v>191</v>
      </c>
      <c r="HO77" t="s">
        <v>191</v>
      </c>
      <c r="HP77" t="s">
        <v>59</v>
      </c>
      <c r="HQ77" t="s">
        <v>59</v>
      </c>
      <c r="HR77" t="s">
        <v>59</v>
      </c>
      <c r="HS77" t="s">
        <v>59</v>
      </c>
      <c r="HT77" t="s">
        <v>59</v>
      </c>
      <c r="HU77" t="s">
        <v>59</v>
      </c>
      <c r="HV77" t="s">
        <v>59</v>
      </c>
      <c r="HW77" t="s">
        <v>59</v>
      </c>
      <c r="HX77" t="s">
        <v>59</v>
      </c>
      <c r="HY77" t="s">
        <v>59</v>
      </c>
      <c r="HZ77" t="s">
        <v>59</v>
      </c>
      <c r="IA77" t="s">
        <v>59</v>
      </c>
      <c r="IB77" t="s">
        <v>59</v>
      </c>
      <c r="IC77" t="s">
        <v>59</v>
      </c>
      <c r="ID77" t="s">
        <v>59</v>
      </c>
      <c r="IE77" t="s">
        <v>59</v>
      </c>
      <c r="IF77" t="s">
        <v>59</v>
      </c>
      <c r="IG77" t="s">
        <v>59</v>
      </c>
      <c r="IH77" t="s">
        <v>59</v>
      </c>
      <c r="II77" t="s">
        <v>59</v>
      </c>
      <c r="IJ77" t="s">
        <v>129</v>
      </c>
      <c r="IK77" t="s">
        <v>198</v>
      </c>
      <c r="IL77" t="s">
        <v>128</v>
      </c>
      <c r="IM77" t="s">
        <v>199</v>
      </c>
      <c r="IN77">
        <v>27</v>
      </c>
      <c r="IO77" t="s">
        <v>2730</v>
      </c>
      <c r="IP77">
        <v>5</v>
      </c>
      <c r="IQ77" t="s">
        <v>2730</v>
      </c>
      <c r="IR77">
        <v>15</v>
      </c>
      <c r="IS77" t="s">
        <v>2730</v>
      </c>
      <c r="IT77" t="s">
        <v>2730</v>
      </c>
      <c r="IU77" t="s">
        <v>2730</v>
      </c>
      <c r="IV77">
        <v>16</v>
      </c>
      <c r="IW77" t="s">
        <v>2730</v>
      </c>
      <c r="IX77">
        <v>3</v>
      </c>
      <c r="IY77" t="s">
        <v>2730</v>
      </c>
      <c r="IZ77">
        <v>57</v>
      </c>
      <c r="JA77" t="s">
        <v>2730</v>
      </c>
      <c r="JB77">
        <v>2</v>
      </c>
      <c r="JC77" t="s">
        <v>2730</v>
      </c>
      <c r="JD77">
        <v>23</v>
      </c>
      <c r="JE77" t="s">
        <v>2730</v>
      </c>
      <c r="JF77">
        <v>3</v>
      </c>
      <c r="JG77" t="s">
        <v>2730</v>
      </c>
      <c r="JH77">
        <v>21</v>
      </c>
      <c r="JI77" t="s">
        <v>2730</v>
      </c>
      <c r="JJ77">
        <v>9</v>
      </c>
      <c r="JK77" t="s">
        <v>2730</v>
      </c>
      <c r="JL77">
        <v>16</v>
      </c>
      <c r="JM77" t="s">
        <v>2730</v>
      </c>
      <c r="JN77" t="s">
        <v>2730</v>
      </c>
      <c r="JO77">
        <v>4</v>
      </c>
      <c r="JP77" t="s">
        <v>2730</v>
      </c>
      <c r="JQ77" t="s">
        <v>2730</v>
      </c>
    </row>
    <row r="78" spans="1:277">
      <c r="A78" s="149" t="str">
        <f>HYPERLINK("http://www.ofsted.gov.uk/inspection-reports/find-inspection-report/provider/ELS/135422 ","Ofsted School Webpage")</f>
        <v>Ofsted School Webpage</v>
      </c>
      <c r="B78">
        <v>1133816</v>
      </c>
      <c r="C78">
        <v>135422</v>
      </c>
      <c r="D78">
        <v>3306121</v>
      </c>
      <c r="E78" t="s">
        <v>2339</v>
      </c>
      <c r="F78" t="s">
        <v>37</v>
      </c>
      <c r="G78" t="s">
        <v>209</v>
      </c>
      <c r="H78" t="s">
        <v>193</v>
      </c>
      <c r="I78" t="s">
        <v>193</v>
      </c>
      <c r="J78" t="s">
        <v>210</v>
      </c>
      <c r="K78" t="s">
        <v>2340</v>
      </c>
      <c r="L78" t="s">
        <v>184</v>
      </c>
      <c r="M78" t="s">
        <v>185</v>
      </c>
      <c r="N78" t="s">
        <v>184</v>
      </c>
      <c r="O78" t="s">
        <v>2730</v>
      </c>
      <c r="P78" t="s">
        <v>186</v>
      </c>
      <c r="Q78">
        <v>10020740</v>
      </c>
      <c r="R78" s="120">
        <v>43060</v>
      </c>
      <c r="S78" s="120">
        <v>43062</v>
      </c>
      <c r="T78" s="120">
        <v>43084</v>
      </c>
      <c r="U78" t="s">
        <v>2730</v>
      </c>
      <c r="V78" t="s">
        <v>196</v>
      </c>
      <c r="W78" t="s">
        <v>2730</v>
      </c>
      <c r="X78" t="s">
        <v>197</v>
      </c>
      <c r="Y78">
        <v>2</v>
      </c>
      <c r="Z78">
        <v>2</v>
      </c>
      <c r="AA78">
        <v>2</v>
      </c>
      <c r="AB78">
        <v>2</v>
      </c>
      <c r="AC78">
        <v>2</v>
      </c>
      <c r="AD78" t="s">
        <v>2730</v>
      </c>
      <c r="AE78" t="s">
        <v>2730</v>
      </c>
      <c r="AF78" t="s">
        <v>128</v>
      </c>
      <c r="AG78" t="s">
        <v>2730</v>
      </c>
      <c r="AH78" t="s">
        <v>2732</v>
      </c>
      <c r="AI78" t="s">
        <v>59</v>
      </c>
      <c r="AJ78" t="s">
        <v>59</v>
      </c>
      <c r="AK78" t="s">
        <v>59</v>
      </c>
      <c r="AL78" t="s">
        <v>59</v>
      </c>
      <c r="AM78" t="s">
        <v>59</v>
      </c>
      <c r="AN78" t="s">
        <v>59</v>
      </c>
      <c r="AO78" t="s">
        <v>59</v>
      </c>
      <c r="AP78" t="s">
        <v>59</v>
      </c>
      <c r="AQ78" t="s">
        <v>59</v>
      </c>
      <c r="AR78" t="s">
        <v>59</v>
      </c>
      <c r="AS78" t="s">
        <v>59</v>
      </c>
      <c r="AT78" t="s">
        <v>59</v>
      </c>
      <c r="AU78" t="s">
        <v>59</v>
      </c>
      <c r="AV78" t="s">
        <v>59</v>
      </c>
      <c r="AW78" t="s">
        <v>59</v>
      </c>
      <c r="AX78" t="s">
        <v>59</v>
      </c>
      <c r="AY78" t="s">
        <v>59</v>
      </c>
      <c r="AZ78" t="s">
        <v>59</v>
      </c>
      <c r="BA78" t="s">
        <v>59</v>
      </c>
      <c r="BB78" t="s">
        <v>59</v>
      </c>
      <c r="BC78" t="s">
        <v>59</v>
      </c>
      <c r="BD78" t="s">
        <v>59</v>
      </c>
      <c r="BE78" t="s">
        <v>59</v>
      </c>
      <c r="BF78" t="s">
        <v>59</v>
      </c>
      <c r="BG78" t="s">
        <v>59</v>
      </c>
      <c r="BH78" t="s">
        <v>59</v>
      </c>
      <c r="BI78" t="s">
        <v>59</v>
      </c>
      <c r="BJ78" t="s">
        <v>59</v>
      </c>
      <c r="BK78" t="s">
        <v>59</v>
      </c>
      <c r="BL78" t="s">
        <v>59</v>
      </c>
      <c r="BM78" t="s">
        <v>59</v>
      </c>
      <c r="BN78" t="s">
        <v>59</v>
      </c>
      <c r="BO78" t="s">
        <v>59</v>
      </c>
      <c r="BP78" t="s">
        <v>59</v>
      </c>
      <c r="BQ78" t="s">
        <v>59</v>
      </c>
      <c r="BR78" t="s">
        <v>59</v>
      </c>
      <c r="BS78" t="s">
        <v>59</v>
      </c>
      <c r="BT78" t="s">
        <v>59</v>
      </c>
      <c r="BU78" t="s">
        <v>59</v>
      </c>
      <c r="BV78" t="s">
        <v>59</v>
      </c>
      <c r="BW78" t="s">
        <v>59</v>
      </c>
      <c r="BX78" t="s">
        <v>59</v>
      </c>
      <c r="BY78" t="s">
        <v>59</v>
      </c>
      <c r="BZ78" t="s">
        <v>59</v>
      </c>
      <c r="CA78" t="s">
        <v>59</v>
      </c>
      <c r="CB78" t="s">
        <v>59</v>
      </c>
      <c r="CC78" t="s">
        <v>59</v>
      </c>
      <c r="CD78" t="s">
        <v>59</v>
      </c>
      <c r="CE78" t="s">
        <v>59</v>
      </c>
      <c r="CF78" t="s">
        <v>59</v>
      </c>
      <c r="CG78" t="s">
        <v>59</v>
      </c>
      <c r="CH78" t="s">
        <v>59</v>
      </c>
      <c r="CI78" t="s">
        <v>59</v>
      </c>
      <c r="CJ78" t="s">
        <v>59</v>
      </c>
      <c r="CK78" t="s">
        <v>59</v>
      </c>
      <c r="CL78" t="s">
        <v>59</v>
      </c>
      <c r="CM78" t="s">
        <v>59</v>
      </c>
      <c r="CN78" t="s">
        <v>59</v>
      </c>
      <c r="CO78" t="s">
        <v>191</v>
      </c>
      <c r="CP78" t="s">
        <v>191</v>
      </c>
      <c r="CQ78" t="s">
        <v>191</v>
      </c>
      <c r="CR78" t="s">
        <v>59</v>
      </c>
      <c r="CS78" t="s">
        <v>59</v>
      </c>
      <c r="CT78" t="s">
        <v>59</v>
      </c>
      <c r="CU78" t="s">
        <v>59</v>
      </c>
      <c r="CV78" t="s">
        <v>59</v>
      </c>
      <c r="CW78" t="s">
        <v>59</v>
      </c>
      <c r="CX78" t="s">
        <v>59</v>
      </c>
      <c r="CY78" t="s">
        <v>59</v>
      </c>
      <c r="CZ78" t="s">
        <v>59</v>
      </c>
      <c r="DA78" t="s">
        <v>59</v>
      </c>
      <c r="DB78" t="s">
        <v>59</v>
      </c>
      <c r="DC78" t="s">
        <v>59</v>
      </c>
      <c r="DD78" t="s">
        <v>59</v>
      </c>
      <c r="DE78" t="s">
        <v>59</v>
      </c>
      <c r="DF78" t="s">
        <v>59</v>
      </c>
      <c r="DG78" t="s">
        <v>59</v>
      </c>
      <c r="DH78" t="s">
        <v>59</v>
      </c>
      <c r="DI78" t="s">
        <v>59</v>
      </c>
      <c r="DJ78" t="s">
        <v>59</v>
      </c>
      <c r="DK78" t="s">
        <v>59</v>
      </c>
      <c r="DL78" t="s">
        <v>59</v>
      </c>
      <c r="DM78" t="s">
        <v>59</v>
      </c>
      <c r="DN78" t="s">
        <v>59</v>
      </c>
      <c r="DO78" t="s">
        <v>191</v>
      </c>
      <c r="DP78" t="s">
        <v>59</v>
      </c>
      <c r="DQ78" t="s">
        <v>191</v>
      </c>
      <c r="DR78" t="s">
        <v>191</v>
      </c>
      <c r="DS78" t="s">
        <v>191</v>
      </c>
      <c r="DT78" t="s">
        <v>191</v>
      </c>
      <c r="DU78" t="s">
        <v>191</v>
      </c>
      <c r="DV78" t="s">
        <v>191</v>
      </c>
      <c r="DW78" t="s">
        <v>191</v>
      </c>
      <c r="DX78" t="s">
        <v>191</v>
      </c>
      <c r="DY78" t="s">
        <v>191</v>
      </c>
      <c r="DZ78" t="s">
        <v>191</v>
      </c>
      <c r="EA78" t="s">
        <v>191</v>
      </c>
      <c r="EB78" t="s">
        <v>203</v>
      </c>
      <c r="EC78" t="s">
        <v>191</v>
      </c>
      <c r="ED78" t="s">
        <v>203</v>
      </c>
      <c r="EE78" t="s">
        <v>59</v>
      </c>
      <c r="EF78" t="s">
        <v>59</v>
      </c>
      <c r="EG78" t="s">
        <v>59</v>
      </c>
      <c r="EH78" t="s">
        <v>59</v>
      </c>
      <c r="EI78" t="s">
        <v>59</v>
      </c>
      <c r="EJ78" t="s">
        <v>59</v>
      </c>
      <c r="EK78" t="s">
        <v>59</v>
      </c>
      <c r="EL78" t="s">
        <v>59</v>
      </c>
      <c r="EM78" t="s">
        <v>59</v>
      </c>
      <c r="EN78" t="s">
        <v>59</v>
      </c>
      <c r="EO78" t="s">
        <v>59</v>
      </c>
      <c r="EP78" t="s">
        <v>59</v>
      </c>
      <c r="EQ78" t="s">
        <v>59</v>
      </c>
      <c r="ER78" t="s">
        <v>59</v>
      </c>
      <c r="ES78" t="s">
        <v>59</v>
      </c>
      <c r="ET78" t="s">
        <v>59</v>
      </c>
      <c r="EU78" t="s">
        <v>59</v>
      </c>
      <c r="EV78" t="s">
        <v>59</v>
      </c>
      <c r="EW78" t="s">
        <v>59</v>
      </c>
      <c r="EX78" t="s">
        <v>59</v>
      </c>
      <c r="EY78" t="s">
        <v>59</v>
      </c>
      <c r="EZ78" t="s">
        <v>59</v>
      </c>
      <c r="FA78" t="s">
        <v>59</v>
      </c>
      <c r="FB78" t="s">
        <v>191</v>
      </c>
      <c r="FC78" t="s">
        <v>191</v>
      </c>
      <c r="FD78" t="s">
        <v>191</v>
      </c>
      <c r="FE78" t="s">
        <v>191</v>
      </c>
      <c r="FF78" t="s">
        <v>191</v>
      </c>
      <c r="FG78" t="s">
        <v>191</v>
      </c>
      <c r="FH78" t="s">
        <v>59</v>
      </c>
      <c r="FI78" t="s">
        <v>59</v>
      </c>
      <c r="FJ78" t="s">
        <v>59</v>
      </c>
      <c r="FK78" t="s">
        <v>59</v>
      </c>
      <c r="FL78" t="s">
        <v>59</v>
      </c>
      <c r="FM78" t="s">
        <v>59</v>
      </c>
      <c r="FN78" t="s">
        <v>59</v>
      </c>
      <c r="FO78" t="s">
        <v>59</v>
      </c>
      <c r="FP78" t="s">
        <v>59</v>
      </c>
      <c r="FQ78" t="s">
        <v>59</v>
      </c>
      <c r="FR78" t="s">
        <v>59</v>
      </c>
      <c r="FS78" t="s">
        <v>191</v>
      </c>
      <c r="FT78" t="s">
        <v>59</v>
      </c>
      <c r="FU78" t="s">
        <v>59</v>
      </c>
      <c r="FV78" t="s">
        <v>59</v>
      </c>
      <c r="FW78" t="s">
        <v>59</v>
      </c>
      <c r="FX78" t="s">
        <v>59</v>
      </c>
      <c r="FY78" t="s">
        <v>59</v>
      </c>
      <c r="FZ78" t="s">
        <v>59</v>
      </c>
      <c r="GA78" t="s">
        <v>59</v>
      </c>
      <c r="GB78" t="s">
        <v>59</v>
      </c>
      <c r="GC78" t="s">
        <v>59</v>
      </c>
      <c r="GD78" t="s">
        <v>59</v>
      </c>
      <c r="GE78" t="s">
        <v>59</v>
      </c>
      <c r="GF78" t="s">
        <v>59</v>
      </c>
      <c r="GG78" t="s">
        <v>59</v>
      </c>
      <c r="GH78" t="s">
        <v>59</v>
      </c>
      <c r="GI78" t="s">
        <v>59</v>
      </c>
      <c r="GJ78" t="s">
        <v>59</v>
      </c>
      <c r="GK78" t="s">
        <v>191</v>
      </c>
      <c r="GL78" t="s">
        <v>59</v>
      </c>
      <c r="GM78" t="s">
        <v>59</v>
      </c>
      <c r="GN78" t="s">
        <v>59</v>
      </c>
      <c r="GO78" t="s">
        <v>59</v>
      </c>
      <c r="GP78" t="s">
        <v>59</v>
      </c>
      <c r="GQ78" t="s">
        <v>59</v>
      </c>
      <c r="GR78" t="s">
        <v>59</v>
      </c>
      <c r="GS78" t="s">
        <v>59</v>
      </c>
      <c r="GT78" t="s">
        <v>59</v>
      </c>
      <c r="GU78" t="s">
        <v>59</v>
      </c>
      <c r="GV78" t="s">
        <v>59</v>
      </c>
      <c r="GW78" t="s">
        <v>59</v>
      </c>
      <c r="GX78" t="s">
        <v>59</v>
      </c>
      <c r="GY78" t="s">
        <v>59</v>
      </c>
      <c r="GZ78" t="s">
        <v>59</v>
      </c>
      <c r="HA78" t="s">
        <v>191</v>
      </c>
      <c r="HB78" t="s">
        <v>59</v>
      </c>
      <c r="HC78" t="s">
        <v>59</v>
      </c>
      <c r="HD78" t="s">
        <v>59</v>
      </c>
      <c r="HE78" t="s">
        <v>59</v>
      </c>
      <c r="HF78" t="s">
        <v>59</v>
      </c>
      <c r="HG78" t="s">
        <v>59</v>
      </c>
      <c r="HH78" t="s">
        <v>59</v>
      </c>
      <c r="HI78" t="s">
        <v>59</v>
      </c>
      <c r="HJ78" t="s">
        <v>59</v>
      </c>
      <c r="HK78" t="s">
        <v>59</v>
      </c>
      <c r="HL78" t="s">
        <v>59</v>
      </c>
      <c r="HM78" t="s">
        <v>191</v>
      </c>
      <c r="HN78" t="s">
        <v>191</v>
      </c>
      <c r="HO78" t="s">
        <v>191</v>
      </c>
      <c r="HP78" t="s">
        <v>59</v>
      </c>
      <c r="HQ78" t="s">
        <v>59</v>
      </c>
      <c r="HR78" t="s">
        <v>59</v>
      </c>
      <c r="HS78" t="s">
        <v>59</v>
      </c>
      <c r="HT78" t="s">
        <v>59</v>
      </c>
      <c r="HU78" t="s">
        <v>59</v>
      </c>
      <c r="HV78" t="s">
        <v>59</v>
      </c>
      <c r="HW78" t="s">
        <v>59</v>
      </c>
      <c r="HX78" t="s">
        <v>59</v>
      </c>
      <c r="HY78" t="s">
        <v>59</v>
      </c>
      <c r="HZ78" t="s">
        <v>59</v>
      </c>
      <c r="IA78" t="s">
        <v>59</v>
      </c>
      <c r="IB78" t="s">
        <v>59</v>
      </c>
      <c r="IC78" t="s">
        <v>59</v>
      </c>
      <c r="ID78" t="s">
        <v>59</v>
      </c>
      <c r="IE78" t="s">
        <v>59</v>
      </c>
      <c r="IF78" t="s">
        <v>59</v>
      </c>
      <c r="IG78" t="s">
        <v>59</v>
      </c>
      <c r="IH78" t="s">
        <v>59</v>
      </c>
      <c r="II78" t="s">
        <v>59</v>
      </c>
      <c r="IJ78" t="s">
        <v>129</v>
      </c>
      <c r="IK78" t="s">
        <v>198</v>
      </c>
      <c r="IL78" t="s">
        <v>128</v>
      </c>
      <c r="IM78" t="s">
        <v>199</v>
      </c>
      <c r="IN78">
        <v>32</v>
      </c>
      <c r="IO78" t="s">
        <v>2730</v>
      </c>
      <c r="IP78" t="s">
        <v>2730</v>
      </c>
      <c r="IQ78" t="s">
        <v>2730</v>
      </c>
      <c r="IR78">
        <v>15</v>
      </c>
      <c r="IS78" t="s">
        <v>2730</v>
      </c>
      <c r="IT78" t="s">
        <v>2730</v>
      </c>
      <c r="IU78" t="s">
        <v>2730</v>
      </c>
      <c r="IV78">
        <v>16</v>
      </c>
      <c r="IW78" t="s">
        <v>2730</v>
      </c>
      <c r="IX78">
        <v>3</v>
      </c>
      <c r="IY78" t="s">
        <v>2730</v>
      </c>
      <c r="IZ78">
        <v>38</v>
      </c>
      <c r="JA78">
        <v>2</v>
      </c>
      <c r="JB78">
        <v>19</v>
      </c>
      <c r="JC78" t="s">
        <v>2730</v>
      </c>
      <c r="JD78">
        <v>24</v>
      </c>
      <c r="JE78" t="s">
        <v>2730</v>
      </c>
      <c r="JF78">
        <v>2</v>
      </c>
      <c r="JG78" t="s">
        <v>2730</v>
      </c>
      <c r="JH78">
        <v>26</v>
      </c>
      <c r="JI78" t="s">
        <v>2730</v>
      </c>
      <c r="JJ78">
        <v>4</v>
      </c>
      <c r="JK78" t="s">
        <v>2730</v>
      </c>
      <c r="JL78">
        <v>16</v>
      </c>
      <c r="JM78" t="s">
        <v>2730</v>
      </c>
      <c r="JN78" t="s">
        <v>2730</v>
      </c>
      <c r="JO78">
        <v>4</v>
      </c>
      <c r="JP78" t="s">
        <v>2730</v>
      </c>
      <c r="JQ78" t="s">
        <v>2730</v>
      </c>
    </row>
    <row r="79" spans="1:277">
      <c r="A79" s="149" t="str">
        <f>HYPERLINK("http://www.ofsted.gov.uk/inspection-reports/find-inspection-report/provider/ELS/131026 ","Ofsted School Webpage")</f>
        <v>Ofsted School Webpage</v>
      </c>
      <c r="B79">
        <v>1133005</v>
      </c>
      <c r="C79">
        <v>131026</v>
      </c>
      <c r="D79">
        <v>3026104</v>
      </c>
      <c r="E79" t="s">
        <v>397</v>
      </c>
      <c r="F79" t="s">
        <v>37</v>
      </c>
      <c r="G79" t="s">
        <v>209</v>
      </c>
      <c r="H79" t="s">
        <v>232</v>
      </c>
      <c r="I79" t="s">
        <v>232</v>
      </c>
      <c r="J79" t="s">
        <v>311</v>
      </c>
      <c r="K79" t="s">
        <v>398</v>
      </c>
      <c r="L79" t="s">
        <v>184</v>
      </c>
      <c r="M79" t="s">
        <v>185</v>
      </c>
      <c r="N79" t="s">
        <v>318</v>
      </c>
      <c r="O79" t="s">
        <v>2730</v>
      </c>
      <c r="P79" t="s">
        <v>186</v>
      </c>
      <c r="Q79">
        <v>10008541</v>
      </c>
      <c r="R79" s="120">
        <v>43004</v>
      </c>
      <c r="S79" s="120">
        <v>43006</v>
      </c>
      <c r="T79" s="120">
        <v>43046</v>
      </c>
      <c r="U79" t="s">
        <v>2730</v>
      </c>
      <c r="V79" t="s">
        <v>196</v>
      </c>
      <c r="W79" t="s">
        <v>2730</v>
      </c>
      <c r="X79" t="s">
        <v>197</v>
      </c>
      <c r="Y79">
        <v>3</v>
      </c>
      <c r="Z79">
        <v>3</v>
      </c>
      <c r="AA79">
        <v>2</v>
      </c>
      <c r="AB79">
        <v>3</v>
      </c>
      <c r="AC79">
        <v>3</v>
      </c>
      <c r="AD79">
        <v>2</v>
      </c>
      <c r="AE79" t="s">
        <v>2730</v>
      </c>
      <c r="AF79" t="s">
        <v>128</v>
      </c>
      <c r="AG79" t="s">
        <v>2730</v>
      </c>
      <c r="AH79" t="s">
        <v>2733</v>
      </c>
      <c r="AI79" t="s">
        <v>60</v>
      </c>
      <c r="AJ79" t="s">
        <v>59</v>
      </c>
      <c r="AK79" t="s">
        <v>59</v>
      </c>
      <c r="AL79" t="s">
        <v>59</v>
      </c>
      <c r="AM79" t="s">
        <v>59</v>
      </c>
      <c r="AN79" t="s">
        <v>59</v>
      </c>
      <c r="AO79" t="s">
        <v>59</v>
      </c>
      <c r="AP79" t="s">
        <v>60</v>
      </c>
      <c r="AQ79" t="s">
        <v>60</v>
      </c>
      <c r="AR79" t="s">
        <v>60</v>
      </c>
      <c r="AS79" t="s">
        <v>60</v>
      </c>
      <c r="AT79" t="s">
        <v>60</v>
      </c>
      <c r="AU79" t="s">
        <v>59</v>
      </c>
      <c r="AV79" t="s">
        <v>59</v>
      </c>
      <c r="AW79" t="s">
        <v>59</v>
      </c>
      <c r="AX79" t="s">
        <v>59</v>
      </c>
      <c r="AY79" t="s">
        <v>191</v>
      </c>
      <c r="AZ79" t="s">
        <v>59</v>
      </c>
      <c r="BA79" t="s">
        <v>59</v>
      </c>
      <c r="BB79" t="s">
        <v>59</v>
      </c>
      <c r="BC79" t="s">
        <v>191</v>
      </c>
      <c r="BD79" t="s">
        <v>191</v>
      </c>
      <c r="BE79" t="s">
        <v>191</v>
      </c>
      <c r="BF79" t="s">
        <v>191</v>
      </c>
      <c r="BG79" t="s">
        <v>59</v>
      </c>
      <c r="BH79" t="s">
        <v>191</v>
      </c>
      <c r="BI79" t="s">
        <v>59</v>
      </c>
      <c r="BJ79" t="s">
        <v>59</v>
      </c>
      <c r="BK79" t="s">
        <v>60</v>
      </c>
      <c r="BL79" t="s">
        <v>60</v>
      </c>
      <c r="BM79" t="s">
        <v>59</v>
      </c>
      <c r="BN79" t="s">
        <v>60</v>
      </c>
      <c r="BO79" t="s">
        <v>60</v>
      </c>
      <c r="BP79" t="s">
        <v>60</v>
      </c>
      <c r="BQ79" t="s">
        <v>59</v>
      </c>
      <c r="BR79" t="s">
        <v>60</v>
      </c>
      <c r="BS79" t="s">
        <v>59</v>
      </c>
      <c r="BT79" t="s">
        <v>59</v>
      </c>
      <c r="BU79" t="s">
        <v>59</v>
      </c>
      <c r="BV79" t="s">
        <v>59</v>
      </c>
      <c r="BW79" t="s">
        <v>59</v>
      </c>
      <c r="BX79" t="s">
        <v>59</v>
      </c>
      <c r="BY79" t="s">
        <v>59</v>
      </c>
      <c r="BZ79" t="s">
        <v>59</v>
      </c>
      <c r="CA79" t="s">
        <v>59</v>
      </c>
      <c r="CB79" t="s">
        <v>59</v>
      </c>
      <c r="CC79" t="s">
        <v>59</v>
      </c>
      <c r="CD79" t="s">
        <v>59</v>
      </c>
      <c r="CE79" t="s">
        <v>59</v>
      </c>
      <c r="CF79" t="s">
        <v>59</v>
      </c>
      <c r="CG79" t="s">
        <v>59</v>
      </c>
      <c r="CH79" t="s">
        <v>59</v>
      </c>
      <c r="CI79" t="s">
        <v>59</v>
      </c>
      <c r="CJ79" t="s">
        <v>59</v>
      </c>
      <c r="CK79" t="s">
        <v>59</v>
      </c>
      <c r="CL79" t="s">
        <v>59</v>
      </c>
      <c r="CM79" t="s">
        <v>59</v>
      </c>
      <c r="CN79" t="s">
        <v>59</v>
      </c>
      <c r="CO79" t="s">
        <v>191</v>
      </c>
      <c r="CP79" t="s">
        <v>191</v>
      </c>
      <c r="CQ79" t="s">
        <v>191</v>
      </c>
      <c r="CR79" t="s">
        <v>59</v>
      </c>
      <c r="CS79" t="s">
        <v>59</v>
      </c>
      <c r="CT79" t="s">
        <v>59</v>
      </c>
      <c r="CU79" t="s">
        <v>59</v>
      </c>
      <c r="CV79" t="s">
        <v>59</v>
      </c>
      <c r="CW79" t="s">
        <v>59</v>
      </c>
      <c r="CX79" t="s">
        <v>59</v>
      </c>
      <c r="CY79" t="s">
        <v>59</v>
      </c>
      <c r="CZ79" t="s">
        <v>59</v>
      </c>
      <c r="DA79" t="s">
        <v>59</v>
      </c>
      <c r="DB79" t="s">
        <v>59</v>
      </c>
      <c r="DC79" t="s">
        <v>59</v>
      </c>
      <c r="DD79" t="s">
        <v>59</v>
      </c>
      <c r="DE79" t="s">
        <v>59</v>
      </c>
      <c r="DF79" t="s">
        <v>59</v>
      </c>
      <c r="DG79" t="s">
        <v>59</v>
      </c>
      <c r="DH79" t="s">
        <v>59</v>
      </c>
      <c r="DI79" t="s">
        <v>59</v>
      </c>
      <c r="DJ79" t="s">
        <v>59</v>
      </c>
      <c r="DK79" t="s">
        <v>59</v>
      </c>
      <c r="DL79" t="s">
        <v>59</v>
      </c>
      <c r="DM79" t="s">
        <v>59</v>
      </c>
      <c r="DN79" t="s">
        <v>59</v>
      </c>
      <c r="DO79" t="s">
        <v>191</v>
      </c>
      <c r="DP79" t="s">
        <v>59</v>
      </c>
      <c r="DQ79" t="s">
        <v>59</v>
      </c>
      <c r="DR79" t="s">
        <v>59</v>
      </c>
      <c r="DS79" t="s">
        <v>59</v>
      </c>
      <c r="DT79" t="s">
        <v>59</v>
      </c>
      <c r="DU79" t="s">
        <v>59</v>
      </c>
      <c r="DV79" t="s">
        <v>59</v>
      </c>
      <c r="DW79" t="s">
        <v>59</v>
      </c>
      <c r="DX79" t="s">
        <v>59</v>
      </c>
      <c r="DY79" t="s">
        <v>59</v>
      </c>
      <c r="DZ79" t="s">
        <v>59</v>
      </c>
      <c r="EA79" t="s">
        <v>59</v>
      </c>
      <c r="EB79" t="s">
        <v>59</v>
      </c>
      <c r="EC79" t="s">
        <v>191</v>
      </c>
      <c r="ED79" t="s">
        <v>59</v>
      </c>
      <c r="EE79" t="s">
        <v>59</v>
      </c>
      <c r="EF79" t="s">
        <v>59</v>
      </c>
      <c r="EG79" t="s">
        <v>59</v>
      </c>
      <c r="EH79" t="s">
        <v>59</v>
      </c>
      <c r="EI79" t="s">
        <v>59</v>
      </c>
      <c r="EJ79" t="s">
        <v>59</v>
      </c>
      <c r="EK79" t="s">
        <v>59</v>
      </c>
      <c r="EL79" t="s">
        <v>59</v>
      </c>
      <c r="EM79" t="s">
        <v>59</v>
      </c>
      <c r="EN79" t="s">
        <v>59</v>
      </c>
      <c r="EO79" t="s">
        <v>59</v>
      </c>
      <c r="EP79" t="s">
        <v>59</v>
      </c>
      <c r="EQ79" t="s">
        <v>59</v>
      </c>
      <c r="ER79" t="s">
        <v>59</v>
      </c>
      <c r="ES79" t="s">
        <v>59</v>
      </c>
      <c r="ET79" t="s">
        <v>59</v>
      </c>
      <c r="EU79" t="s">
        <v>59</v>
      </c>
      <c r="EV79" t="s">
        <v>59</v>
      </c>
      <c r="EW79" t="s">
        <v>59</v>
      </c>
      <c r="EX79" t="s">
        <v>59</v>
      </c>
      <c r="EY79" t="s">
        <v>59</v>
      </c>
      <c r="EZ79" t="s">
        <v>59</v>
      </c>
      <c r="FA79" t="s">
        <v>59</v>
      </c>
      <c r="FB79" t="s">
        <v>59</v>
      </c>
      <c r="FC79" t="s">
        <v>59</v>
      </c>
      <c r="FD79" t="s">
        <v>59</v>
      </c>
      <c r="FE79" t="s">
        <v>59</v>
      </c>
      <c r="FF79" t="s">
        <v>59</v>
      </c>
      <c r="FG79" t="s">
        <v>59</v>
      </c>
      <c r="FH79" t="s">
        <v>59</v>
      </c>
      <c r="FI79" t="s">
        <v>59</v>
      </c>
      <c r="FJ79" t="s">
        <v>59</v>
      </c>
      <c r="FK79" t="s">
        <v>59</v>
      </c>
      <c r="FL79" t="s">
        <v>59</v>
      </c>
      <c r="FM79" t="s">
        <v>59</v>
      </c>
      <c r="FN79" t="s">
        <v>59</v>
      </c>
      <c r="FO79" t="s">
        <v>191</v>
      </c>
      <c r="FP79" t="s">
        <v>59</v>
      </c>
      <c r="FQ79" t="s">
        <v>59</v>
      </c>
      <c r="FR79" t="s">
        <v>59</v>
      </c>
      <c r="FS79" t="s">
        <v>191</v>
      </c>
      <c r="FT79" t="s">
        <v>59</v>
      </c>
      <c r="FU79" t="s">
        <v>59</v>
      </c>
      <c r="FV79" t="s">
        <v>59</v>
      </c>
      <c r="FW79" t="s">
        <v>59</v>
      </c>
      <c r="FX79" t="s">
        <v>59</v>
      </c>
      <c r="FY79" t="s">
        <v>59</v>
      </c>
      <c r="FZ79" t="s">
        <v>59</v>
      </c>
      <c r="GA79" t="s">
        <v>59</v>
      </c>
      <c r="GB79" t="s">
        <v>59</v>
      </c>
      <c r="GC79" t="s">
        <v>59</v>
      </c>
      <c r="GD79" t="s">
        <v>59</v>
      </c>
      <c r="GE79" t="s">
        <v>59</v>
      </c>
      <c r="GF79" t="s">
        <v>59</v>
      </c>
      <c r="GG79" t="s">
        <v>59</v>
      </c>
      <c r="GH79" t="s">
        <v>60</v>
      </c>
      <c r="GI79" t="s">
        <v>60</v>
      </c>
      <c r="GJ79" t="s">
        <v>59</v>
      </c>
      <c r="GK79" t="s">
        <v>191</v>
      </c>
      <c r="GL79" t="s">
        <v>59</v>
      </c>
      <c r="GM79" t="s">
        <v>59</v>
      </c>
      <c r="GN79" t="s">
        <v>59</v>
      </c>
      <c r="GO79" t="s">
        <v>59</v>
      </c>
      <c r="GP79" t="s">
        <v>59</v>
      </c>
      <c r="GQ79" t="s">
        <v>191</v>
      </c>
      <c r="GR79" t="s">
        <v>59</v>
      </c>
      <c r="GS79" t="s">
        <v>59</v>
      </c>
      <c r="GT79" t="s">
        <v>191</v>
      </c>
      <c r="GU79" t="s">
        <v>191</v>
      </c>
      <c r="GV79" t="s">
        <v>59</v>
      </c>
      <c r="GW79" t="s">
        <v>59</v>
      </c>
      <c r="GX79" t="s">
        <v>59</v>
      </c>
      <c r="GY79" t="s">
        <v>59</v>
      </c>
      <c r="GZ79" t="s">
        <v>59</v>
      </c>
      <c r="HA79" t="s">
        <v>191</v>
      </c>
      <c r="HB79" t="s">
        <v>59</v>
      </c>
      <c r="HC79" t="s">
        <v>59</v>
      </c>
      <c r="HD79" t="s">
        <v>59</v>
      </c>
      <c r="HE79" t="s">
        <v>59</v>
      </c>
      <c r="HF79" t="s">
        <v>59</v>
      </c>
      <c r="HG79" t="s">
        <v>59</v>
      </c>
      <c r="HH79" t="s">
        <v>59</v>
      </c>
      <c r="HI79" t="s">
        <v>59</v>
      </c>
      <c r="HJ79" t="s">
        <v>59</v>
      </c>
      <c r="HK79" t="s">
        <v>59</v>
      </c>
      <c r="HL79" t="s">
        <v>191</v>
      </c>
      <c r="HM79" t="s">
        <v>191</v>
      </c>
      <c r="HN79" t="s">
        <v>191</v>
      </c>
      <c r="HO79" t="s">
        <v>191</v>
      </c>
      <c r="HP79" t="s">
        <v>59</v>
      </c>
      <c r="HQ79" t="s">
        <v>59</v>
      </c>
      <c r="HR79" t="s">
        <v>59</v>
      </c>
      <c r="HS79" t="s">
        <v>59</v>
      </c>
      <c r="HT79" t="s">
        <v>59</v>
      </c>
      <c r="HU79" t="s">
        <v>59</v>
      </c>
      <c r="HV79" t="s">
        <v>59</v>
      </c>
      <c r="HW79" t="s">
        <v>59</v>
      </c>
      <c r="HX79" t="s">
        <v>59</v>
      </c>
      <c r="HY79" t="s">
        <v>59</v>
      </c>
      <c r="HZ79" t="s">
        <v>59</v>
      </c>
      <c r="IA79" t="s">
        <v>59</v>
      </c>
      <c r="IB79" t="s">
        <v>59</v>
      </c>
      <c r="IC79" t="s">
        <v>59</v>
      </c>
      <c r="ID79" t="s">
        <v>59</v>
      </c>
      <c r="IE79" t="s">
        <v>59</v>
      </c>
      <c r="IF79" t="s">
        <v>60</v>
      </c>
      <c r="IG79" t="s">
        <v>60</v>
      </c>
      <c r="IH79" t="s">
        <v>60</v>
      </c>
      <c r="II79" t="s">
        <v>59</v>
      </c>
      <c r="IJ79" t="s">
        <v>129</v>
      </c>
      <c r="IK79" t="s">
        <v>198</v>
      </c>
      <c r="IL79" t="s">
        <v>128</v>
      </c>
      <c r="IM79" t="s">
        <v>199</v>
      </c>
      <c r="IN79">
        <v>16</v>
      </c>
      <c r="IO79" t="s">
        <v>2730</v>
      </c>
      <c r="IP79">
        <v>6</v>
      </c>
      <c r="IQ79">
        <v>10</v>
      </c>
      <c r="IR79">
        <v>15</v>
      </c>
      <c r="IS79" t="s">
        <v>2730</v>
      </c>
      <c r="IT79" t="s">
        <v>2730</v>
      </c>
      <c r="IU79" t="s">
        <v>2730</v>
      </c>
      <c r="IV79">
        <v>16</v>
      </c>
      <c r="IW79" t="s">
        <v>2730</v>
      </c>
      <c r="IX79">
        <v>3</v>
      </c>
      <c r="IY79" t="s">
        <v>2730</v>
      </c>
      <c r="IZ79">
        <v>57</v>
      </c>
      <c r="JA79" t="s">
        <v>2730</v>
      </c>
      <c r="JB79">
        <v>2</v>
      </c>
      <c r="JC79" t="s">
        <v>2730</v>
      </c>
      <c r="JD79">
        <v>21</v>
      </c>
      <c r="JE79" t="s">
        <v>2730</v>
      </c>
      <c r="JF79">
        <v>3</v>
      </c>
      <c r="JG79">
        <v>2</v>
      </c>
      <c r="JH79">
        <v>22</v>
      </c>
      <c r="JI79" t="s">
        <v>2730</v>
      </c>
      <c r="JJ79">
        <v>8</v>
      </c>
      <c r="JK79" t="s">
        <v>2730</v>
      </c>
      <c r="JL79">
        <v>16</v>
      </c>
      <c r="JM79" t="s">
        <v>2730</v>
      </c>
      <c r="JN79" t="s">
        <v>2730</v>
      </c>
      <c r="JO79">
        <v>1</v>
      </c>
      <c r="JP79" t="s">
        <v>2730</v>
      </c>
      <c r="JQ79">
        <v>3</v>
      </c>
    </row>
    <row r="80" spans="1:277">
      <c r="A80" s="149" t="str">
        <f>HYPERLINK("http://www.ofsted.gov.uk/inspection-reports/find-inspection-report/provider/ELS/139734 ","Ofsted School Webpage")</f>
        <v>Ofsted School Webpage</v>
      </c>
      <c r="B80">
        <v>1132696</v>
      </c>
      <c r="C80">
        <v>139734</v>
      </c>
      <c r="D80">
        <v>8556032</v>
      </c>
      <c r="E80" t="s">
        <v>379</v>
      </c>
      <c r="F80" t="s">
        <v>38</v>
      </c>
      <c r="G80" t="s">
        <v>180</v>
      </c>
      <c r="H80" t="s">
        <v>214</v>
      </c>
      <c r="I80" t="s">
        <v>214</v>
      </c>
      <c r="J80" t="s">
        <v>281</v>
      </c>
      <c r="K80" t="s">
        <v>380</v>
      </c>
      <c r="L80" t="s">
        <v>184</v>
      </c>
      <c r="M80" t="s">
        <v>185</v>
      </c>
      <c r="N80" t="s">
        <v>184</v>
      </c>
      <c r="O80" t="s">
        <v>2730</v>
      </c>
      <c r="P80" t="s">
        <v>186</v>
      </c>
      <c r="Q80">
        <v>10026054</v>
      </c>
      <c r="R80" s="120">
        <v>42990</v>
      </c>
      <c r="S80" s="120">
        <v>42992</v>
      </c>
      <c r="T80" s="120">
        <v>43026</v>
      </c>
      <c r="U80" t="s">
        <v>2730</v>
      </c>
      <c r="V80" t="s">
        <v>196</v>
      </c>
      <c r="W80" t="s">
        <v>2730</v>
      </c>
      <c r="X80" t="s">
        <v>197</v>
      </c>
      <c r="Y80">
        <v>1</v>
      </c>
      <c r="Z80">
        <v>1</v>
      </c>
      <c r="AA80">
        <v>1</v>
      </c>
      <c r="AB80">
        <v>1</v>
      </c>
      <c r="AC80">
        <v>1</v>
      </c>
      <c r="AD80" t="s">
        <v>2730</v>
      </c>
      <c r="AE80" t="s">
        <v>2730</v>
      </c>
      <c r="AF80" t="s">
        <v>128</v>
      </c>
      <c r="AG80" t="s">
        <v>2730</v>
      </c>
      <c r="AH80" t="s">
        <v>2732</v>
      </c>
      <c r="AI80" t="s">
        <v>59</v>
      </c>
      <c r="AJ80" t="s">
        <v>59</v>
      </c>
      <c r="AK80" t="s">
        <v>59</v>
      </c>
      <c r="AL80" t="s">
        <v>59</v>
      </c>
      <c r="AM80" t="s">
        <v>59</v>
      </c>
      <c r="AN80" t="s">
        <v>59</v>
      </c>
      <c r="AO80" t="s">
        <v>59</v>
      </c>
      <c r="AP80" t="s">
        <v>59</v>
      </c>
      <c r="AQ80" t="s">
        <v>59</v>
      </c>
      <c r="AR80" t="s">
        <v>59</v>
      </c>
      <c r="AS80" t="s">
        <v>59</v>
      </c>
      <c r="AT80" t="s">
        <v>59</v>
      </c>
      <c r="AU80" t="s">
        <v>59</v>
      </c>
      <c r="AV80" t="s">
        <v>59</v>
      </c>
      <c r="AW80" t="s">
        <v>59</v>
      </c>
      <c r="AX80" t="s">
        <v>59</v>
      </c>
      <c r="AY80" t="s">
        <v>191</v>
      </c>
      <c r="AZ80" t="s">
        <v>59</v>
      </c>
      <c r="BA80" t="s">
        <v>59</v>
      </c>
      <c r="BB80" t="s">
        <v>59</v>
      </c>
      <c r="BC80" t="s">
        <v>59</v>
      </c>
      <c r="BD80" t="s">
        <v>59</v>
      </c>
      <c r="BE80" t="s">
        <v>59</v>
      </c>
      <c r="BF80" t="s">
        <v>59</v>
      </c>
      <c r="BG80" t="s">
        <v>191</v>
      </c>
      <c r="BH80" t="s">
        <v>59</v>
      </c>
      <c r="BI80" t="s">
        <v>59</v>
      </c>
      <c r="BJ80" t="s">
        <v>59</v>
      </c>
      <c r="BK80" t="s">
        <v>59</v>
      </c>
      <c r="BL80" t="s">
        <v>59</v>
      </c>
      <c r="BM80" t="s">
        <v>59</v>
      </c>
      <c r="BN80" t="s">
        <v>59</v>
      </c>
      <c r="BO80" t="s">
        <v>59</v>
      </c>
      <c r="BP80" t="s">
        <v>59</v>
      </c>
      <c r="BQ80" t="s">
        <v>59</v>
      </c>
      <c r="BR80" t="s">
        <v>59</v>
      </c>
      <c r="BS80" t="s">
        <v>59</v>
      </c>
      <c r="BT80" t="s">
        <v>59</v>
      </c>
      <c r="BU80" t="s">
        <v>59</v>
      </c>
      <c r="BV80" t="s">
        <v>59</v>
      </c>
      <c r="BW80" t="s">
        <v>59</v>
      </c>
      <c r="BX80" t="s">
        <v>59</v>
      </c>
      <c r="BY80" t="s">
        <v>59</v>
      </c>
      <c r="BZ80" t="s">
        <v>59</v>
      </c>
      <c r="CA80" t="s">
        <v>59</v>
      </c>
      <c r="CB80" t="s">
        <v>59</v>
      </c>
      <c r="CC80" t="s">
        <v>59</v>
      </c>
      <c r="CD80" t="s">
        <v>59</v>
      </c>
      <c r="CE80" t="s">
        <v>59</v>
      </c>
      <c r="CF80" t="s">
        <v>59</v>
      </c>
      <c r="CG80" t="s">
        <v>59</v>
      </c>
      <c r="CH80" t="s">
        <v>59</v>
      </c>
      <c r="CI80" t="s">
        <v>59</v>
      </c>
      <c r="CJ80" t="s">
        <v>59</v>
      </c>
      <c r="CK80" t="s">
        <v>59</v>
      </c>
      <c r="CL80" t="s">
        <v>59</v>
      </c>
      <c r="CM80" t="s">
        <v>59</v>
      </c>
      <c r="CN80" t="s">
        <v>59</v>
      </c>
      <c r="CO80" t="s">
        <v>191</v>
      </c>
      <c r="CP80" t="s">
        <v>191</v>
      </c>
      <c r="CQ80" t="s">
        <v>191</v>
      </c>
      <c r="CR80" t="s">
        <v>59</v>
      </c>
      <c r="CS80" t="s">
        <v>59</v>
      </c>
      <c r="CT80" t="s">
        <v>59</v>
      </c>
      <c r="CU80" t="s">
        <v>59</v>
      </c>
      <c r="CV80" t="s">
        <v>59</v>
      </c>
      <c r="CW80" t="s">
        <v>59</v>
      </c>
      <c r="CX80" t="s">
        <v>59</v>
      </c>
      <c r="CY80" t="s">
        <v>59</v>
      </c>
      <c r="CZ80" t="s">
        <v>59</v>
      </c>
      <c r="DA80" t="s">
        <v>59</v>
      </c>
      <c r="DB80" t="s">
        <v>59</v>
      </c>
      <c r="DC80" t="s">
        <v>59</v>
      </c>
      <c r="DD80" t="s">
        <v>59</v>
      </c>
      <c r="DE80" t="s">
        <v>59</v>
      </c>
      <c r="DF80" t="s">
        <v>59</v>
      </c>
      <c r="DG80" t="s">
        <v>59</v>
      </c>
      <c r="DH80" t="s">
        <v>59</v>
      </c>
      <c r="DI80" t="s">
        <v>59</v>
      </c>
      <c r="DJ80" t="s">
        <v>59</v>
      </c>
      <c r="DK80" t="s">
        <v>59</v>
      </c>
      <c r="DL80" t="s">
        <v>59</v>
      </c>
      <c r="DM80" t="s">
        <v>59</v>
      </c>
      <c r="DN80" t="s">
        <v>59</v>
      </c>
      <c r="DO80" t="s">
        <v>191</v>
      </c>
      <c r="DP80" t="s">
        <v>59</v>
      </c>
      <c r="DQ80" t="s">
        <v>191</v>
      </c>
      <c r="DR80" t="s">
        <v>191</v>
      </c>
      <c r="DS80" t="s">
        <v>191</v>
      </c>
      <c r="DT80" t="s">
        <v>191</v>
      </c>
      <c r="DU80" t="s">
        <v>191</v>
      </c>
      <c r="DV80" t="s">
        <v>191</v>
      </c>
      <c r="DW80" t="s">
        <v>191</v>
      </c>
      <c r="DX80" t="s">
        <v>191</v>
      </c>
      <c r="DY80" t="s">
        <v>191</v>
      </c>
      <c r="DZ80" t="s">
        <v>191</v>
      </c>
      <c r="EA80" t="s">
        <v>191</v>
      </c>
      <c r="EB80" t="s">
        <v>191</v>
      </c>
      <c r="EC80" t="s">
        <v>191</v>
      </c>
      <c r="ED80" t="s">
        <v>191</v>
      </c>
      <c r="EE80" t="s">
        <v>191</v>
      </c>
      <c r="EF80" t="s">
        <v>191</v>
      </c>
      <c r="EG80" t="s">
        <v>191</v>
      </c>
      <c r="EH80" t="s">
        <v>191</v>
      </c>
      <c r="EI80" t="s">
        <v>191</v>
      </c>
      <c r="EJ80" t="s">
        <v>191</v>
      </c>
      <c r="EK80" t="s">
        <v>191</v>
      </c>
      <c r="EL80" t="s">
        <v>191</v>
      </c>
      <c r="EM80" t="s">
        <v>191</v>
      </c>
      <c r="EN80" t="s">
        <v>59</v>
      </c>
      <c r="EO80" t="s">
        <v>59</v>
      </c>
      <c r="EP80" t="s">
        <v>59</v>
      </c>
      <c r="EQ80" t="s">
        <v>59</v>
      </c>
      <c r="ER80" t="s">
        <v>59</v>
      </c>
      <c r="ES80" t="s">
        <v>59</v>
      </c>
      <c r="ET80" t="s">
        <v>59</v>
      </c>
      <c r="EU80" t="s">
        <v>59</v>
      </c>
      <c r="EV80" t="s">
        <v>59</v>
      </c>
      <c r="EW80" t="s">
        <v>59</v>
      </c>
      <c r="EX80" t="s">
        <v>59</v>
      </c>
      <c r="EY80" t="s">
        <v>59</v>
      </c>
      <c r="EZ80" t="s">
        <v>59</v>
      </c>
      <c r="FA80" t="s">
        <v>191</v>
      </c>
      <c r="FB80" t="s">
        <v>191</v>
      </c>
      <c r="FC80" t="s">
        <v>191</v>
      </c>
      <c r="FD80" t="s">
        <v>191</v>
      </c>
      <c r="FE80" t="s">
        <v>191</v>
      </c>
      <c r="FF80" t="s">
        <v>191</v>
      </c>
      <c r="FG80" t="s">
        <v>191</v>
      </c>
      <c r="FH80" t="s">
        <v>191</v>
      </c>
      <c r="FI80" t="s">
        <v>191</v>
      </c>
      <c r="FJ80" t="s">
        <v>191</v>
      </c>
      <c r="FK80" t="s">
        <v>191</v>
      </c>
      <c r="FL80" t="s">
        <v>59</v>
      </c>
      <c r="FM80" t="s">
        <v>59</v>
      </c>
      <c r="FN80" t="s">
        <v>59</v>
      </c>
      <c r="FO80" t="s">
        <v>59</v>
      </c>
      <c r="FP80" t="s">
        <v>59</v>
      </c>
      <c r="FQ80" t="s">
        <v>59</v>
      </c>
      <c r="FR80" t="s">
        <v>59</v>
      </c>
      <c r="FS80" t="s">
        <v>191</v>
      </c>
      <c r="FT80" t="s">
        <v>59</v>
      </c>
      <c r="FU80" t="s">
        <v>59</v>
      </c>
      <c r="FV80" t="s">
        <v>59</v>
      </c>
      <c r="FW80" t="s">
        <v>59</v>
      </c>
      <c r="FX80" t="s">
        <v>59</v>
      </c>
      <c r="FY80" t="s">
        <v>59</v>
      </c>
      <c r="FZ80" t="s">
        <v>59</v>
      </c>
      <c r="GA80" t="s">
        <v>59</v>
      </c>
      <c r="GB80" t="s">
        <v>59</v>
      </c>
      <c r="GC80" t="s">
        <v>59</v>
      </c>
      <c r="GD80" t="s">
        <v>59</v>
      </c>
      <c r="GE80" t="s">
        <v>59</v>
      </c>
      <c r="GF80" t="s">
        <v>59</v>
      </c>
      <c r="GG80" t="s">
        <v>59</v>
      </c>
      <c r="GH80" t="s">
        <v>59</v>
      </c>
      <c r="GI80" t="s">
        <v>59</v>
      </c>
      <c r="GJ80" t="s">
        <v>59</v>
      </c>
      <c r="GK80" t="s">
        <v>191</v>
      </c>
      <c r="GL80" t="s">
        <v>59</v>
      </c>
      <c r="GM80" t="s">
        <v>59</v>
      </c>
      <c r="GN80" t="s">
        <v>59</v>
      </c>
      <c r="GO80" t="s">
        <v>59</v>
      </c>
      <c r="GP80" t="s">
        <v>59</v>
      </c>
      <c r="GQ80" t="s">
        <v>191</v>
      </c>
      <c r="GR80" t="s">
        <v>59</v>
      </c>
      <c r="GS80" t="s">
        <v>59</v>
      </c>
      <c r="GT80" t="s">
        <v>191</v>
      </c>
      <c r="GU80" t="s">
        <v>59</v>
      </c>
      <c r="GV80" t="s">
        <v>191</v>
      </c>
      <c r="GW80" t="s">
        <v>59</v>
      </c>
      <c r="GX80" t="s">
        <v>59</v>
      </c>
      <c r="GY80" t="s">
        <v>59</v>
      </c>
      <c r="GZ80" t="s">
        <v>59</v>
      </c>
      <c r="HA80" t="s">
        <v>191</v>
      </c>
      <c r="HB80" t="s">
        <v>191</v>
      </c>
      <c r="HC80" t="s">
        <v>59</v>
      </c>
      <c r="HD80" t="s">
        <v>59</v>
      </c>
      <c r="HE80" t="s">
        <v>59</v>
      </c>
      <c r="HF80" t="s">
        <v>59</v>
      </c>
      <c r="HG80" t="s">
        <v>59</v>
      </c>
      <c r="HH80" t="s">
        <v>59</v>
      </c>
      <c r="HI80" t="s">
        <v>59</v>
      </c>
      <c r="HJ80" t="s">
        <v>59</v>
      </c>
      <c r="HK80" t="s">
        <v>59</v>
      </c>
      <c r="HL80" t="s">
        <v>191</v>
      </c>
      <c r="HM80" t="s">
        <v>191</v>
      </c>
      <c r="HN80" t="s">
        <v>191</v>
      </c>
      <c r="HO80" t="s">
        <v>191</v>
      </c>
      <c r="HP80" t="s">
        <v>59</v>
      </c>
      <c r="HQ80" t="s">
        <v>59</v>
      </c>
      <c r="HR80" t="s">
        <v>59</v>
      </c>
      <c r="HS80" t="s">
        <v>59</v>
      </c>
      <c r="HT80" t="s">
        <v>59</v>
      </c>
      <c r="HU80" t="s">
        <v>59</v>
      </c>
      <c r="HV80" t="s">
        <v>59</v>
      </c>
      <c r="HW80" t="s">
        <v>59</v>
      </c>
      <c r="HX80" t="s">
        <v>59</v>
      </c>
      <c r="HY80" t="s">
        <v>59</v>
      </c>
      <c r="HZ80" t="s">
        <v>59</v>
      </c>
      <c r="IA80" t="s">
        <v>59</v>
      </c>
      <c r="IB80" t="s">
        <v>59</v>
      </c>
      <c r="IC80" t="s">
        <v>59</v>
      </c>
      <c r="ID80" t="s">
        <v>59</v>
      </c>
      <c r="IE80" t="s">
        <v>59</v>
      </c>
      <c r="IF80" t="s">
        <v>59</v>
      </c>
      <c r="IG80" t="s">
        <v>59</v>
      </c>
      <c r="IH80" t="s">
        <v>59</v>
      </c>
      <c r="II80" t="s">
        <v>59</v>
      </c>
      <c r="IJ80" t="s">
        <v>129</v>
      </c>
      <c r="IK80" t="s">
        <v>198</v>
      </c>
      <c r="IL80" t="s">
        <v>128</v>
      </c>
      <c r="IM80" t="s">
        <v>199</v>
      </c>
      <c r="IN80">
        <v>30</v>
      </c>
      <c r="IO80" t="s">
        <v>2730</v>
      </c>
      <c r="IP80">
        <v>2</v>
      </c>
      <c r="IQ80" t="s">
        <v>2730</v>
      </c>
      <c r="IR80">
        <v>15</v>
      </c>
      <c r="IS80" t="s">
        <v>2730</v>
      </c>
      <c r="IT80" t="s">
        <v>2730</v>
      </c>
      <c r="IU80" t="s">
        <v>2730</v>
      </c>
      <c r="IV80">
        <v>16</v>
      </c>
      <c r="IW80" t="s">
        <v>2730</v>
      </c>
      <c r="IX80">
        <v>3</v>
      </c>
      <c r="IY80" t="s">
        <v>2730</v>
      </c>
      <c r="IZ80">
        <v>24</v>
      </c>
      <c r="JA80" t="s">
        <v>2730</v>
      </c>
      <c r="JB80">
        <v>35</v>
      </c>
      <c r="JC80" t="s">
        <v>2730</v>
      </c>
      <c r="JD80">
        <v>24</v>
      </c>
      <c r="JE80" t="s">
        <v>2730</v>
      </c>
      <c r="JF80">
        <v>2</v>
      </c>
      <c r="JG80" t="s">
        <v>2730</v>
      </c>
      <c r="JH80">
        <v>21</v>
      </c>
      <c r="JI80" t="s">
        <v>2730</v>
      </c>
      <c r="JJ80">
        <v>9</v>
      </c>
      <c r="JK80" t="s">
        <v>2730</v>
      </c>
      <c r="JL80">
        <v>16</v>
      </c>
      <c r="JM80" t="s">
        <v>2730</v>
      </c>
      <c r="JN80" t="s">
        <v>2730</v>
      </c>
      <c r="JO80">
        <v>4</v>
      </c>
      <c r="JP80" t="s">
        <v>2730</v>
      </c>
      <c r="JQ80" t="s">
        <v>2730</v>
      </c>
    </row>
    <row r="81" spans="1:277">
      <c r="A81" s="149" t="str">
        <f>HYPERLINK("http://www.ofsted.gov.uk/inspection-reports/find-inspection-report/provider/ELS/125436 ","Ofsted School Webpage")</f>
        <v>Ofsted School Webpage</v>
      </c>
      <c r="B81">
        <v>1132278</v>
      </c>
      <c r="C81">
        <v>125436</v>
      </c>
      <c r="D81">
        <v>9366554</v>
      </c>
      <c r="E81" t="s">
        <v>900</v>
      </c>
      <c r="F81" t="s">
        <v>38</v>
      </c>
      <c r="G81" t="s">
        <v>180</v>
      </c>
      <c r="H81" t="s">
        <v>181</v>
      </c>
      <c r="I81" t="s">
        <v>181</v>
      </c>
      <c r="J81" t="s">
        <v>582</v>
      </c>
      <c r="K81" t="s">
        <v>901</v>
      </c>
      <c r="L81" t="s">
        <v>184</v>
      </c>
      <c r="M81" t="s">
        <v>185</v>
      </c>
      <c r="N81" t="s">
        <v>212</v>
      </c>
      <c r="O81" t="s">
        <v>2730</v>
      </c>
      <c r="P81" t="s">
        <v>186</v>
      </c>
      <c r="Q81">
        <v>10039158</v>
      </c>
      <c r="R81" s="120">
        <v>43046</v>
      </c>
      <c r="S81" s="120">
        <v>43048</v>
      </c>
      <c r="T81" s="120">
        <v>43070</v>
      </c>
      <c r="U81" t="s">
        <v>2730</v>
      </c>
      <c r="V81" t="s">
        <v>196</v>
      </c>
      <c r="W81" t="s">
        <v>2730</v>
      </c>
      <c r="X81" t="s">
        <v>197</v>
      </c>
      <c r="Y81">
        <v>2</v>
      </c>
      <c r="Z81">
        <v>2</v>
      </c>
      <c r="AA81">
        <v>2</v>
      </c>
      <c r="AB81">
        <v>2</v>
      </c>
      <c r="AC81">
        <v>2</v>
      </c>
      <c r="AD81" t="s">
        <v>2730</v>
      </c>
      <c r="AE81" t="s">
        <v>2730</v>
      </c>
      <c r="AF81" t="s">
        <v>128</v>
      </c>
      <c r="AG81" t="s">
        <v>2730</v>
      </c>
      <c r="AH81" t="s">
        <v>2732</v>
      </c>
      <c r="AI81" t="s">
        <v>59</v>
      </c>
      <c r="AJ81" t="s">
        <v>59</v>
      </c>
      <c r="AK81" t="s">
        <v>59</v>
      </c>
      <c r="AL81" t="s">
        <v>59</v>
      </c>
      <c r="AM81" t="s">
        <v>59</v>
      </c>
      <c r="AN81" t="s">
        <v>59</v>
      </c>
      <c r="AO81" t="s">
        <v>59</v>
      </c>
      <c r="AP81" t="s">
        <v>59</v>
      </c>
      <c r="AQ81" t="s">
        <v>59</v>
      </c>
      <c r="AR81" t="s">
        <v>59</v>
      </c>
      <c r="AS81" t="s">
        <v>59</v>
      </c>
      <c r="AT81" t="s">
        <v>59</v>
      </c>
      <c r="AU81" t="s">
        <v>59</v>
      </c>
      <c r="AV81" t="s">
        <v>59</v>
      </c>
      <c r="AW81" t="s">
        <v>59</v>
      </c>
      <c r="AX81" t="s">
        <v>59</v>
      </c>
      <c r="AY81" t="s">
        <v>59</v>
      </c>
      <c r="AZ81" t="s">
        <v>59</v>
      </c>
      <c r="BA81" t="s">
        <v>59</v>
      </c>
      <c r="BB81" t="s">
        <v>59</v>
      </c>
      <c r="BC81" t="s">
        <v>59</v>
      </c>
      <c r="BD81" t="s">
        <v>59</v>
      </c>
      <c r="BE81" t="s">
        <v>59</v>
      </c>
      <c r="BF81" t="s">
        <v>59</v>
      </c>
      <c r="BG81" t="s">
        <v>218</v>
      </c>
      <c r="BH81" t="s">
        <v>59</v>
      </c>
      <c r="BI81" t="s">
        <v>59</v>
      </c>
      <c r="BJ81" t="s">
        <v>59</v>
      </c>
      <c r="BK81" t="s">
        <v>59</v>
      </c>
      <c r="BL81" t="s">
        <v>59</v>
      </c>
      <c r="BM81" t="s">
        <v>59</v>
      </c>
      <c r="BN81" t="s">
        <v>59</v>
      </c>
      <c r="BO81" t="s">
        <v>59</v>
      </c>
      <c r="BP81" t="s">
        <v>59</v>
      </c>
      <c r="BQ81" t="s">
        <v>59</v>
      </c>
      <c r="BR81" t="s">
        <v>59</v>
      </c>
      <c r="BS81" t="s">
        <v>59</v>
      </c>
      <c r="BT81" t="s">
        <v>59</v>
      </c>
      <c r="BU81" t="s">
        <v>59</v>
      </c>
      <c r="BV81" t="s">
        <v>59</v>
      </c>
      <c r="BW81" t="s">
        <v>59</v>
      </c>
      <c r="BX81" t="s">
        <v>59</v>
      </c>
      <c r="BY81" t="s">
        <v>59</v>
      </c>
      <c r="BZ81" t="s">
        <v>59</v>
      </c>
      <c r="CA81" t="s">
        <v>59</v>
      </c>
      <c r="CB81" t="s">
        <v>59</v>
      </c>
      <c r="CC81" t="s">
        <v>59</v>
      </c>
      <c r="CD81" t="s">
        <v>59</v>
      </c>
      <c r="CE81" t="s">
        <v>59</v>
      </c>
      <c r="CF81" t="s">
        <v>59</v>
      </c>
      <c r="CG81" t="s">
        <v>59</v>
      </c>
      <c r="CH81" t="s">
        <v>59</v>
      </c>
      <c r="CI81" t="s">
        <v>59</v>
      </c>
      <c r="CJ81" t="s">
        <v>59</v>
      </c>
      <c r="CK81" t="s">
        <v>59</v>
      </c>
      <c r="CL81" t="s">
        <v>59</v>
      </c>
      <c r="CM81" t="s">
        <v>59</v>
      </c>
      <c r="CN81" t="s">
        <v>59</v>
      </c>
      <c r="CO81" t="s">
        <v>59</v>
      </c>
      <c r="CP81" t="s">
        <v>59</v>
      </c>
      <c r="CQ81" t="s">
        <v>59</v>
      </c>
      <c r="CR81" t="s">
        <v>59</v>
      </c>
      <c r="CS81" t="s">
        <v>59</v>
      </c>
      <c r="CT81" t="s">
        <v>59</v>
      </c>
      <c r="CU81" t="s">
        <v>59</v>
      </c>
      <c r="CV81" t="s">
        <v>59</v>
      </c>
      <c r="CW81" t="s">
        <v>59</v>
      </c>
      <c r="CX81" t="s">
        <v>59</v>
      </c>
      <c r="CY81" t="s">
        <v>59</v>
      </c>
      <c r="CZ81" t="s">
        <v>59</v>
      </c>
      <c r="DA81" t="s">
        <v>59</v>
      </c>
      <c r="DB81" t="s">
        <v>59</v>
      </c>
      <c r="DC81" t="s">
        <v>59</v>
      </c>
      <c r="DD81" t="s">
        <v>59</v>
      </c>
      <c r="DE81" t="s">
        <v>59</v>
      </c>
      <c r="DF81" t="s">
        <v>59</v>
      </c>
      <c r="DG81" t="s">
        <v>59</v>
      </c>
      <c r="DH81" t="s">
        <v>59</v>
      </c>
      <c r="DI81" t="s">
        <v>59</v>
      </c>
      <c r="DJ81" t="s">
        <v>59</v>
      </c>
      <c r="DK81" t="s">
        <v>59</v>
      </c>
      <c r="DL81" t="s">
        <v>59</v>
      </c>
      <c r="DM81" t="s">
        <v>59</v>
      </c>
      <c r="DN81" t="s">
        <v>59</v>
      </c>
      <c r="DO81" t="s">
        <v>59</v>
      </c>
      <c r="DP81" t="s">
        <v>59</v>
      </c>
      <c r="DQ81" t="s">
        <v>59</v>
      </c>
      <c r="DR81" t="s">
        <v>218</v>
      </c>
      <c r="DS81" t="s">
        <v>218</v>
      </c>
      <c r="DT81" t="s">
        <v>218</v>
      </c>
      <c r="DU81" t="s">
        <v>218</v>
      </c>
      <c r="DV81" t="s">
        <v>218</v>
      </c>
      <c r="DW81" t="s">
        <v>218</v>
      </c>
      <c r="DX81" t="s">
        <v>218</v>
      </c>
      <c r="DY81" t="s">
        <v>218</v>
      </c>
      <c r="DZ81" t="s">
        <v>218</v>
      </c>
      <c r="EA81" t="s">
        <v>218</v>
      </c>
      <c r="EB81" t="s">
        <v>218</v>
      </c>
      <c r="EC81" t="s">
        <v>218</v>
      </c>
      <c r="ED81" t="s">
        <v>218</v>
      </c>
      <c r="EE81" t="s">
        <v>59</v>
      </c>
      <c r="EF81" t="s">
        <v>59</v>
      </c>
      <c r="EG81" t="s">
        <v>59</v>
      </c>
      <c r="EH81" t="s">
        <v>59</v>
      </c>
      <c r="EI81" t="s">
        <v>59</v>
      </c>
      <c r="EJ81" t="s">
        <v>59</v>
      </c>
      <c r="EK81" t="s">
        <v>59</v>
      </c>
      <c r="EL81" t="s">
        <v>218</v>
      </c>
      <c r="EM81" t="s">
        <v>59</v>
      </c>
      <c r="EN81" t="s">
        <v>59</v>
      </c>
      <c r="EO81" t="s">
        <v>59</v>
      </c>
      <c r="EP81" t="s">
        <v>59</v>
      </c>
      <c r="EQ81" t="s">
        <v>59</v>
      </c>
      <c r="ER81" t="s">
        <v>59</v>
      </c>
      <c r="ES81" t="s">
        <v>59</v>
      </c>
      <c r="ET81" t="s">
        <v>59</v>
      </c>
      <c r="EU81" t="s">
        <v>59</v>
      </c>
      <c r="EV81" t="s">
        <v>59</v>
      </c>
      <c r="EW81" t="s">
        <v>59</v>
      </c>
      <c r="EX81" t="s">
        <v>59</v>
      </c>
      <c r="EY81" t="s">
        <v>59</v>
      </c>
      <c r="EZ81" t="s">
        <v>59</v>
      </c>
      <c r="FA81" t="s">
        <v>59</v>
      </c>
      <c r="FB81" t="s">
        <v>59</v>
      </c>
      <c r="FC81" t="s">
        <v>59</v>
      </c>
      <c r="FD81" t="s">
        <v>59</v>
      </c>
      <c r="FE81" t="s">
        <v>59</v>
      </c>
      <c r="FF81" t="s">
        <v>59</v>
      </c>
      <c r="FG81" t="s">
        <v>59</v>
      </c>
      <c r="FH81" t="s">
        <v>59</v>
      </c>
      <c r="FI81" t="s">
        <v>59</v>
      </c>
      <c r="FJ81" t="s">
        <v>59</v>
      </c>
      <c r="FK81" t="s">
        <v>59</v>
      </c>
      <c r="FL81" t="s">
        <v>59</v>
      </c>
      <c r="FM81" t="s">
        <v>59</v>
      </c>
      <c r="FN81" t="s">
        <v>59</v>
      </c>
      <c r="FO81" t="s">
        <v>59</v>
      </c>
      <c r="FP81" t="s">
        <v>59</v>
      </c>
      <c r="FQ81" t="s">
        <v>59</v>
      </c>
      <c r="FR81" t="s">
        <v>59</v>
      </c>
      <c r="FS81" t="s">
        <v>218</v>
      </c>
      <c r="FT81" t="s">
        <v>59</v>
      </c>
      <c r="FU81" t="s">
        <v>59</v>
      </c>
      <c r="FV81" t="s">
        <v>59</v>
      </c>
      <c r="FW81" t="s">
        <v>59</v>
      </c>
      <c r="FX81" t="s">
        <v>59</v>
      </c>
      <c r="FY81" t="s">
        <v>59</v>
      </c>
      <c r="FZ81" t="s">
        <v>59</v>
      </c>
      <c r="GA81" t="s">
        <v>59</v>
      </c>
      <c r="GB81" t="s">
        <v>59</v>
      </c>
      <c r="GC81" t="s">
        <v>59</v>
      </c>
      <c r="GD81" t="s">
        <v>59</v>
      </c>
      <c r="GE81" t="s">
        <v>59</v>
      </c>
      <c r="GF81" t="s">
        <v>59</v>
      </c>
      <c r="GG81" t="s">
        <v>59</v>
      </c>
      <c r="GH81" t="s">
        <v>59</v>
      </c>
      <c r="GI81" t="s">
        <v>59</v>
      </c>
      <c r="GJ81" t="s">
        <v>2730</v>
      </c>
      <c r="GK81" t="s">
        <v>59</v>
      </c>
      <c r="GL81" t="s">
        <v>59</v>
      </c>
      <c r="GM81" t="s">
        <v>59</v>
      </c>
      <c r="GN81" t="s">
        <v>59</v>
      </c>
      <c r="GO81" t="s">
        <v>59</v>
      </c>
      <c r="GP81" t="s">
        <v>59</v>
      </c>
      <c r="GQ81" t="s">
        <v>59</v>
      </c>
      <c r="GR81" t="s">
        <v>59</v>
      </c>
      <c r="GS81" t="s">
        <v>59</v>
      </c>
      <c r="GT81" t="s">
        <v>59</v>
      </c>
      <c r="GU81" t="s">
        <v>59</v>
      </c>
      <c r="GV81" t="s">
        <v>59</v>
      </c>
      <c r="GW81" t="s">
        <v>59</v>
      </c>
      <c r="GX81" t="s">
        <v>59</v>
      </c>
      <c r="GY81" t="s">
        <v>59</v>
      </c>
      <c r="GZ81" t="s">
        <v>218</v>
      </c>
      <c r="HA81" t="s">
        <v>59</v>
      </c>
      <c r="HB81" t="s">
        <v>59</v>
      </c>
      <c r="HC81" t="s">
        <v>59</v>
      </c>
      <c r="HD81" t="s">
        <v>59</v>
      </c>
      <c r="HE81" t="s">
        <v>59</v>
      </c>
      <c r="HF81" t="s">
        <v>59</v>
      </c>
      <c r="HG81" t="s">
        <v>59</v>
      </c>
      <c r="HH81" t="s">
        <v>59</v>
      </c>
      <c r="HI81" t="s">
        <v>59</v>
      </c>
      <c r="HJ81" t="s">
        <v>59</v>
      </c>
      <c r="HK81" t="s">
        <v>59</v>
      </c>
      <c r="HL81" t="s">
        <v>59</v>
      </c>
      <c r="HM81" t="s">
        <v>218</v>
      </c>
      <c r="HN81" t="s">
        <v>218</v>
      </c>
      <c r="HO81" t="s">
        <v>218</v>
      </c>
      <c r="HP81" t="s">
        <v>59</v>
      </c>
      <c r="HQ81" t="s">
        <v>59</v>
      </c>
      <c r="HR81" t="s">
        <v>59</v>
      </c>
      <c r="HS81" t="s">
        <v>59</v>
      </c>
      <c r="HT81" t="s">
        <v>59</v>
      </c>
      <c r="HU81" t="s">
        <v>59</v>
      </c>
      <c r="HV81" t="s">
        <v>59</v>
      </c>
      <c r="HW81" t="s">
        <v>59</v>
      </c>
      <c r="HX81" t="s">
        <v>59</v>
      </c>
      <c r="HY81" t="s">
        <v>59</v>
      </c>
      <c r="HZ81" t="s">
        <v>59</v>
      </c>
      <c r="IA81" t="s">
        <v>59</v>
      </c>
      <c r="IB81" t="s">
        <v>59</v>
      </c>
      <c r="IC81" t="s">
        <v>59</v>
      </c>
      <c r="ID81" t="s">
        <v>59</v>
      </c>
      <c r="IE81" t="s">
        <v>59</v>
      </c>
      <c r="IF81" t="s">
        <v>59</v>
      </c>
      <c r="IG81" t="s">
        <v>59</v>
      </c>
      <c r="IH81" t="s">
        <v>59</v>
      </c>
      <c r="II81" t="s">
        <v>59</v>
      </c>
      <c r="IJ81" t="s">
        <v>129</v>
      </c>
      <c r="IK81" t="s">
        <v>191</v>
      </c>
      <c r="IL81" t="s">
        <v>128</v>
      </c>
      <c r="IM81" t="s">
        <v>199</v>
      </c>
      <c r="IN81">
        <v>31</v>
      </c>
      <c r="IO81" t="s">
        <v>2730</v>
      </c>
      <c r="IP81" t="s">
        <v>2730</v>
      </c>
      <c r="IQ81" t="s">
        <v>2730</v>
      </c>
      <c r="IR81">
        <v>15</v>
      </c>
      <c r="IS81" t="s">
        <v>2730</v>
      </c>
      <c r="IT81" t="s">
        <v>2730</v>
      </c>
      <c r="IU81" t="s">
        <v>2730</v>
      </c>
      <c r="IV81">
        <v>19</v>
      </c>
      <c r="IW81" t="s">
        <v>2730</v>
      </c>
      <c r="IX81" t="s">
        <v>2730</v>
      </c>
      <c r="IY81" t="s">
        <v>2730</v>
      </c>
      <c r="IZ81">
        <v>45</v>
      </c>
      <c r="JA81" t="s">
        <v>2730</v>
      </c>
      <c r="JB81" t="s">
        <v>2730</v>
      </c>
      <c r="JC81" t="s">
        <v>2730</v>
      </c>
      <c r="JD81">
        <v>24</v>
      </c>
      <c r="JE81" t="s">
        <v>2730</v>
      </c>
      <c r="JF81" t="s">
        <v>2730</v>
      </c>
      <c r="JG81" t="s">
        <v>2730</v>
      </c>
      <c r="JH81">
        <v>26</v>
      </c>
      <c r="JI81" t="s">
        <v>2730</v>
      </c>
      <c r="JJ81" t="s">
        <v>2730</v>
      </c>
      <c r="JK81" t="s">
        <v>2730</v>
      </c>
      <c r="JL81">
        <v>16</v>
      </c>
      <c r="JM81" t="s">
        <v>2730</v>
      </c>
      <c r="JN81" t="s">
        <v>2730</v>
      </c>
      <c r="JO81">
        <v>4</v>
      </c>
      <c r="JP81" t="s">
        <v>2730</v>
      </c>
      <c r="JQ81" t="s">
        <v>2730</v>
      </c>
    </row>
    <row r="82" spans="1:277">
      <c r="A82" s="149" t="str">
        <f>HYPERLINK("http://www.ofsted.gov.uk/inspection-reports/find-inspection-report/provider/ELS/130391 ","Ofsted School Webpage")</f>
        <v>Ofsted School Webpage</v>
      </c>
      <c r="B82">
        <v>1132844</v>
      </c>
      <c r="C82">
        <v>130391</v>
      </c>
      <c r="D82">
        <v>8016130</v>
      </c>
      <c r="E82" t="s">
        <v>385</v>
      </c>
      <c r="F82" t="s">
        <v>37</v>
      </c>
      <c r="G82" t="s">
        <v>209</v>
      </c>
      <c r="H82" t="s">
        <v>225</v>
      </c>
      <c r="I82" t="s">
        <v>225</v>
      </c>
      <c r="J82" t="s">
        <v>361</v>
      </c>
      <c r="K82" t="s">
        <v>386</v>
      </c>
      <c r="L82" t="s">
        <v>304</v>
      </c>
      <c r="M82" t="s">
        <v>2730</v>
      </c>
      <c r="N82" t="s">
        <v>223</v>
      </c>
      <c r="O82" t="s">
        <v>2730</v>
      </c>
      <c r="P82" t="s">
        <v>186</v>
      </c>
      <c r="Q82">
        <v>10039498</v>
      </c>
      <c r="R82" s="120">
        <v>43004</v>
      </c>
      <c r="S82" s="120">
        <v>43006</v>
      </c>
      <c r="T82" s="120">
        <v>43045</v>
      </c>
      <c r="U82" t="s">
        <v>2730</v>
      </c>
      <c r="V82" t="s">
        <v>196</v>
      </c>
      <c r="W82" t="s">
        <v>2730</v>
      </c>
      <c r="X82" t="s">
        <v>197</v>
      </c>
      <c r="Y82">
        <v>4</v>
      </c>
      <c r="Z82">
        <v>4</v>
      </c>
      <c r="AA82">
        <v>3</v>
      </c>
      <c r="AB82">
        <v>4</v>
      </c>
      <c r="AC82">
        <v>4</v>
      </c>
      <c r="AD82">
        <v>3</v>
      </c>
      <c r="AE82" t="s">
        <v>2730</v>
      </c>
      <c r="AF82" t="s">
        <v>128</v>
      </c>
      <c r="AG82" t="s">
        <v>2730</v>
      </c>
      <c r="AH82" t="s">
        <v>2733</v>
      </c>
      <c r="AI82" t="s">
        <v>60</v>
      </c>
      <c r="AJ82" t="s">
        <v>59</v>
      </c>
      <c r="AK82" t="s">
        <v>60</v>
      </c>
      <c r="AL82" t="s">
        <v>59</v>
      </c>
      <c r="AM82" t="s">
        <v>59</v>
      </c>
      <c r="AN82" t="s">
        <v>59</v>
      </c>
      <c r="AO82" t="s">
        <v>59</v>
      </c>
      <c r="AP82" t="s">
        <v>60</v>
      </c>
      <c r="AQ82" t="s">
        <v>60</v>
      </c>
      <c r="AR82" t="s">
        <v>59</v>
      </c>
      <c r="AS82" t="s">
        <v>60</v>
      </c>
      <c r="AT82" t="s">
        <v>60</v>
      </c>
      <c r="AU82" t="s">
        <v>59</v>
      </c>
      <c r="AV82" t="s">
        <v>60</v>
      </c>
      <c r="AW82" t="s">
        <v>59</v>
      </c>
      <c r="AX82" t="s">
        <v>59</v>
      </c>
      <c r="AY82" t="s">
        <v>218</v>
      </c>
      <c r="AZ82" t="s">
        <v>59</v>
      </c>
      <c r="BA82" t="s">
        <v>59</v>
      </c>
      <c r="BB82" t="s">
        <v>59</v>
      </c>
      <c r="BC82" t="s">
        <v>59</v>
      </c>
      <c r="BD82" t="s">
        <v>59</v>
      </c>
      <c r="BE82" t="s">
        <v>59</v>
      </c>
      <c r="BF82" t="s">
        <v>59</v>
      </c>
      <c r="BG82" t="s">
        <v>59</v>
      </c>
      <c r="BH82" t="s">
        <v>59</v>
      </c>
      <c r="BI82" t="s">
        <v>60</v>
      </c>
      <c r="BJ82" t="s">
        <v>59</v>
      </c>
      <c r="BK82" t="s">
        <v>60</v>
      </c>
      <c r="BL82" t="s">
        <v>60</v>
      </c>
      <c r="BM82" t="s">
        <v>60</v>
      </c>
      <c r="BN82" t="s">
        <v>60</v>
      </c>
      <c r="BO82" t="s">
        <v>60</v>
      </c>
      <c r="BP82" t="s">
        <v>60</v>
      </c>
      <c r="BQ82" t="s">
        <v>60</v>
      </c>
      <c r="BR82" t="s">
        <v>60</v>
      </c>
      <c r="BS82" t="s">
        <v>59</v>
      </c>
      <c r="BT82" t="s">
        <v>59</v>
      </c>
      <c r="BU82" t="s">
        <v>59</v>
      </c>
      <c r="BV82" t="s">
        <v>59</v>
      </c>
      <c r="BW82" t="s">
        <v>59</v>
      </c>
      <c r="BX82" t="s">
        <v>59</v>
      </c>
      <c r="BY82" t="s">
        <v>59</v>
      </c>
      <c r="BZ82" t="s">
        <v>59</v>
      </c>
      <c r="CA82" t="s">
        <v>59</v>
      </c>
      <c r="CB82" t="s">
        <v>59</v>
      </c>
      <c r="CC82" t="s">
        <v>59</v>
      </c>
      <c r="CD82" t="s">
        <v>59</v>
      </c>
      <c r="CE82" t="s">
        <v>59</v>
      </c>
      <c r="CF82" t="s">
        <v>59</v>
      </c>
      <c r="CG82" t="s">
        <v>59</v>
      </c>
      <c r="CH82" t="s">
        <v>59</v>
      </c>
      <c r="CI82" t="s">
        <v>59</v>
      </c>
      <c r="CJ82" t="s">
        <v>59</v>
      </c>
      <c r="CK82" t="s">
        <v>59</v>
      </c>
      <c r="CL82" t="s">
        <v>60</v>
      </c>
      <c r="CM82" t="s">
        <v>60</v>
      </c>
      <c r="CN82" t="s">
        <v>60</v>
      </c>
      <c r="CO82" t="s">
        <v>218</v>
      </c>
      <c r="CP82" t="s">
        <v>218</v>
      </c>
      <c r="CQ82" t="s">
        <v>218</v>
      </c>
      <c r="CR82" t="s">
        <v>59</v>
      </c>
      <c r="CS82" t="s">
        <v>59</v>
      </c>
      <c r="CT82" t="s">
        <v>59</v>
      </c>
      <c r="CU82" t="s">
        <v>59</v>
      </c>
      <c r="CV82" t="s">
        <v>59</v>
      </c>
      <c r="CW82" t="s">
        <v>59</v>
      </c>
      <c r="CX82" t="s">
        <v>59</v>
      </c>
      <c r="CY82" t="s">
        <v>59</v>
      </c>
      <c r="CZ82" t="s">
        <v>59</v>
      </c>
      <c r="DA82" t="s">
        <v>59</v>
      </c>
      <c r="DB82" t="s">
        <v>59</v>
      </c>
      <c r="DC82" t="s">
        <v>59</v>
      </c>
      <c r="DD82" t="s">
        <v>59</v>
      </c>
      <c r="DE82" t="s">
        <v>59</v>
      </c>
      <c r="DF82" t="s">
        <v>59</v>
      </c>
      <c r="DG82" t="s">
        <v>59</v>
      </c>
      <c r="DH82" t="s">
        <v>59</v>
      </c>
      <c r="DI82" t="s">
        <v>59</v>
      </c>
      <c r="DJ82" t="s">
        <v>59</v>
      </c>
      <c r="DK82" t="s">
        <v>59</v>
      </c>
      <c r="DL82" t="s">
        <v>59</v>
      </c>
      <c r="DM82" t="s">
        <v>59</v>
      </c>
      <c r="DN82" t="s">
        <v>59</v>
      </c>
      <c r="DO82" t="s">
        <v>218</v>
      </c>
      <c r="DP82" t="s">
        <v>59</v>
      </c>
      <c r="DQ82" t="s">
        <v>59</v>
      </c>
      <c r="DR82" t="s">
        <v>59</v>
      </c>
      <c r="DS82" t="s">
        <v>59</v>
      </c>
      <c r="DT82" t="s">
        <v>59</v>
      </c>
      <c r="DU82" t="s">
        <v>59</v>
      </c>
      <c r="DV82" t="s">
        <v>59</v>
      </c>
      <c r="DW82" t="s">
        <v>59</v>
      </c>
      <c r="DX82" t="s">
        <v>59</v>
      </c>
      <c r="DY82" t="s">
        <v>59</v>
      </c>
      <c r="DZ82" t="s">
        <v>59</v>
      </c>
      <c r="EA82" t="s">
        <v>59</v>
      </c>
      <c r="EB82" t="s">
        <v>59</v>
      </c>
      <c r="EC82" t="s">
        <v>218</v>
      </c>
      <c r="ED82" t="s">
        <v>59</v>
      </c>
      <c r="EE82" t="s">
        <v>59</v>
      </c>
      <c r="EF82" t="s">
        <v>59</v>
      </c>
      <c r="EG82" t="s">
        <v>59</v>
      </c>
      <c r="EH82" t="s">
        <v>59</v>
      </c>
      <c r="EI82" t="s">
        <v>59</v>
      </c>
      <c r="EJ82" t="s">
        <v>59</v>
      </c>
      <c r="EK82" t="s">
        <v>59</v>
      </c>
      <c r="EL82" t="s">
        <v>59</v>
      </c>
      <c r="EM82" t="s">
        <v>59</v>
      </c>
      <c r="EN82" t="s">
        <v>59</v>
      </c>
      <c r="EO82" t="s">
        <v>59</v>
      </c>
      <c r="EP82" t="s">
        <v>59</v>
      </c>
      <c r="EQ82" t="s">
        <v>59</v>
      </c>
      <c r="ER82" t="s">
        <v>59</v>
      </c>
      <c r="ES82" t="s">
        <v>59</v>
      </c>
      <c r="ET82" t="s">
        <v>59</v>
      </c>
      <c r="EU82" t="s">
        <v>59</v>
      </c>
      <c r="EV82" t="s">
        <v>59</v>
      </c>
      <c r="EW82" t="s">
        <v>59</v>
      </c>
      <c r="EX82" t="s">
        <v>59</v>
      </c>
      <c r="EY82" t="s">
        <v>59</v>
      </c>
      <c r="EZ82" t="s">
        <v>59</v>
      </c>
      <c r="FA82" t="s">
        <v>59</v>
      </c>
      <c r="FB82" t="s">
        <v>59</v>
      </c>
      <c r="FC82" t="s">
        <v>59</v>
      </c>
      <c r="FD82" t="s">
        <v>59</v>
      </c>
      <c r="FE82" t="s">
        <v>59</v>
      </c>
      <c r="FF82" t="s">
        <v>59</v>
      </c>
      <c r="FG82" t="s">
        <v>59</v>
      </c>
      <c r="FH82" t="s">
        <v>59</v>
      </c>
      <c r="FI82" t="s">
        <v>59</v>
      </c>
      <c r="FJ82" t="s">
        <v>59</v>
      </c>
      <c r="FK82" t="s">
        <v>59</v>
      </c>
      <c r="FL82" t="s">
        <v>59</v>
      </c>
      <c r="FM82" t="s">
        <v>59</v>
      </c>
      <c r="FN82" t="s">
        <v>59</v>
      </c>
      <c r="FO82" t="s">
        <v>59</v>
      </c>
      <c r="FP82" t="s">
        <v>59</v>
      </c>
      <c r="FQ82" t="s">
        <v>59</v>
      </c>
      <c r="FR82" t="s">
        <v>59</v>
      </c>
      <c r="FS82" t="s">
        <v>59</v>
      </c>
      <c r="FT82" t="s">
        <v>59</v>
      </c>
      <c r="FU82" t="s">
        <v>59</v>
      </c>
      <c r="FV82" t="s">
        <v>59</v>
      </c>
      <c r="FW82" t="s">
        <v>59</v>
      </c>
      <c r="FX82" t="s">
        <v>59</v>
      </c>
      <c r="FY82" t="s">
        <v>59</v>
      </c>
      <c r="FZ82" t="s">
        <v>59</v>
      </c>
      <c r="GA82" t="s">
        <v>59</v>
      </c>
      <c r="GB82" t="s">
        <v>59</v>
      </c>
      <c r="GC82" t="s">
        <v>59</v>
      </c>
      <c r="GD82" t="s">
        <v>59</v>
      </c>
      <c r="GE82" t="s">
        <v>59</v>
      </c>
      <c r="GF82" t="s">
        <v>59</v>
      </c>
      <c r="GG82" t="s">
        <v>59</v>
      </c>
      <c r="GH82" t="s">
        <v>59</v>
      </c>
      <c r="GI82" t="s">
        <v>59</v>
      </c>
      <c r="GJ82" t="s">
        <v>59</v>
      </c>
      <c r="GK82" t="s">
        <v>218</v>
      </c>
      <c r="GL82" t="s">
        <v>59</v>
      </c>
      <c r="GM82" t="s">
        <v>59</v>
      </c>
      <c r="GN82" t="s">
        <v>59</v>
      </c>
      <c r="GO82" t="s">
        <v>59</v>
      </c>
      <c r="GP82" t="s">
        <v>59</v>
      </c>
      <c r="GQ82" t="s">
        <v>218</v>
      </c>
      <c r="GR82" t="s">
        <v>59</v>
      </c>
      <c r="GS82" t="s">
        <v>59</v>
      </c>
      <c r="GT82" t="s">
        <v>218</v>
      </c>
      <c r="GU82" t="s">
        <v>59</v>
      </c>
      <c r="GV82" t="s">
        <v>59</v>
      </c>
      <c r="GW82" t="s">
        <v>59</v>
      </c>
      <c r="GX82" t="s">
        <v>59</v>
      </c>
      <c r="GY82" t="s">
        <v>59</v>
      </c>
      <c r="GZ82" t="s">
        <v>59</v>
      </c>
      <c r="HA82" t="s">
        <v>59</v>
      </c>
      <c r="HB82" t="s">
        <v>59</v>
      </c>
      <c r="HC82" t="s">
        <v>59</v>
      </c>
      <c r="HD82" t="s">
        <v>59</v>
      </c>
      <c r="HE82" t="s">
        <v>59</v>
      </c>
      <c r="HF82" t="s">
        <v>59</v>
      </c>
      <c r="HG82" t="s">
        <v>59</v>
      </c>
      <c r="HH82" t="s">
        <v>59</v>
      </c>
      <c r="HI82" t="s">
        <v>59</v>
      </c>
      <c r="HJ82" t="s">
        <v>59</v>
      </c>
      <c r="HK82" t="s">
        <v>59</v>
      </c>
      <c r="HL82" t="s">
        <v>218</v>
      </c>
      <c r="HM82" t="s">
        <v>218</v>
      </c>
      <c r="HN82" t="s">
        <v>218</v>
      </c>
      <c r="HO82" t="s">
        <v>218</v>
      </c>
      <c r="HP82" t="s">
        <v>59</v>
      </c>
      <c r="HQ82" t="s">
        <v>59</v>
      </c>
      <c r="HR82" t="s">
        <v>59</v>
      </c>
      <c r="HS82" t="s">
        <v>59</v>
      </c>
      <c r="HT82" t="s">
        <v>59</v>
      </c>
      <c r="HU82" t="s">
        <v>59</v>
      </c>
      <c r="HV82" t="s">
        <v>59</v>
      </c>
      <c r="HW82" t="s">
        <v>59</v>
      </c>
      <c r="HX82" t="s">
        <v>59</v>
      </c>
      <c r="HY82" t="s">
        <v>59</v>
      </c>
      <c r="HZ82" t="s">
        <v>59</v>
      </c>
      <c r="IA82" t="s">
        <v>59</v>
      </c>
      <c r="IB82" t="s">
        <v>59</v>
      </c>
      <c r="IC82" t="s">
        <v>59</v>
      </c>
      <c r="ID82" t="s">
        <v>59</v>
      </c>
      <c r="IE82" t="s">
        <v>59</v>
      </c>
      <c r="IF82" t="s">
        <v>60</v>
      </c>
      <c r="IG82" t="s">
        <v>60</v>
      </c>
      <c r="IH82" t="s">
        <v>60</v>
      </c>
      <c r="II82" t="s">
        <v>60</v>
      </c>
      <c r="IJ82" t="s">
        <v>129</v>
      </c>
      <c r="IK82" t="s">
        <v>191</v>
      </c>
      <c r="IL82" t="s">
        <v>128</v>
      </c>
      <c r="IM82" t="s">
        <v>199</v>
      </c>
      <c r="IN82">
        <v>18</v>
      </c>
      <c r="IO82" t="s">
        <v>2730</v>
      </c>
      <c r="IP82" t="s">
        <v>2730</v>
      </c>
      <c r="IQ82">
        <v>13</v>
      </c>
      <c r="IR82">
        <v>15</v>
      </c>
      <c r="IS82" t="s">
        <v>2730</v>
      </c>
      <c r="IT82" t="s">
        <v>2730</v>
      </c>
      <c r="IU82" t="s">
        <v>2730</v>
      </c>
      <c r="IV82">
        <v>13</v>
      </c>
      <c r="IW82" t="s">
        <v>2730</v>
      </c>
      <c r="IX82" t="s">
        <v>2730</v>
      </c>
      <c r="IY82">
        <v>3</v>
      </c>
      <c r="IZ82">
        <v>57</v>
      </c>
      <c r="JA82" t="s">
        <v>2730</v>
      </c>
      <c r="JB82" t="s">
        <v>2730</v>
      </c>
      <c r="JC82" t="s">
        <v>2730</v>
      </c>
      <c r="JD82">
        <v>25</v>
      </c>
      <c r="JE82" t="s">
        <v>2730</v>
      </c>
      <c r="JF82" t="s">
        <v>2730</v>
      </c>
      <c r="JG82" t="s">
        <v>2730</v>
      </c>
      <c r="JH82">
        <v>24</v>
      </c>
      <c r="JI82" t="s">
        <v>2730</v>
      </c>
      <c r="JJ82" t="s">
        <v>2730</v>
      </c>
      <c r="JK82" t="s">
        <v>2730</v>
      </c>
      <c r="JL82">
        <v>16</v>
      </c>
      <c r="JM82" t="s">
        <v>2730</v>
      </c>
      <c r="JN82" t="s">
        <v>2730</v>
      </c>
      <c r="JO82" t="s">
        <v>2730</v>
      </c>
      <c r="JP82" t="s">
        <v>2730</v>
      </c>
      <c r="JQ82">
        <v>4</v>
      </c>
    </row>
    <row r="83" spans="1:277">
      <c r="A83" s="149" t="str">
        <f>HYPERLINK("http://www.ofsted.gov.uk/inspection-reports/find-inspection-report/provider/ELS/138408 ","Ofsted School Webpage")</f>
        <v>Ofsted School Webpage</v>
      </c>
      <c r="B83">
        <v>1132421</v>
      </c>
      <c r="C83">
        <v>138408</v>
      </c>
      <c r="D83">
        <v>8866139</v>
      </c>
      <c r="E83" t="s">
        <v>256</v>
      </c>
      <c r="F83" t="s">
        <v>38</v>
      </c>
      <c r="G83" t="s">
        <v>180</v>
      </c>
      <c r="H83" t="s">
        <v>181</v>
      </c>
      <c r="I83" t="s">
        <v>181</v>
      </c>
      <c r="J83" t="s">
        <v>182</v>
      </c>
      <c r="K83" t="s">
        <v>257</v>
      </c>
      <c r="L83" t="s">
        <v>184</v>
      </c>
      <c r="M83" t="s">
        <v>185</v>
      </c>
      <c r="N83" t="s">
        <v>184</v>
      </c>
      <c r="O83" t="s">
        <v>2730</v>
      </c>
      <c r="P83" t="s">
        <v>186</v>
      </c>
      <c r="Q83">
        <v>10012918</v>
      </c>
      <c r="R83" s="120">
        <v>43046</v>
      </c>
      <c r="S83" s="120">
        <v>43048</v>
      </c>
      <c r="T83" s="120">
        <v>43068</v>
      </c>
      <c r="U83" t="s">
        <v>2730</v>
      </c>
      <c r="V83" t="s">
        <v>196</v>
      </c>
      <c r="W83" t="s">
        <v>2730</v>
      </c>
      <c r="X83" t="s">
        <v>197</v>
      </c>
      <c r="Y83">
        <v>3</v>
      </c>
      <c r="Z83">
        <v>3</v>
      </c>
      <c r="AA83">
        <v>2</v>
      </c>
      <c r="AB83">
        <v>3</v>
      </c>
      <c r="AC83">
        <v>3</v>
      </c>
      <c r="AD83" t="s">
        <v>2730</v>
      </c>
      <c r="AE83">
        <v>3</v>
      </c>
      <c r="AF83" t="s">
        <v>128</v>
      </c>
      <c r="AG83" t="s">
        <v>2730</v>
      </c>
      <c r="AH83" t="s">
        <v>2732</v>
      </c>
      <c r="AI83" t="s">
        <v>59</v>
      </c>
      <c r="AJ83" t="s">
        <v>59</v>
      </c>
      <c r="AK83" t="s">
        <v>59</v>
      </c>
      <c r="AL83" t="s">
        <v>59</v>
      </c>
      <c r="AM83" t="s">
        <v>59</v>
      </c>
      <c r="AN83" t="s">
        <v>59</v>
      </c>
      <c r="AO83" t="s">
        <v>59</v>
      </c>
      <c r="AP83" t="s">
        <v>59</v>
      </c>
      <c r="AQ83" t="s">
        <v>59</v>
      </c>
      <c r="AR83" t="s">
        <v>59</v>
      </c>
      <c r="AS83" t="s">
        <v>59</v>
      </c>
      <c r="AT83" t="s">
        <v>59</v>
      </c>
      <c r="AU83" t="s">
        <v>59</v>
      </c>
      <c r="AV83" t="s">
        <v>59</v>
      </c>
      <c r="AW83" t="s">
        <v>59</v>
      </c>
      <c r="AX83" t="s">
        <v>59</v>
      </c>
      <c r="AY83" t="s">
        <v>191</v>
      </c>
      <c r="AZ83" t="s">
        <v>59</v>
      </c>
      <c r="BA83" t="s">
        <v>59</v>
      </c>
      <c r="BB83" t="s">
        <v>59</v>
      </c>
      <c r="BC83" t="s">
        <v>59</v>
      </c>
      <c r="BD83" t="s">
        <v>59</v>
      </c>
      <c r="BE83" t="s">
        <v>59</v>
      </c>
      <c r="BF83" t="s">
        <v>59</v>
      </c>
      <c r="BG83" t="s">
        <v>191</v>
      </c>
      <c r="BH83" t="s">
        <v>59</v>
      </c>
      <c r="BI83" t="s">
        <v>59</v>
      </c>
      <c r="BJ83" t="s">
        <v>59</v>
      </c>
      <c r="BK83" t="s">
        <v>59</v>
      </c>
      <c r="BL83" t="s">
        <v>59</v>
      </c>
      <c r="BM83" t="s">
        <v>59</v>
      </c>
      <c r="BN83" t="s">
        <v>59</v>
      </c>
      <c r="BO83" t="s">
        <v>59</v>
      </c>
      <c r="BP83" t="s">
        <v>59</v>
      </c>
      <c r="BQ83" t="s">
        <v>59</v>
      </c>
      <c r="BR83" t="s">
        <v>59</v>
      </c>
      <c r="BS83" t="s">
        <v>59</v>
      </c>
      <c r="BT83" t="s">
        <v>59</v>
      </c>
      <c r="BU83" t="s">
        <v>59</v>
      </c>
      <c r="BV83" t="s">
        <v>59</v>
      </c>
      <c r="BW83" t="s">
        <v>59</v>
      </c>
      <c r="BX83" t="s">
        <v>59</v>
      </c>
      <c r="BY83" t="s">
        <v>59</v>
      </c>
      <c r="BZ83" t="s">
        <v>59</v>
      </c>
      <c r="CA83" t="s">
        <v>59</v>
      </c>
      <c r="CB83" t="s">
        <v>59</v>
      </c>
      <c r="CC83" t="s">
        <v>59</v>
      </c>
      <c r="CD83" t="s">
        <v>59</v>
      </c>
      <c r="CE83" t="s">
        <v>59</v>
      </c>
      <c r="CF83" t="s">
        <v>59</v>
      </c>
      <c r="CG83" t="s">
        <v>59</v>
      </c>
      <c r="CH83" t="s">
        <v>59</v>
      </c>
      <c r="CI83" t="s">
        <v>59</v>
      </c>
      <c r="CJ83" t="s">
        <v>59</v>
      </c>
      <c r="CK83" t="s">
        <v>59</v>
      </c>
      <c r="CL83" t="s">
        <v>59</v>
      </c>
      <c r="CM83" t="s">
        <v>59</v>
      </c>
      <c r="CN83" t="s">
        <v>59</v>
      </c>
      <c r="CO83" t="s">
        <v>191</v>
      </c>
      <c r="CP83" t="s">
        <v>191</v>
      </c>
      <c r="CQ83" t="s">
        <v>191</v>
      </c>
      <c r="CR83" t="s">
        <v>59</v>
      </c>
      <c r="CS83" t="s">
        <v>59</v>
      </c>
      <c r="CT83" t="s">
        <v>59</v>
      </c>
      <c r="CU83" t="s">
        <v>59</v>
      </c>
      <c r="CV83" t="s">
        <v>59</v>
      </c>
      <c r="CW83" t="s">
        <v>59</v>
      </c>
      <c r="CX83" t="s">
        <v>59</v>
      </c>
      <c r="CY83" t="s">
        <v>59</v>
      </c>
      <c r="CZ83" t="s">
        <v>59</v>
      </c>
      <c r="DA83" t="s">
        <v>59</v>
      </c>
      <c r="DB83" t="s">
        <v>59</v>
      </c>
      <c r="DC83" t="s">
        <v>59</v>
      </c>
      <c r="DD83" t="s">
        <v>59</v>
      </c>
      <c r="DE83" t="s">
        <v>59</v>
      </c>
      <c r="DF83" t="s">
        <v>59</v>
      </c>
      <c r="DG83" t="s">
        <v>59</v>
      </c>
      <c r="DH83" t="s">
        <v>59</v>
      </c>
      <c r="DI83" t="s">
        <v>59</v>
      </c>
      <c r="DJ83" t="s">
        <v>59</v>
      </c>
      <c r="DK83" t="s">
        <v>59</v>
      </c>
      <c r="DL83" t="s">
        <v>59</v>
      </c>
      <c r="DM83" t="s">
        <v>59</v>
      </c>
      <c r="DN83" t="s">
        <v>59</v>
      </c>
      <c r="DO83" t="s">
        <v>59</v>
      </c>
      <c r="DP83" t="s">
        <v>59</v>
      </c>
      <c r="DQ83" t="s">
        <v>59</v>
      </c>
      <c r="DR83" t="s">
        <v>59</v>
      </c>
      <c r="DS83" t="s">
        <v>59</v>
      </c>
      <c r="DT83" t="s">
        <v>59</v>
      </c>
      <c r="DU83" t="s">
        <v>59</v>
      </c>
      <c r="DV83" t="s">
        <v>59</v>
      </c>
      <c r="DW83" t="s">
        <v>59</v>
      </c>
      <c r="DX83" t="s">
        <v>59</v>
      </c>
      <c r="DY83" t="s">
        <v>59</v>
      </c>
      <c r="DZ83" t="s">
        <v>59</v>
      </c>
      <c r="EA83" t="s">
        <v>59</v>
      </c>
      <c r="EB83" t="s">
        <v>59</v>
      </c>
      <c r="EC83" t="s">
        <v>59</v>
      </c>
      <c r="ED83" t="s">
        <v>59</v>
      </c>
      <c r="EE83" t="s">
        <v>59</v>
      </c>
      <c r="EF83" t="s">
        <v>59</v>
      </c>
      <c r="EG83" t="s">
        <v>59</v>
      </c>
      <c r="EH83" t="s">
        <v>59</v>
      </c>
      <c r="EI83" t="s">
        <v>59</v>
      </c>
      <c r="EJ83" t="s">
        <v>59</v>
      </c>
      <c r="EK83" t="s">
        <v>59</v>
      </c>
      <c r="EL83" t="s">
        <v>59</v>
      </c>
      <c r="EM83" t="s">
        <v>59</v>
      </c>
      <c r="EN83" t="s">
        <v>59</v>
      </c>
      <c r="EO83" t="s">
        <v>59</v>
      </c>
      <c r="EP83" t="s">
        <v>59</v>
      </c>
      <c r="EQ83" t="s">
        <v>59</v>
      </c>
      <c r="ER83" t="s">
        <v>59</v>
      </c>
      <c r="ES83" t="s">
        <v>59</v>
      </c>
      <c r="ET83" t="s">
        <v>59</v>
      </c>
      <c r="EU83" t="s">
        <v>59</v>
      </c>
      <c r="EV83" t="s">
        <v>59</v>
      </c>
      <c r="EW83" t="s">
        <v>59</v>
      </c>
      <c r="EX83" t="s">
        <v>59</v>
      </c>
      <c r="EY83" t="s">
        <v>59</v>
      </c>
      <c r="EZ83" t="s">
        <v>59</v>
      </c>
      <c r="FA83" t="s">
        <v>59</v>
      </c>
      <c r="FB83" t="s">
        <v>59</v>
      </c>
      <c r="FC83" t="s">
        <v>59</v>
      </c>
      <c r="FD83" t="s">
        <v>59</v>
      </c>
      <c r="FE83" t="s">
        <v>59</v>
      </c>
      <c r="FF83" t="s">
        <v>59</v>
      </c>
      <c r="FG83" t="s">
        <v>59</v>
      </c>
      <c r="FH83" t="s">
        <v>59</v>
      </c>
      <c r="FI83" t="s">
        <v>59</v>
      </c>
      <c r="FJ83" t="s">
        <v>59</v>
      </c>
      <c r="FK83" t="s">
        <v>59</v>
      </c>
      <c r="FL83" t="s">
        <v>59</v>
      </c>
      <c r="FM83" t="s">
        <v>59</v>
      </c>
      <c r="FN83" t="s">
        <v>59</v>
      </c>
      <c r="FO83" t="s">
        <v>59</v>
      </c>
      <c r="FP83" t="s">
        <v>59</v>
      </c>
      <c r="FQ83" t="s">
        <v>59</v>
      </c>
      <c r="FR83" t="s">
        <v>59</v>
      </c>
      <c r="FS83" t="s">
        <v>59</v>
      </c>
      <c r="FT83" t="s">
        <v>59</v>
      </c>
      <c r="FU83" t="s">
        <v>59</v>
      </c>
      <c r="FV83" t="s">
        <v>59</v>
      </c>
      <c r="FW83" t="s">
        <v>59</v>
      </c>
      <c r="FX83" t="s">
        <v>59</v>
      </c>
      <c r="FY83" t="s">
        <v>59</v>
      </c>
      <c r="FZ83" t="s">
        <v>59</v>
      </c>
      <c r="GA83" t="s">
        <v>59</v>
      </c>
      <c r="GB83" t="s">
        <v>59</v>
      </c>
      <c r="GC83" t="s">
        <v>59</v>
      </c>
      <c r="GD83" t="s">
        <v>59</v>
      </c>
      <c r="GE83" t="s">
        <v>59</v>
      </c>
      <c r="GF83" t="s">
        <v>59</v>
      </c>
      <c r="GG83" t="s">
        <v>59</v>
      </c>
      <c r="GH83" t="s">
        <v>59</v>
      </c>
      <c r="GI83" t="s">
        <v>59</v>
      </c>
      <c r="GJ83" t="s">
        <v>59</v>
      </c>
      <c r="GK83" t="s">
        <v>191</v>
      </c>
      <c r="GL83" t="s">
        <v>59</v>
      </c>
      <c r="GM83" t="s">
        <v>59</v>
      </c>
      <c r="GN83" t="s">
        <v>59</v>
      </c>
      <c r="GO83" t="s">
        <v>59</v>
      </c>
      <c r="GP83" t="s">
        <v>59</v>
      </c>
      <c r="GQ83" t="s">
        <v>59</v>
      </c>
      <c r="GR83" t="s">
        <v>59</v>
      </c>
      <c r="GS83" t="s">
        <v>59</v>
      </c>
      <c r="GT83" t="s">
        <v>59</v>
      </c>
      <c r="GU83" t="s">
        <v>59</v>
      </c>
      <c r="GV83" t="s">
        <v>59</v>
      </c>
      <c r="GW83" t="s">
        <v>59</v>
      </c>
      <c r="GX83" t="s">
        <v>59</v>
      </c>
      <c r="GY83" t="s">
        <v>59</v>
      </c>
      <c r="GZ83" t="s">
        <v>59</v>
      </c>
      <c r="HA83" t="s">
        <v>191</v>
      </c>
      <c r="HB83" t="s">
        <v>59</v>
      </c>
      <c r="HC83" t="s">
        <v>59</v>
      </c>
      <c r="HD83" t="s">
        <v>59</v>
      </c>
      <c r="HE83" t="s">
        <v>59</v>
      </c>
      <c r="HF83" t="s">
        <v>59</v>
      </c>
      <c r="HG83" t="s">
        <v>59</v>
      </c>
      <c r="HH83" t="s">
        <v>59</v>
      </c>
      <c r="HI83" t="s">
        <v>59</v>
      </c>
      <c r="HJ83" t="s">
        <v>59</v>
      </c>
      <c r="HK83" t="s">
        <v>59</v>
      </c>
      <c r="HL83" t="s">
        <v>59</v>
      </c>
      <c r="HM83" t="s">
        <v>59</v>
      </c>
      <c r="HN83" t="s">
        <v>59</v>
      </c>
      <c r="HO83" t="s">
        <v>59</v>
      </c>
      <c r="HP83" t="s">
        <v>59</v>
      </c>
      <c r="HQ83" t="s">
        <v>59</v>
      </c>
      <c r="HR83" t="s">
        <v>59</v>
      </c>
      <c r="HS83" t="s">
        <v>59</v>
      </c>
      <c r="HT83" t="s">
        <v>59</v>
      </c>
      <c r="HU83" t="s">
        <v>59</v>
      </c>
      <c r="HV83" t="s">
        <v>59</v>
      </c>
      <c r="HW83" t="s">
        <v>59</v>
      </c>
      <c r="HX83" t="s">
        <v>59</v>
      </c>
      <c r="HY83" t="s">
        <v>59</v>
      </c>
      <c r="HZ83" t="s">
        <v>59</v>
      </c>
      <c r="IA83" t="s">
        <v>59</v>
      </c>
      <c r="IB83" t="s">
        <v>59</v>
      </c>
      <c r="IC83" t="s">
        <v>59</v>
      </c>
      <c r="ID83" t="s">
        <v>59</v>
      </c>
      <c r="IE83" t="s">
        <v>59</v>
      </c>
      <c r="IF83" t="s">
        <v>59</v>
      </c>
      <c r="IG83" t="s">
        <v>59</v>
      </c>
      <c r="IH83" t="s">
        <v>59</v>
      </c>
      <c r="II83" t="s">
        <v>59</v>
      </c>
      <c r="IJ83" t="s">
        <v>128</v>
      </c>
      <c r="IK83" t="s">
        <v>128</v>
      </c>
      <c r="IL83" t="s">
        <v>128</v>
      </c>
      <c r="IM83" t="s">
        <v>199</v>
      </c>
      <c r="IN83">
        <v>30</v>
      </c>
      <c r="IO83" t="s">
        <v>2730</v>
      </c>
      <c r="IP83">
        <v>2</v>
      </c>
      <c r="IQ83" t="s">
        <v>2730</v>
      </c>
      <c r="IR83">
        <v>15</v>
      </c>
      <c r="IS83" t="s">
        <v>2730</v>
      </c>
      <c r="IT83" t="s">
        <v>2730</v>
      </c>
      <c r="IU83" t="s">
        <v>2730</v>
      </c>
      <c r="IV83">
        <v>16</v>
      </c>
      <c r="IW83" t="s">
        <v>2730</v>
      </c>
      <c r="IX83">
        <v>3</v>
      </c>
      <c r="IY83" t="s">
        <v>2730</v>
      </c>
      <c r="IZ83">
        <v>59</v>
      </c>
      <c r="JA83" t="s">
        <v>2730</v>
      </c>
      <c r="JB83" t="s">
        <v>2730</v>
      </c>
      <c r="JC83" t="s">
        <v>2730</v>
      </c>
      <c r="JD83">
        <v>25</v>
      </c>
      <c r="JE83" t="s">
        <v>2730</v>
      </c>
      <c r="JF83">
        <v>1</v>
      </c>
      <c r="JG83" t="s">
        <v>2730</v>
      </c>
      <c r="JH83">
        <v>29</v>
      </c>
      <c r="JI83" t="s">
        <v>2730</v>
      </c>
      <c r="JJ83">
        <v>1</v>
      </c>
      <c r="JK83" t="s">
        <v>2730</v>
      </c>
      <c r="JL83">
        <v>16</v>
      </c>
      <c r="JM83" t="s">
        <v>2730</v>
      </c>
      <c r="JN83" t="s">
        <v>2730</v>
      </c>
      <c r="JO83">
        <v>4</v>
      </c>
      <c r="JP83" t="s">
        <v>2730</v>
      </c>
      <c r="JQ83" t="s">
        <v>2730</v>
      </c>
    </row>
    <row r="84" spans="1:277">
      <c r="A84" s="149" t="str">
        <f>HYPERLINK("http://www.ofsted.gov.uk/inspection-reports/find-inspection-report/provider/ELS/101484 ","Ofsted School Webpage")</f>
        <v>Ofsted School Webpage</v>
      </c>
      <c r="B84">
        <v>1133028</v>
      </c>
      <c r="C84">
        <v>101484</v>
      </c>
      <c r="D84">
        <v>3036060</v>
      </c>
      <c r="E84" t="s">
        <v>1699</v>
      </c>
      <c r="F84" t="s">
        <v>37</v>
      </c>
      <c r="G84" t="s">
        <v>209</v>
      </c>
      <c r="H84" t="s">
        <v>232</v>
      </c>
      <c r="I84" t="s">
        <v>232</v>
      </c>
      <c r="J84" t="s">
        <v>1055</v>
      </c>
      <c r="K84" t="s">
        <v>1700</v>
      </c>
      <c r="L84" t="s">
        <v>184</v>
      </c>
      <c r="M84" t="s">
        <v>185</v>
      </c>
      <c r="N84" t="s">
        <v>184</v>
      </c>
      <c r="O84" t="s">
        <v>2730</v>
      </c>
      <c r="P84" t="s">
        <v>186</v>
      </c>
      <c r="Q84">
        <v>10008542</v>
      </c>
      <c r="R84" s="120">
        <v>43046</v>
      </c>
      <c r="S84" s="120">
        <v>43048</v>
      </c>
      <c r="T84" s="120">
        <v>43087</v>
      </c>
      <c r="U84" t="s">
        <v>2730</v>
      </c>
      <c r="V84" t="s">
        <v>196</v>
      </c>
      <c r="W84" t="s">
        <v>2730</v>
      </c>
      <c r="X84" t="s">
        <v>197</v>
      </c>
      <c r="Y84">
        <v>2</v>
      </c>
      <c r="Z84">
        <v>2</v>
      </c>
      <c r="AA84">
        <v>2</v>
      </c>
      <c r="AB84">
        <v>2</v>
      </c>
      <c r="AC84">
        <v>2</v>
      </c>
      <c r="AD84">
        <v>2</v>
      </c>
      <c r="AE84" t="s">
        <v>2730</v>
      </c>
      <c r="AF84" t="s">
        <v>128</v>
      </c>
      <c r="AG84" t="s">
        <v>2730</v>
      </c>
      <c r="AH84" t="s">
        <v>2732</v>
      </c>
      <c r="AI84" t="s">
        <v>59</v>
      </c>
      <c r="AJ84" t="s">
        <v>59</v>
      </c>
      <c r="AK84" t="s">
        <v>59</v>
      </c>
      <c r="AL84" t="s">
        <v>59</v>
      </c>
      <c r="AM84" t="s">
        <v>59</v>
      </c>
      <c r="AN84" t="s">
        <v>59</v>
      </c>
      <c r="AO84" t="s">
        <v>59</v>
      </c>
      <c r="AP84" t="s">
        <v>59</v>
      </c>
      <c r="AQ84" t="s">
        <v>59</v>
      </c>
      <c r="AR84" t="s">
        <v>59</v>
      </c>
      <c r="AS84" t="s">
        <v>59</v>
      </c>
      <c r="AT84" t="s">
        <v>59</v>
      </c>
      <c r="AU84" t="s">
        <v>59</v>
      </c>
      <c r="AV84" t="s">
        <v>59</v>
      </c>
      <c r="AW84" t="s">
        <v>59</v>
      </c>
      <c r="AX84" t="s">
        <v>59</v>
      </c>
      <c r="AY84" t="s">
        <v>191</v>
      </c>
      <c r="AZ84" t="s">
        <v>59</v>
      </c>
      <c r="BA84" t="s">
        <v>59</v>
      </c>
      <c r="BB84" t="s">
        <v>59</v>
      </c>
      <c r="BC84" t="s">
        <v>191</v>
      </c>
      <c r="BD84" t="s">
        <v>191</v>
      </c>
      <c r="BE84" t="s">
        <v>191</v>
      </c>
      <c r="BF84" t="s">
        <v>191</v>
      </c>
      <c r="BG84" t="s">
        <v>59</v>
      </c>
      <c r="BH84" t="s">
        <v>191</v>
      </c>
      <c r="BI84" t="s">
        <v>59</v>
      </c>
      <c r="BJ84" t="s">
        <v>59</v>
      </c>
      <c r="BK84" t="s">
        <v>59</v>
      </c>
      <c r="BL84" t="s">
        <v>59</v>
      </c>
      <c r="BM84" t="s">
        <v>59</v>
      </c>
      <c r="BN84" t="s">
        <v>59</v>
      </c>
      <c r="BO84" t="s">
        <v>59</v>
      </c>
      <c r="BP84" t="s">
        <v>59</v>
      </c>
      <c r="BQ84" t="s">
        <v>59</v>
      </c>
      <c r="BR84" t="s">
        <v>59</v>
      </c>
      <c r="BS84" t="s">
        <v>59</v>
      </c>
      <c r="BT84" t="s">
        <v>59</v>
      </c>
      <c r="BU84" t="s">
        <v>59</v>
      </c>
      <c r="BV84" t="s">
        <v>59</v>
      </c>
      <c r="BW84" t="s">
        <v>59</v>
      </c>
      <c r="BX84" t="s">
        <v>59</v>
      </c>
      <c r="BY84" t="s">
        <v>59</v>
      </c>
      <c r="BZ84" t="s">
        <v>59</v>
      </c>
      <c r="CA84" t="s">
        <v>59</v>
      </c>
      <c r="CB84" t="s">
        <v>59</v>
      </c>
      <c r="CC84" t="s">
        <v>59</v>
      </c>
      <c r="CD84" t="s">
        <v>59</v>
      </c>
      <c r="CE84" t="s">
        <v>59</v>
      </c>
      <c r="CF84" t="s">
        <v>59</v>
      </c>
      <c r="CG84" t="s">
        <v>59</v>
      </c>
      <c r="CH84" t="s">
        <v>59</v>
      </c>
      <c r="CI84" t="s">
        <v>59</v>
      </c>
      <c r="CJ84" t="s">
        <v>59</v>
      </c>
      <c r="CK84" t="s">
        <v>59</v>
      </c>
      <c r="CL84" t="s">
        <v>59</v>
      </c>
      <c r="CM84" t="s">
        <v>59</v>
      </c>
      <c r="CN84" t="s">
        <v>59</v>
      </c>
      <c r="CO84" t="s">
        <v>191</v>
      </c>
      <c r="CP84" t="s">
        <v>191</v>
      </c>
      <c r="CQ84" t="s">
        <v>191</v>
      </c>
      <c r="CR84" t="s">
        <v>59</v>
      </c>
      <c r="CS84" t="s">
        <v>59</v>
      </c>
      <c r="CT84" t="s">
        <v>59</v>
      </c>
      <c r="CU84" t="s">
        <v>59</v>
      </c>
      <c r="CV84" t="s">
        <v>59</v>
      </c>
      <c r="CW84" t="s">
        <v>59</v>
      </c>
      <c r="CX84" t="s">
        <v>59</v>
      </c>
      <c r="CY84" t="s">
        <v>59</v>
      </c>
      <c r="CZ84" t="s">
        <v>59</v>
      </c>
      <c r="DA84" t="s">
        <v>59</v>
      </c>
      <c r="DB84" t="s">
        <v>59</v>
      </c>
      <c r="DC84" t="s">
        <v>59</v>
      </c>
      <c r="DD84" t="s">
        <v>59</v>
      </c>
      <c r="DE84" t="s">
        <v>59</v>
      </c>
      <c r="DF84" t="s">
        <v>59</v>
      </c>
      <c r="DG84" t="s">
        <v>59</v>
      </c>
      <c r="DH84" t="s">
        <v>59</v>
      </c>
      <c r="DI84" t="s">
        <v>59</v>
      </c>
      <c r="DJ84" t="s">
        <v>59</v>
      </c>
      <c r="DK84" t="s">
        <v>59</v>
      </c>
      <c r="DL84" t="s">
        <v>59</v>
      </c>
      <c r="DM84" t="s">
        <v>59</v>
      </c>
      <c r="DN84" t="s">
        <v>59</v>
      </c>
      <c r="DO84" t="s">
        <v>191</v>
      </c>
      <c r="DP84" t="s">
        <v>59</v>
      </c>
      <c r="DQ84" t="s">
        <v>59</v>
      </c>
      <c r="DR84" t="s">
        <v>59</v>
      </c>
      <c r="DS84" t="s">
        <v>59</v>
      </c>
      <c r="DT84" t="s">
        <v>59</v>
      </c>
      <c r="DU84" t="s">
        <v>59</v>
      </c>
      <c r="DV84" t="s">
        <v>59</v>
      </c>
      <c r="DW84" t="s">
        <v>59</v>
      </c>
      <c r="DX84" t="s">
        <v>59</v>
      </c>
      <c r="DY84" t="s">
        <v>59</v>
      </c>
      <c r="DZ84" t="s">
        <v>59</v>
      </c>
      <c r="EA84" t="s">
        <v>59</v>
      </c>
      <c r="EB84" t="s">
        <v>59</v>
      </c>
      <c r="EC84" t="s">
        <v>191</v>
      </c>
      <c r="ED84" t="s">
        <v>59</v>
      </c>
      <c r="EE84" t="s">
        <v>59</v>
      </c>
      <c r="EF84" t="s">
        <v>59</v>
      </c>
      <c r="EG84" t="s">
        <v>59</v>
      </c>
      <c r="EH84" t="s">
        <v>59</v>
      </c>
      <c r="EI84" t="s">
        <v>59</v>
      </c>
      <c r="EJ84" t="s">
        <v>59</v>
      </c>
      <c r="EK84" t="s">
        <v>59</v>
      </c>
      <c r="EL84" t="s">
        <v>59</v>
      </c>
      <c r="EM84" t="s">
        <v>59</v>
      </c>
      <c r="EN84" t="s">
        <v>59</v>
      </c>
      <c r="EO84" t="s">
        <v>59</v>
      </c>
      <c r="EP84" t="s">
        <v>59</v>
      </c>
      <c r="EQ84" t="s">
        <v>59</v>
      </c>
      <c r="ER84" t="s">
        <v>59</v>
      </c>
      <c r="ES84" t="s">
        <v>59</v>
      </c>
      <c r="ET84" t="s">
        <v>59</v>
      </c>
      <c r="EU84" t="s">
        <v>59</v>
      </c>
      <c r="EV84" t="s">
        <v>59</v>
      </c>
      <c r="EW84" t="s">
        <v>59</v>
      </c>
      <c r="EX84" t="s">
        <v>59</v>
      </c>
      <c r="EY84" t="s">
        <v>59</v>
      </c>
      <c r="EZ84" t="s">
        <v>59</v>
      </c>
      <c r="FA84" t="s">
        <v>59</v>
      </c>
      <c r="FB84" t="s">
        <v>59</v>
      </c>
      <c r="FC84" t="s">
        <v>59</v>
      </c>
      <c r="FD84" t="s">
        <v>59</v>
      </c>
      <c r="FE84" t="s">
        <v>59</v>
      </c>
      <c r="FF84" t="s">
        <v>59</v>
      </c>
      <c r="FG84" t="s">
        <v>59</v>
      </c>
      <c r="FH84" t="s">
        <v>59</v>
      </c>
      <c r="FI84" t="s">
        <v>59</v>
      </c>
      <c r="FJ84" t="s">
        <v>59</v>
      </c>
      <c r="FK84" t="s">
        <v>59</v>
      </c>
      <c r="FL84" t="s">
        <v>59</v>
      </c>
      <c r="FM84" t="s">
        <v>59</v>
      </c>
      <c r="FN84" t="s">
        <v>59</v>
      </c>
      <c r="FO84" t="s">
        <v>191</v>
      </c>
      <c r="FP84" t="s">
        <v>59</v>
      </c>
      <c r="FQ84" t="s">
        <v>59</v>
      </c>
      <c r="FR84" t="s">
        <v>59</v>
      </c>
      <c r="FS84" t="s">
        <v>59</v>
      </c>
      <c r="FT84" t="s">
        <v>59</v>
      </c>
      <c r="FU84" t="s">
        <v>59</v>
      </c>
      <c r="FV84" t="s">
        <v>59</v>
      </c>
      <c r="FW84" t="s">
        <v>59</v>
      </c>
      <c r="FX84" t="s">
        <v>59</v>
      </c>
      <c r="FY84" t="s">
        <v>59</v>
      </c>
      <c r="FZ84" t="s">
        <v>59</v>
      </c>
      <c r="GA84" t="s">
        <v>59</v>
      </c>
      <c r="GB84" t="s">
        <v>59</v>
      </c>
      <c r="GC84" t="s">
        <v>59</v>
      </c>
      <c r="GD84" t="s">
        <v>59</v>
      </c>
      <c r="GE84" t="s">
        <v>59</v>
      </c>
      <c r="GF84" t="s">
        <v>59</v>
      </c>
      <c r="GG84" t="s">
        <v>59</v>
      </c>
      <c r="GH84" t="s">
        <v>59</v>
      </c>
      <c r="GI84" t="s">
        <v>59</v>
      </c>
      <c r="GJ84" t="s">
        <v>59</v>
      </c>
      <c r="GK84" t="s">
        <v>191</v>
      </c>
      <c r="GL84" t="s">
        <v>59</v>
      </c>
      <c r="GM84" t="s">
        <v>59</v>
      </c>
      <c r="GN84" t="s">
        <v>59</v>
      </c>
      <c r="GO84" t="s">
        <v>59</v>
      </c>
      <c r="GP84" t="s">
        <v>59</v>
      </c>
      <c r="GQ84" t="s">
        <v>59</v>
      </c>
      <c r="GR84" t="s">
        <v>59</v>
      </c>
      <c r="GS84" t="s">
        <v>59</v>
      </c>
      <c r="GT84" t="s">
        <v>59</v>
      </c>
      <c r="GU84" t="s">
        <v>59</v>
      </c>
      <c r="GV84" t="s">
        <v>59</v>
      </c>
      <c r="GW84" t="s">
        <v>59</v>
      </c>
      <c r="GX84" t="s">
        <v>59</v>
      </c>
      <c r="GY84" t="s">
        <v>59</v>
      </c>
      <c r="GZ84" t="s">
        <v>191</v>
      </c>
      <c r="HA84" t="s">
        <v>59</v>
      </c>
      <c r="HB84" t="s">
        <v>59</v>
      </c>
      <c r="HC84" t="s">
        <v>59</v>
      </c>
      <c r="HD84" t="s">
        <v>59</v>
      </c>
      <c r="HE84" t="s">
        <v>59</v>
      </c>
      <c r="HF84" t="s">
        <v>59</v>
      </c>
      <c r="HG84" t="s">
        <v>59</v>
      </c>
      <c r="HH84" t="s">
        <v>59</v>
      </c>
      <c r="HI84" t="s">
        <v>59</v>
      </c>
      <c r="HJ84" t="s">
        <v>59</v>
      </c>
      <c r="HK84" t="s">
        <v>59</v>
      </c>
      <c r="HL84" t="s">
        <v>191</v>
      </c>
      <c r="HM84" t="s">
        <v>191</v>
      </c>
      <c r="HN84" t="s">
        <v>191</v>
      </c>
      <c r="HO84" t="s">
        <v>191</v>
      </c>
      <c r="HP84" t="s">
        <v>59</v>
      </c>
      <c r="HQ84" t="s">
        <v>59</v>
      </c>
      <c r="HR84" t="s">
        <v>59</v>
      </c>
      <c r="HS84" t="s">
        <v>59</v>
      </c>
      <c r="HT84" t="s">
        <v>59</v>
      </c>
      <c r="HU84" t="s">
        <v>59</v>
      </c>
      <c r="HV84" t="s">
        <v>59</v>
      </c>
      <c r="HW84" t="s">
        <v>59</v>
      </c>
      <c r="HX84" t="s">
        <v>59</v>
      </c>
      <c r="HY84" t="s">
        <v>59</v>
      </c>
      <c r="HZ84" t="s">
        <v>59</v>
      </c>
      <c r="IA84" t="s">
        <v>59</v>
      </c>
      <c r="IB84" t="s">
        <v>59</v>
      </c>
      <c r="IC84" t="s">
        <v>59</v>
      </c>
      <c r="ID84" t="s">
        <v>59</v>
      </c>
      <c r="IE84" t="s">
        <v>59</v>
      </c>
      <c r="IF84" t="s">
        <v>59</v>
      </c>
      <c r="IG84" t="s">
        <v>59</v>
      </c>
      <c r="IH84" t="s">
        <v>59</v>
      </c>
      <c r="II84" t="s">
        <v>59</v>
      </c>
      <c r="IJ84" t="s">
        <v>129</v>
      </c>
      <c r="IK84" t="s">
        <v>198</v>
      </c>
      <c r="IL84" t="s">
        <v>128</v>
      </c>
      <c r="IM84" t="s">
        <v>199</v>
      </c>
      <c r="IN84">
        <v>26</v>
      </c>
      <c r="IO84" t="s">
        <v>2730</v>
      </c>
      <c r="IP84">
        <v>6</v>
      </c>
      <c r="IQ84" t="s">
        <v>2730</v>
      </c>
      <c r="IR84">
        <v>15</v>
      </c>
      <c r="IS84" t="s">
        <v>2730</v>
      </c>
      <c r="IT84" t="s">
        <v>2730</v>
      </c>
      <c r="IU84" t="s">
        <v>2730</v>
      </c>
      <c r="IV84">
        <v>16</v>
      </c>
      <c r="IW84" t="s">
        <v>2730</v>
      </c>
      <c r="IX84">
        <v>3</v>
      </c>
      <c r="IY84" t="s">
        <v>2730</v>
      </c>
      <c r="IZ84">
        <v>57</v>
      </c>
      <c r="JA84" t="s">
        <v>2730</v>
      </c>
      <c r="JB84">
        <v>2</v>
      </c>
      <c r="JC84" t="s">
        <v>2730</v>
      </c>
      <c r="JD84">
        <v>24</v>
      </c>
      <c r="JE84" t="s">
        <v>2730</v>
      </c>
      <c r="JF84">
        <v>2</v>
      </c>
      <c r="JG84" t="s">
        <v>2730</v>
      </c>
      <c r="JH84">
        <v>25</v>
      </c>
      <c r="JI84" t="s">
        <v>2730</v>
      </c>
      <c r="JJ84">
        <v>5</v>
      </c>
      <c r="JK84" t="s">
        <v>2730</v>
      </c>
      <c r="JL84">
        <v>16</v>
      </c>
      <c r="JM84" t="s">
        <v>2730</v>
      </c>
      <c r="JN84" t="s">
        <v>2730</v>
      </c>
      <c r="JO84">
        <v>4</v>
      </c>
      <c r="JP84" t="s">
        <v>2730</v>
      </c>
      <c r="JQ84" t="s">
        <v>2730</v>
      </c>
    </row>
    <row r="85" spans="1:277">
      <c r="A85" s="149" t="str">
        <f>HYPERLINK("http://www.ofsted.gov.uk/inspection-reports/find-inspection-report/provider/ELS/138777 ","Ofsted School Webpage")</f>
        <v>Ofsted School Webpage</v>
      </c>
      <c r="B85">
        <v>1134349</v>
      </c>
      <c r="C85">
        <v>138777</v>
      </c>
      <c r="D85">
        <v>2026002</v>
      </c>
      <c r="E85" t="s">
        <v>2320</v>
      </c>
      <c r="F85" t="s">
        <v>37</v>
      </c>
      <c r="G85" t="s">
        <v>209</v>
      </c>
      <c r="H85" t="s">
        <v>232</v>
      </c>
      <c r="I85" t="s">
        <v>232</v>
      </c>
      <c r="J85" t="s">
        <v>536</v>
      </c>
      <c r="K85" t="s">
        <v>2322</v>
      </c>
      <c r="L85" t="s">
        <v>184</v>
      </c>
      <c r="M85" t="s">
        <v>185</v>
      </c>
      <c r="N85" t="s">
        <v>184</v>
      </c>
      <c r="O85" t="s">
        <v>2730</v>
      </c>
      <c r="P85" t="s">
        <v>186</v>
      </c>
      <c r="Q85">
        <v>10012786</v>
      </c>
      <c r="R85" s="120">
        <v>43053</v>
      </c>
      <c r="S85" s="120">
        <v>43055</v>
      </c>
      <c r="T85" s="120">
        <v>43089</v>
      </c>
      <c r="U85" t="s">
        <v>2730</v>
      </c>
      <c r="V85" t="s">
        <v>196</v>
      </c>
      <c r="W85" t="s">
        <v>2730</v>
      </c>
      <c r="X85" t="s">
        <v>197</v>
      </c>
      <c r="Y85">
        <v>2</v>
      </c>
      <c r="Z85">
        <v>2</v>
      </c>
      <c r="AA85">
        <v>2</v>
      </c>
      <c r="AB85">
        <v>2</v>
      </c>
      <c r="AC85">
        <v>2</v>
      </c>
      <c r="AD85">
        <v>2</v>
      </c>
      <c r="AE85" t="s">
        <v>2730</v>
      </c>
      <c r="AF85" t="s">
        <v>128</v>
      </c>
      <c r="AG85" t="s">
        <v>2730</v>
      </c>
      <c r="AH85" t="s">
        <v>2732</v>
      </c>
      <c r="AI85" t="s">
        <v>59</v>
      </c>
      <c r="AJ85" t="s">
        <v>59</v>
      </c>
      <c r="AK85" t="s">
        <v>59</v>
      </c>
      <c r="AL85" t="s">
        <v>59</v>
      </c>
      <c r="AM85" t="s">
        <v>59</v>
      </c>
      <c r="AN85" t="s">
        <v>59</v>
      </c>
      <c r="AO85" t="s">
        <v>59</v>
      </c>
      <c r="AP85" t="s">
        <v>59</v>
      </c>
      <c r="AQ85" t="s">
        <v>59</v>
      </c>
      <c r="AR85" t="s">
        <v>59</v>
      </c>
      <c r="AS85" t="s">
        <v>59</v>
      </c>
      <c r="AT85" t="s">
        <v>59</v>
      </c>
      <c r="AU85" t="s">
        <v>59</v>
      </c>
      <c r="AV85" t="s">
        <v>59</v>
      </c>
      <c r="AW85" t="s">
        <v>59</v>
      </c>
      <c r="AX85" t="s">
        <v>59</v>
      </c>
      <c r="AY85" t="s">
        <v>191</v>
      </c>
      <c r="AZ85" t="s">
        <v>59</v>
      </c>
      <c r="BA85" t="s">
        <v>59</v>
      </c>
      <c r="BB85" t="s">
        <v>59</v>
      </c>
      <c r="BC85" t="s">
        <v>191</v>
      </c>
      <c r="BD85" t="s">
        <v>191</v>
      </c>
      <c r="BE85" t="s">
        <v>191</v>
      </c>
      <c r="BF85" t="s">
        <v>191</v>
      </c>
      <c r="BG85" t="s">
        <v>59</v>
      </c>
      <c r="BH85" t="s">
        <v>191</v>
      </c>
      <c r="BI85" t="s">
        <v>59</v>
      </c>
      <c r="BJ85" t="s">
        <v>59</v>
      </c>
      <c r="BK85" t="s">
        <v>59</v>
      </c>
      <c r="BL85" t="s">
        <v>59</v>
      </c>
      <c r="BM85" t="s">
        <v>59</v>
      </c>
      <c r="BN85" t="s">
        <v>59</v>
      </c>
      <c r="BO85" t="s">
        <v>59</v>
      </c>
      <c r="BP85" t="s">
        <v>59</v>
      </c>
      <c r="BQ85" t="s">
        <v>59</v>
      </c>
      <c r="BR85" t="s">
        <v>59</v>
      </c>
      <c r="BS85" t="s">
        <v>59</v>
      </c>
      <c r="BT85" t="s">
        <v>59</v>
      </c>
      <c r="BU85" t="s">
        <v>59</v>
      </c>
      <c r="BV85" t="s">
        <v>59</v>
      </c>
      <c r="BW85" t="s">
        <v>59</v>
      </c>
      <c r="BX85" t="s">
        <v>59</v>
      </c>
      <c r="BY85" t="s">
        <v>59</v>
      </c>
      <c r="BZ85" t="s">
        <v>59</v>
      </c>
      <c r="CA85" t="s">
        <v>59</v>
      </c>
      <c r="CB85" t="s">
        <v>59</v>
      </c>
      <c r="CC85" t="s">
        <v>59</v>
      </c>
      <c r="CD85" t="s">
        <v>59</v>
      </c>
      <c r="CE85" t="s">
        <v>59</v>
      </c>
      <c r="CF85" t="s">
        <v>59</v>
      </c>
      <c r="CG85" t="s">
        <v>59</v>
      </c>
      <c r="CH85" t="s">
        <v>59</v>
      </c>
      <c r="CI85" t="s">
        <v>59</v>
      </c>
      <c r="CJ85" t="s">
        <v>59</v>
      </c>
      <c r="CK85" t="s">
        <v>59</v>
      </c>
      <c r="CL85" t="s">
        <v>59</v>
      </c>
      <c r="CM85" t="s">
        <v>59</v>
      </c>
      <c r="CN85" t="s">
        <v>59</v>
      </c>
      <c r="CO85" t="s">
        <v>191</v>
      </c>
      <c r="CP85" t="s">
        <v>191</v>
      </c>
      <c r="CQ85" t="s">
        <v>191</v>
      </c>
      <c r="CR85" t="s">
        <v>59</v>
      </c>
      <c r="CS85" t="s">
        <v>59</v>
      </c>
      <c r="CT85" t="s">
        <v>59</v>
      </c>
      <c r="CU85" t="s">
        <v>59</v>
      </c>
      <c r="CV85" t="s">
        <v>59</v>
      </c>
      <c r="CW85" t="s">
        <v>59</v>
      </c>
      <c r="CX85" t="s">
        <v>59</v>
      </c>
      <c r="CY85" t="s">
        <v>59</v>
      </c>
      <c r="CZ85" t="s">
        <v>59</v>
      </c>
      <c r="DA85" t="s">
        <v>59</v>
      </c>
      <c r="DB85" t="s">
        <v>59</v>
      </c>
      <c r="DC85" t="s">
        <v>59</v>
      </c>
      <c r="DD85" t="s">
        <v>59</v>
      </c>
      <c r="DE85" t="s">
        <v>59</v>
      </c>
      <c r="DF85" t="s">
        <v>59</v>
      </c>
      <c r="DG85" t="s">
        <v>59</v>
      </c>
      <c r="DH85" t="s">
        <v>59</v>
      </c>
      <c r="DI85" t="s">
        <v>59</v>
      </c>
      <c r="DJ85" t="s">
        <v>59</v>
      </c>
      <c r="DK85" t="s">
        <v>59</v>
      </c>
      <c r="DL85" t="s">
        <v>59</v>
      </c>
      <c r="DM85" t="s">
        <v>59</v>
      </c>
      <c r="DN85" t="s">
        <v>59</v>
      </c>
      <c r="DO85" t="s">
        <v>191</v>
      </c>
      <c r="DP85" t="s">
        <v>59</v>
      </c>
      <c r="DQ85" t="s">
        <v>191</v>
      </c>
      <c r="DR85" t="s">
        <v>191</v>
      </c>
      <c r="DS85" t="s">
        <v>191</v>
      </c>
      <c r="DT85" t="s">
        <v>191</v>
      </c>
      <c r="DU85" t="s">
        <v>191</v>
      </c>
      <c r="DV85" t="s">
        <v>191</v>
      </c>
      <c r="DW85" t="s">
        <v>191</v>
      </c>
      <c r="DX85" t="s">
        <v>191</v>
      </c>
      <c r="DY85" t="s">
        <v>191</v>
      </c>
      <c r="DZ85" t="s">
        <v>191</v>
      </c>
      <c r="EA85" t="s">
        <v>191</v>
      </c>
      <c r="EB85" t="s">
        <v>191</v>
      </c>
      <c r="EC85" t="s">
        <v>191</v>
      </c>
      <c r="ED85" t="s">
        <v>59</v>
      </c>
      <c r="EE85" t="s">
        <v>59</v>
      </c>
      <c r="EF85" t="s">
        <v>59</v>
      </c>
      <c r="EG85" t="s">
        <v>59</v>
      </c>
      <c r="EH85" t="s">
        <v>59</v>
      </c>
      <c r="EI85" t="s">
        <v>191</v>
      </c>
      <c r="EJ85" t="s">
        <v>191</v>
      </c>
      <c r="EK85" t="s">
        <v>191</v>
      </c>
      <c r="EL85" t="s">
        <v>191</v>
      </c>
      <c r="EM85" t="s">
        <v>59</v>
      </c>
      <c r="EN85" t="s">
        <v>59</v>
      </c>
      <c r="EO85" t="s">
        <v>59</v>
      </c>
      <c r="EP85" t="s">
        <v>59</v>
      </c>
      <c r="EQ85" t="s">
        <v>59</v>
      </c>
      <c r="ER85" t="s">
        <v>59</v>
      </c>
      <c r="ES85" t="s">
        <v>59</v>
      </c>
      <c r="ET85" t="s">
        <v>59</v>
      </c>
      <c r="EU85" t="s">
        <v>59</v>
      </c>
      <c r="EV85" t="s">
        <v>59</v>
      </c>
      <c r="EW85" t="s">
        <v>59</v>
      </c>
      <c r="EX85" t="s">
        <v>59</v>
      </c>
      <c r="EY85" t="s">
        <v>59</v>
      </c>
      <c r="EZ85" t="s">
        <v>59</v>
      </c>
      <c r="FA85" t="s">
        <v>191</v>
      </c>
      <c r="FB85" t="s">
        <v>191</v>
      </c>
      <c r="FC85" t="s">
        <v>191</v>
      </c>
      <c r="FD85" t="s">
        <v>191</v>
      </c>
      <c r="FE85" t="s">
        <v>191</v>
      </c>
      <c r="FF85" t="s">
        <v>191</v>
      </c>
      <c r="FG85" t="s">
        <v>191</v>
      </c>
      <c r="FH85" t="s">
        <v>191</v>
      </c>
      <c r="FI85" t="s">
        <v>191</v>
      </c>
      <c r="FJ85" t="s">
        <v>191</v>
      </c>
      <c r="FK85" t="s">
        <v>191</v>
      </c>
      <c r="FL85" t="s">
        <v>59</v>
      </c>
      <c r="FM85" t="s">
        <v>59</v>
      </c>
      <c r="FN85" t="s">
        <v>59</v>
      </c>
      <c r="FO85" t="s">
        <v>191</v>
      </c>
      <c r="FP85" t="s">
        <v>59</v>
      </c>
      <c r="FQ85" t="s">
        <v>59</v>
      </c>
      <c r="FR85" t="s">
        <v>59</v>
      </c>
      <c r="FS85" t="s">
        <v>191</v>
      </c>
      <c r="FT85" t="s">
        <v>191</v>
      </c>
      <c r="FU85" t="s">
        <v>59</v>
      </c>
      <c r="FV85" t="s">
        <v>59</v>
      </c>
      <c r="FW85" t="s">
        <v>59</v>
      </c>
      <c r="FX85" t="s">
        <v>59</v>
      </c>
      <c r="FY85" t="s">
        <v>59</v>
      </c>
      <c r="FZ85" t="s">
        <v>59</v>
      </c>
      <c r="GA85" t="s">
        <v>59</v>
      </c>
      <c r="GB85" t="s">
        <v>59</v>
      </c>
      <c r="GC85" t="s">
        <v>59</v>
      </c>
      <c r="GD85" t="s">
        <v>59</v>
      </c>
      <c r="GE85" t="s">
        <v>59</v>
      </c>
      <c r="GF85" t="s">
        <v>59</v>
      </c>
      <c r="GG85" t="s">
        <v>59</v>
      </c>
      <c r="GH85" t="s">
        <v>59</v>
      </c>
      <c r="GI85" t="s">
        <v>59</v>
      </c>
      <c r="GJ85" t="s">
        <v>59</v>
      </c>
      <c r="GK85" t="s">
        <v>191</v>
      </c>
      <c r="GL85" t="s">
        <v>59</v>
      </c>
      <c r="GM85" t="s">
        <v>59</v>
      </c>
      <c r="GN85" t="s">
        <v>59</v>
      </c>
      <c r="GO85" t="s">
        <v>59</v>
      </c>
      <c r="GP85" t="s">
        <v>59</v>
      </c>
      <c r="GQ85" t="s">
        <v>191</v>
      </c>
      <c r="GR85" t="s">
        <v>59</v>
      </c>
      <c r="GS85" t="s">
        <v>59</v>
      </c>
      <c r="GT85" t="s">
        <v>191</v>
      </c>
      <c r="GU85" t="s">
        <v>191</v>
      </c>
      <c r="GV85" t="s">
        <v>59</v>
      </c>
      <c r="GW85" t="s">
        <v>59</v>
      </c>
      <c r="GX85" t="s">
        <v>59</v>
      </c>
      <c r="GY85" t="s">
        <v>59</v>
      </c>
      <c r="GZ85" t="s">
        <v>59</v>
      </c>
      <c r="HA85" t="s">
        <v>191</v>
      </c>
      <c r="HB85" t="s">
        <v>191</v>
      </c>
      <c r="HC85" t="s">
        <v>59</v>
      </c>
      <c r="HD85" t="s">
        <v>59</v>
      </c>
      <c r="HE85" t="s">
        <v>59</v>
      </c>
      <c r="HF85" t="s">
        <v>59</v>
      </c>
      <c r="HG85" t="s">
        <v>59</v>
      </c>
      <c r="HH85" t="s">
        <v>59</v>
      </c>
      <c r="HI85" t="s">
        <v>59</v>
      </c>
      <c r="HJ85" t="s">
        <v>59</v>
      </c>
      <c r="HK85" t="s">
        <v>59</v>
      </c>
      <c r="HL85" t="s">
        <v>191</v>
      </c>
      <c r="HM85" t="s">
        <v>191</v>
      </c>
      <c r="HN85" t="s">
        <v>191</v>
      </c>
      <c r="HO85" t="s">
        <v>191</v>
      </c>
      <c r="HP85" t="s">
        <v>59</v>
      </c>
      <c r="HQ85" t="s">
        <v>59</v>
      </c>
      <c r="HR85" t="s">
        <v>59</v>
      </c>
      <c r="HS85" t="s">
        <v>59</v>
      </c>
      <c r="HT85" t="s">
        <v>59</v>
      </c>
      <c r="HU85" t="s">
        <v>59</v>
      </c>
      <c r="HV85" t="s">
        <v>59</v>
      </c>
      <c r="HW85" t="s">
        <v>59</v>
      </c>
      <c r="HX85" t="s">
        <v>59</v>
      </c>
      <c r="HY85" t="s">
        <v>59</v>
      </c>
      <c r="HZ85" t="s">
        <v>59</v>
      </c>
      <c r="IA85" t="s">
        <v>59</v>
      </c>
      <c r="IB85" t="s">
        <v>59</v>
      </c>
      <c r="IC85" t="s">
        <v>59</v>
      </c>
      <c r="ID85" t="s">
        <v>59</v>
      </c>
      <c r="IE85" t="s">
        <v>59</v>
      </c>
      <c r="IF85" t="s">
        <v>59</v>
      </c>
      <c r="IG85" t="s">
        <v>59</v>
      </c>
      <c r="IH85" t="s">
        <v>59</v>
      </c>
      <c r="II85" t="s">
        <v>59</v>
      </c>
      <c r="IJ85" t="s">
        <v>129</v>
      </c>
      <c r="IK85" t="s">
        <v>198</v>
      </c>
      <c r="IL85" t="s">
        <v>128</v>
      </c>
      <c r="IM85" t="s">
        <v>199</v>
      </c>
      <c r="IN85">
        <v>26</v>
      </c>
      <c r="IO85" t="s">
        <v>2730</v>
      </c>
      <c r="IP85">
        <v>6</v>
      </c>
      <c r="IQ85" t="s">
        <v>2730</v>
      </c>
      <c r="IR85">
        <v>15</v>
      </c>
      <c r="IS85" t="s">
        <v>2730</v>
      </c>
      <c r="IT85" t="s">
        <v>2730</v>
      </c>
      <c r="IU85" t="s">
        <v>2730</v>
      </c>
      <c r="IV85">
        <v>16</v>
      </c>
      <c r="IW85" t="s">
        <v>2730</v>
      </c>
      <c r="IX85">
        <v>3</v>
      </c>
      <c r="IY85" t="s">
        <v>2730</v>
      </c>
      <c r="IZ85">
        <v>30</v>
      </c>
      <c r="JA85" t="s">
        <v>2730</v>
      </c>
      <c r="JB85">
        <v>29</v>
      </c>
      <c r="JC85" t="s">
        <v>2730</v>
      </c>
      <c r="JD85">
        <v>22</v>
      </c>
      <c r="JE85" t="s">
        <v>2730</v>
      </c>
      <c r="JF85">
        <v>4</v>
      </c>
      <c r="JG85" t="s">
        <v>2730</v>
      </c>
      <c r="JH85">
        <v>21</v>
      </c>
      <c r="JI85" t="s">
        <v>2730</v>
      </c>
      <c r="JJ85">
        <v>9</v>
      </c>
      <c r="JK85" t="s">
        <v>2730</v>
      </c>
      <c r="JL85">
        <v>16</v>
      </c>
      <c r="JM85" t="s">
        <v>2730</v>
      </c>
      <c r="JN85" t="s">
        <v>2730</v>
      </c>
      <c r="JO85">
        <v>4</v>
      </c>
      <c r="JP85" t="s">
        <v>2730</v>
      </c>
      <c r="JQ85" t="s">
        <v>2730</v>
      </c>
    </row>
    <row r="86" spans="1:277">
      <c r="A86" s="149" t="str">
        <f>HYPERLINK("http://www.ofsted.gov.uk/inspection-reports/find-inspection-report/provider/ELS/140272 ","Ofsted School Webpage")</f>
        <v>Ofsted School Webpage</v>
      </c>
      <c r="B86">
        <v>1132271</v>
      </c>
      <c r="C86">
        <v>140272</v>
      </c>
      <c r="D86">
        <v>8086004</v>
      </c>
      <c r="E86" t="s">
        <v>276</v>
      </c>
      <c r="F86" t="s">
        <v>38</v>
      </c>
      <c r="G86" t="s">
        <v>180</v>
      </c>
      <c r="H86" t="s">
        <v>245</v>
      </c>
      <c r="I86" t="s">
        <v>277</v>
      </c>
      <c r="J86" t="s">
        <v>278</v>
      </c>
      <c r="K86" t="s">
        <v>279</v>
      </c>
      <c r="L86" t="s">
        <v>184</v>
      </c>
      <c r="M86" t="s">
        <v>185</v>
      </c>
      <c r="N86" t="s">
        <v>184</v>
      </c>
      <c r="O86" t="s">
        <v>2730</v>
      </c>
      <c r="P86" t="s">
        <v>186</v>
      </c>
      <c r="Q86">
        <v>10040144</v>
      </c>
      <c r="R86" s="120">
        <v>42997</v>
      </c>
      <c r="S86" s="120">
        <v>42999</v>
      </c>
      <c r="T86" s="120">
        <v>43025</v>
      </c>
      <c r="U86" t="s">
        <v>2730</v>
      </c>
      <c r="V86" t="s">
        <v>196</v>
      </c>
      <c r="W86" t="s">
        <v>2730</v>
      </c>
      <c r="X86" t="s">
        <v>197</v>
      </c>
      <c r="Y86">
        <v>3</v>
      </c>
      <c r="Z86">
        <v>3</v>
      </c>
      <c r="AA86">
        <v>2</v>
      </c>
      <c r="AB86">
        <v>3</v>
      </c>
      <c r="AC86">
        <v>3</v>
      </c>
      <c r="AD86" t="s">
        <v>2730</v>
      </c>
      <c r="AE86" t="s">
        <v>2730</v>
      </c>
      <c r="AF86" t="s">
        <v>128</v>
      </c>
      <c r="AG86" t="s">
        <v>2730</v>
      </c>
      <c r="AH86" t="s">
        <v>2733</v>
      </c>
      <c r="AI86" t="s">
        <v>59</v>
      </c>
      <c r="AJ86" t="s">
        <v>59</v>
      </c>
      <c r="AK86" t="s">
        <v>59</v>
      </c>
      <c r="AL86" t="s">
        <v>59</v>
      </c>
      <c r="AM86" t="s">
        <v>59</v>
      </c>
      <c r="AN86" t="s">
        <v>59</v>
      </c>
      <c r="AO86" t="s">
        <v>59</v>
      </c>
      <c r="AP86" t="s">
        <v>60</v>
      </c>
      <c r="AQ86" t="s">
        <v>59</v>
      </c>
      <c r="AR86" t="s">
        <v>59</v>
      </c>
      <c r="AS86" t="s">
        <v>59</v>
      </c>
      <c r="AT86" t="s">
        <v>59</v>
      </c>
      <c r="AU86" t="s">
        <v>59</v>
      </c>
      <c r="AV86" t="s">
        <v>59</v>
      </c>
      <c r="AW86" t="s">
        <v>59</v>
      </c>
      <c r="AX86" t="s">
        <v>59</v>
      </c>
      <c r="AY86" t="s">
        <v>218</v>
      </c>
      <c r="AZ86" t="s">
        <v>59</v>
      </c>
      <c r="BA86" t="s">
        <v>59</v>
      </c>
      <c r="BB86" t="s">
        <v>59</v>
      </c>
      <c r="BC86" t="s">
        <v>59</v>
      </c>
      <c r="BD86" t="s">
        <v>59</v>
      </c>
      <c r="BE86" t="s">
        <v>59</v>
      </c>
      <c r="BF86" t="s">
        <v>59</v>
      </c>
      <c r="BG86" t="s">
        <v>218</v>
      </c>
      <c r="BH86" t="s">
        <v>218</v>
      </c>
      <c r="BI86" t="s">
        <v>59</v>
      </c>
      <c r="BJ86" t="s">
        <v>59</v>
      </c>
      <c r="BK86" t="s">
        <v>60</v>
      </c>
      <c r="BL86" t="s">
        <v>60</v>
      </c>
      <c r="BM86" t="s">
        <v>59</v>
      </c>
      <c r="BN86" t="s">
        <v>60</v>
      </c>
      <c r="BO86" t="s">
        <v>60</v>
      </c>
      <c r="BP86" t="s">
        <v>59</v>
      </c>
      <c r="BQ86" t="s">
        <v>59</v>
      </c>
      <c r="BR86" t="s">
        <v>60</v>
      </c>
      <c r="BS86" t="s">
        <v>59</v>
      </c>
      <c r="BT86" t="s">
        <v>59</v>
      </c>
      <c r="BU86" t="s">
        <v>59</v>
      </c>
      <c r="BV86" t="s">
        <v>59</v>
      </c>
      <c r="BW86" t="s">
        <v>59</v>
      </c>
      <c r="BX86" t="s">
        <v>59</v>
      </c>
      <c r="BY86" t="s">
        <v>59</v>
      </c>
      <c r="BZ86" t="s">
        <v>59</v>
      </c>
      <c r="CA86" t="s">
        <v>59</v>
      </c>
      <c r="CB86" t="s">
        <v>59</v>
      </c>
      <c r="CC86" t="s">
        <v>59</v>
      </c>
      <c r="CD86" t="s">
        <v>59</v>
      </c>
      <c r="CE86" t="s">
        <v>59</v>
      </c>
      <c r="CF86" t="s">
        <v>59</v>
      </c>
      <c r="CG86" t="s">
        <v>59</v>
      </c>
      <c r="CH86" t="s">
        <v>59</v>
      </c>
      <c r="CI86" t="s">
        <v>59</v>
      </c>
      <c r="CJ86" t="s">
        <v>59</v>
      </c>
      <c r="CK86" t="s">
        <v>59</v>
      </c>
      <c r="CL86" t="s">
        <v>59</v>
      </c>
      <c r="CM86" t="s">
        <v>59</v>
      </c>
      <c r="CN86" t="s">
        <v>59</v>
      </c>
      <c r="CO86" t="s">
        <v>218</v>
      </c>
      <c r="CP86" t="s">
        <v>218</v>
      </c>
      <c r="CQ86" t="s">
        <v>218</v>
      </c>
      <c r="CR86" t="s">
        <v>59</v>
      </c>
      <c r="CS86" t="s">
        <v>59</v>
      </c>
      <c r="CT86" t="s">
        <v>59</v>
      </c>
      <c r="CU86" t="s">
        <v>59</v>
      </c>
      <c r="CV86" t="s">
        <v>59</v>
      </c>
      <c r="CW86" t="s">
        <v>59</v>
      </c>
      <c r="CX86" t="s">
        <v>59</v>
      </c>
      <c r="CY86" t="s">
        <v>59</v>
      </c>
      <c r="CZ86" t="s">
        <v>59</v>
      </c>
      <c r="DA86" t="s">
        <v>59</v>
      </c>
      <c r="DB86" t="s">
        <v>59</v>
      </c>
      <c r="DC86" t="s">
        <v>59</v>
      </c>
      <c r="DD86" t="s">
        <v>59</v>
      </c>
      <c r="DE86" t="s">
        <v>59</v>
      </c>
      <c r="DF86" t="s">
        <v>59</v>
      </c>
      <c r="DG86" t="s">
        <v>59</v>
      </c>
      <c r="DH86" t="s">
        <v>59</v>
      </c>
      <c r="DI86" t="s">
        <v>59</v>
      </c>
      <c r="DJ86" t="s">
        <v>59</v>
      </c>
      <c r="DK86" t="s">
        <v>59</v>
      </c>
      <c r="DL86" t="s">
        <v>59</v>
      </c>
      <c r="DM86" t="s">
        <v>59</v>
      </c>
      <c r="DN86" t="s">
        <v>59</v>
      </c>
      <c r="DO86" t="s">
        <v>218</v>
      </c>
      <c r="DP86" t="s">
        <v>59</v>
      </c>
      <c r="DQ86" t="s">
        <v>59</v>
      </c>
      <c r="DR86" t="s">
        <v>59</v>
      </c>
      <c r="DS86" t="s">
        <v>59</v>
      </c>
      <c r="DT86" t="s">
        <v>59</v>
      </c>
      <c r="DU86" t="s">
        <v>59</v>
      </c>
      <c r="DV86" t="s">
        <v>59</v>
      </c>
      <c r="DW86" t="s">
        <v>59</v>
      </c>
      <c r="DX86" t="s">
        <v>59</v>
      </c>
      <c r="DY86" t="s">
        <v>59</v>
      </c>
      <c r="DZ86" t="s">
        <v>59</v>
      </c>
      <c r="EA86" t="s">
        <v>59</v>
      </c>
      <c r="EB86" t="s">
        <v>59</v>
      </c>
      <c r="EC86" t="s">
        <v>218</v>
      </c>
      <c r="ED86" t="s">
        <v>59</v>
      </c>
      <c r="EE86" t="s">
        <v>59</v>
      </c>
      <c r="EF86" t="s">
        <v>59</v>
      </c>
      <c r="EG86" t="s">
        <v>59</v>
      </c>
      <c r="EH86" t="s">
        <v>59</v>
      </c>
      <c r="EI86" t="s">
        <v>59</v>
      </c>
      <c r="EJ86" t="s">
        <v>59</v>
      </c>
      <c r="EK86" t="s">
        <v>59</v>
      </c>
      <c r="EL86" t="s">
        <v>59</v>
      </c>
      <c r="EM86" t="s">
        <v>59</v>
      </c>
      <c r="EN86" t="s">
        <v>59</v>
      </c>
      <c r="EO86" t="s">
        <v>59</v>
      </c>
      <c r="EP86" t="s">
        <v>59</v>
      </c>
      <c r="EQ86" t="s">
        <v>59</v>
      </c>
      <c r="ER86" t="s">
        <v>59</v>
      </c>
      <c r="ES86" t="s">
        <v>59</v>
      </c>
      <c r="ET86" t="s">
        <v>59</v>
      </c>
      <c r="EU86" t="s">
        <v>59</v>
      </c>
      <c r="EV86" t="s">
        <v>59</v>
      </c>
      <c r="EW86" t="s">
        <v>59</v>
      </c>
      <c r="EX86" t="s">
        <v>59</v>
      </c>
      <c r="EY86" t="s">
        <v>59</v>
      </c>
      <c r="EZ86" t="s">
        <v>59</v>
      </c>
      <c r="FA86" t="s">
        <v>59</v>
      </c>
      <c r="FB86" t="s">
        <v>59</v>
      </c>
      <c r="FC86" t="s">
        <v>59</v>
      </c>
      <c r="FD86" t="s">
        <v>59</v>
      </c>
      <c r="FE86" t="s">
        <v>59</v>
      </c>
      <c r="FF86" t="s">
        <v>59</v>
      </c>
      <c r="FG86" t="s">
        <v>59</v>
      </c>
      <c r="FH86" t="s">
        <v>59</v>
      </c>
      <c r="FI86" t="s">
        <v>59</v>
      </c>
      <c r="FJ86" t="s">
        <v>59</v>
      </c>
      <c r="FK86" t="s">
        <v>59</v>
      </c>
      <c r="FL86" t="s">
        <v>59</v>
      </c>
      <c r="FM86" t="s">
        <v>59</v>
      </c>
      <c r="FN86" t="s">
        <v>59</v>
      </c>
      <c r="FO86" t="s">
        <v>59</v>
      </c>
      <c r="FP86" t="s">
        <v>59</v>
      </c>
      <c r="FQ86" t="s">
        <v>59</v>
      </c>
      <c r="FR86" t="s">
        <v>59</v>
      </c>
      <c r="FS86" t="s">
        <v>218</v>
      </c>
      <c r="FT86" t="s">
        <v>59</v>
      </c>
      <c r="FU86" t="s">
        <v>59</v>
      </c>
      <c r="FV86" t="s">
        <v>59</v>
      </c>
      <c r="FW86" t="s">
        <v>59</v>
      </c>
      <c r="FX86" t="s">
        <v>59</v>
      </c>
      <c r="FY86" t="s">
        <v>59</v>
      </c>
      <c r="FZ86" t="s">
        <v>59</v>
      </c>
      <c r="GA86" t="s">
        <v>59</v>
      </c>
      <c r="GB86" t="s">
        <v>59</v>
      </c>
      <c r="GC86" t="s">
        <v>59</v>
      </c>
      <c r="GD86" t="s">
        <v>59</v>
      </c>
      <c r="GE86" t="s">
        <v>59</v>
      </c>
      <c r="GF86" t="s">
        <v>59</v>
      </c>
      <c r="GG86" t="s">
        <v>59</v>
      </c>
      <c r="GH86" t="s">
        <v>59</v>
      </c>
      <c r="GI86" t="s">
        <v>59</v>
      </c>
      <c r="GJ86" t="s">
        <v>59</v>
      </c>
      <c r="GK86" t="s">
        <v>218</v>
      </c>
      <c r="GL86" t="s">
        <v>59</v>
      </c>
      <c r="GM86" t="s">
        <v>59</v>
      </c>
      <c r="GN86" t="s">
        <v>59</v>
      </c>
      <c r="GO86" t="s">
        <v>59</v>
      </c>
      <c r="GP86" t="s">
        <v>59</v>
      </c>
      <c r="GQ86" t="s">
        <v>218</v>
      </c>
      <c r="GR86" t="s">
        <v>59</v>
      </c>
      <c r="GS86" t="s">
        <v>59</v>
      </c>
      <c r="GT86" t="s">
        <v>59</v>
      </c>
      <c r="GU86" t="s">
        <v>59</v>
      </c>
      <c r="GV86" t="s">
        <v>59</v>
      </c>
      <c r="GW86" t="s">
        <v>59</v>
      </c>
      <c r="GX86" t="s">
        <v>59</v>
      </c>
      <c r="GY86" t="s">
        <v>59</v>
      </c>
      <c r="GZ86" t="s">
        <v>59</v>
      </c>
      <c r="HA86" t="s">
        <v>218</v>
      </c>
      <c r="HB86" t="s">
        <v>218</v>
      </c>
      <c r="HC86" t="s">
        <v>59</v>
      </c>
      <c r="HD86" t="s">
        <v>59</v>
      </c>
      <c r="HE86" t="s">
        <v>59</v>
      </c>
      <c r="HF86" t="s">
        <v>59</v>
      </c>
      <c r="HG86" t="s">
        <v>59</v>
      </c>
      <c r="HH86" t="s">
        <v>59</v>
      </c>
      <c r="HI86" t="s">
        <v>59</v>
      </c>
      <c r="HJ86" t="s">
        <v>59</v>
      </c>
      <c r="HK86" t="s">
        <v>59</v>
      </c>
      <c r="HL86" t="s">
        <v>218</v>
      </c>
      <c r="HM86" t="s">
        <v>218</v>
      </c>
      <c r="HN86" t="s">
        <v>218</v>
      </c>
      <c r="HO86" t="s">
        <v>218</v>
      </c>
      <c r="HP86" t="s">
        <v>59</v>
      </c>
      <c r="HQ86" t="s">
        <v>59</v>
      </c>
      <c r="HR86" t="s">
        <v>59</v>
      </c>
      <c r="HS86" t="s">
        <v>59</v>
      </c>
      <c r="HT86" t="s">
        <v>59</v>
      </c>
      <c r="HU86" t="s">
        <v>59</v>
      </c>
      <c r="HV86" t="s">
        <v>59</v>
      </c>
      <c r="HW86" t="s">
        <v>59</v>
      </c>
      <c r="HX86" t="s">
        <v>59</v>
      </c>
      <c r="HY86" t="s">
        <v>59</v>
      </c>
      <c r="HZ86" t="s">
        <v>59</v>
      </c>
      <c r="IA86" t="s">
        <v>59</v>
      </c>
      <c r="IB86" t="s">
        <v>59</v>
      </c>
      <c r="IC86" t="s">
        <v>59</v>
      </c>
      <c r="ID86" t="s">
        <v>59</v>
      </c>
      <c r="IE86" t="s">
        <v>59</v>
      </c>
      <c r="IF86" t="s">
        <v>60</v>
      </c>
      <c r="IG86" t="s">
        <v>60</v>
      </c>
      <c r="IH86" t="s">
        <v>60</v>
      </c>
      <c r="II86" t="s">
        <v>59</v>
      </c>
      <c r="IJ86" t="s">
        <v>129</v>
      </c>
      <c r="IK86" t="s">
        <v>191</v>
      </c>
      <c r="IL86" t="s">
        <v>128</v>
      </c>
      <c r="IM86" t="s">
        <v>199</v>
      </c>
      <c r="IN86">
        <v>24</v>
      </c>
      <c r="IO86" t="s">
        <v>2730</v>
      </c>
      <c r="IP86" t="s">
        <v>2730</v>
      </c>
      <c r="IQ86">
        <v>5</v>
      </c>
      <c r="IR86">
        <v>15</v>
      </c>
      <c r="IS86" t="s">
        <v>2730</v>
      </c>
      <c r="IT86" t="s">
        <v>2730</v>
      </c>
      <c r="IU86" t="s">
        <v>2730</v>
      </c>
      <c r="IV86">
        <v>16</v>
      </c>
      <c r="IW86" t="s">
        <v>2730</v>
      </c>
      <c r="IX86" t="s">
        <v>2730</v>
      </c>
      <c r="IY86" t="s">
        <v>2730</v>
      </c>
      <c r="IZ86">
        <v>57</v>
      </c>
      <c r="JA86" t="s">
        <v>2730</v>
      </c>
      <c r="JB86" t="s">
        <v>2730</v>
      </c>
      <c r="JC86" t="s">
        <v>2730</v>
      </c>
      <c r="JD86">
        <v>24</v>
      </c>
      <c r="JE86" t="s">
        <v>2730</v>
      </c>
      <c r="JF86" t="s">
        <v>2730</v>
      </c>
      <c r="JG86" t="s">
        <v>2730</v>
      </c>
      <c r="JH86">
        <v>23</v>
      </c>
      <c r="JI86" t="s">
        <v>2730</v>
      </c>
      <c r="JJ86" t="s">
        <v>2730</v>
      </c>
      <c r="JK86" t="s">
        <v>2730</v>
      </c>
      <c r="JL86">
        <v>16</v>
      </c>
      <c r="JM86" t="s">
        <v>2730</v>
      </c>
      <c r="JN86" t="s">
        <v>2730</v>
      </c>
      <c r="JO86">
        <v>1</v>
      </c>
      <c r="JP86" t="s">
        <v>2730</v>
      </c>
      <c r="JQ86">
        <v>3</v>
      </c>
    </row>
    <row r="87" spans="1:277">
      <c r="A87" s="149" t="str">
        <f>HYPERLINK("http://www.ofsted.gov.uk/inspection-reports/find-inspection-report/provider/ELS/131128 ","Ofsted School Webpage")</f>
        <v>Ofsted School Webpage</v>
      </c>
      <c r="B87">
        <v>1133719</v>
      </c>
      <c r="C87">
        <v>131128</v>
      </c>
      <c r="D87">
        <v>3026107</v>
      </c>
      <c r="E87" t="s">
        <v>473</v>
      </c>
      <c r="F87" t="s">
        <v>37</v>
      </c>
      <c r="G87" t="s">
        <v>209</v>
      </c>
      <c r="H87" t="s">
        <v>232</v>
      </c>
      <c r="I87" t="s">
        <v>232</v>
      </c>
      <c r="J87" t="s">
        <v>311</v>
      </c>
      <c r="K87" t="s">
        <v>474</v>
      </c>
      <c r="L87" t="s">
        <v>184</v>
      </c>
      <c r="M87" t="s">
        <v>185</v>
      </c>
      <c r="N87" t="s">
        <v>184</v>
      </c>
      <c r="O87" t="s">
        <v>2730</v>
      </c>
      <c r="P87" t="s">
        <v>186</v>
      </c>
      <c r="Q87">
        <v>10035789</v>
      </c>
      <c r="R87" s="120">
        <v>43011</v>
      </c>
      <c r="S87" s="120">
        <v>43013</v>
      </c>
      <c r="T87" s="120">
        <v>43082</v>
      </c>
      <c r="U87" t="s">
        <v>2730</v>
      </c>
      <c r="V87" t="s">
        <v>196</v>
      </c>
      <c r="W87" t="s">
        <v>2730</v>
      </c>
      <c r="X87" t="s">
        <v>197</v>
      </c>
      <c r="Y87">
        <v>3</v>
      </c>
      <c r="Z87">
        <v>3</v>
      </c>
      <c r="AA87">
        <v>2</v>
      </c>
      <c r="AB87">
        <v>3</v>
      </c>
      <c r="AC87">
        <v>3</v>
      </c>
      <c r="AD87">
        <v>3</v>
      </c>
      <c r="AE87" t="s">
        <v>2730</v>
      </c>
      <c r="AF87" t="s">
        <v>128</v>
      </c>
      <c r="AG87" t="s">
        <v>2730</v>
      </c>
      <c r="AH87" t="s">
        <v>2733</v>
      </c>
      <c r="AI87" t="s">
        <v>59</v>
      </c>
      <c r="AJ87" t="s">
        <v>59</v>
      </c>
      <c r="AK87" t="s">
        <v>59</v>
      </c>
      <c r="AL87" t="s">
        <v>59</v>
      </c>
      <c r="AM87" t="s">
        <v>59</v>
      </c>
      <c r="AN87" t="s">
        <v>59</v>
      </c>
      <c r="AO87" t="s">
        <v>59</v>
      </c>
      <c r="AP87" t="s">
        <v>60</v>
      </c>
      <c r="AQ87" t="s">
        <v>59</v>
      </c>
      <c r="AR87" t="s">
        <v>59</v>
      </c>
      <c r="AS87" t="s">
        <v>59</v>
      </c>
      <c r="AT87" t="s">
        <v>59</v>
      </c>
      <c r="AU87" t="s">
        <v>59</v>
      </c>
      <c r="AV87" t="s">
        <v>59</v>
      </c>
      <c r="AW87" t="s">
        <v>59</v>
      </c>
      <c r="AX87" t="s">
        <v>59</v>
      </c>
      <c r="AY87" t="s">
        <v>59</v>
      </c>
      <c r="AZ87" t="s">
        <v>59</v>
      </c>
      <c r="BA87" t="s">
        <v>59</v>
      </c>
      <c r="BB87" t="s">
        <v>59</v>
      </c>
      <c r="BC87" t="s">
        <v>218</v>
      </c>
      <c r="BD87" t="s">
        <v>218</v>
      </c>
      <c r="BE87" t="s">
        <v>218</v>
      </c>
      <c r="BF87" t="s">
        <v>218</v>
      </c>
      <c r="BG87" t="s">
        <v>59</v>
      </c>
      <c r="BH87" t="s">
        <v>218</v>
      </c>
      <c r="BI87" t="s">
        <v>59</v>
      </c>
      <c r="BJ87" t="s">
        <v>59</v>
      </c>
      <c r="BK87" t="s">
        <v>60</v>
      </c>
      <c r="BL87" t="s">
        <v>60</v>
      </c>
      <c r="BM87" t="s">
        <v>59</v>
      </c>
      <c r="BN87" t="s">
        <v>59</v>
      </c>
      <c r="BO87" t="s">
        <v>60</v>
      </c>
      <c r="BP87" t="s">
        <v>60</v>
      </c>
      <c r="BQ87" t="s">
        <v>59</v>
      </c>
      <c r="BR87" t="s">
        <v>59</v>
      </c>
      <c r="BS87" t="s">
        <v>59</v>
      </c>
      <c r="BT87" t="s">
        <v>59</v>
      </c>
      <c r="BU87" t="s">
        <v>59</v>
      </c>
      <c r="BV87" t="s">
        <v>59</v>
      </c>
      <c r="BW87" t="s">
        <v>59</v>
      </c>
      <c r="BX87" t="s">
        <v>59</v>
      </c>
      <c r="BY87" t="s">
        <v>59</v>
      </c>
      <c r="BZ87" t="s">
        <v>59</v>
      </c>
      <c r="CA87" t="s">
        <v>59</v>
      </c>
      <c r="CB87" t="s">
        <v>59</v>
      </c>
      <c r="CC87" t="s">
        <v>59</v>
      </c>
      <c r="CD87" t="s">
        <v>59</v>
      </c>
      <c r="CE87" t="s">
        <v>59</v>
      </c>
      <c r="CF87" t="s">
        <v>59</v>
      </c>
      <c r="CG87" t="s">
        <v>59</v>
      </c>
      <c r="CH87" t="s">
        <v>59</v>
      </c>
      <c r="CI87" t="s">
        <v>59</v>
      </c>
      <c r="CJ87" t="s">
        <v>59</v>
      </c>
      <c r="CK87" t="s">
        <v>59</v>
      </c>
      <c r="CL87" t="s">
        <v>59</v>
      </c>
      <c r="CM87" t="s">
        <v>59</v>
      </c>
      <c r="CN87" t="s">
        <v>59</v>
      </c>
      <c r="CO87" t="s">
        <v>218</v>
      </c>
      <c r="CP87" t="s">
        <v>218</v>
      </c>
      <c r="CQ87" t="s">
        <v>218</v>
      </c>
      <c r="CR87" t="s">
        <v>59</v>
      </c>
      <c r="CS87" t="s">
        <v>59</v>
      </c>
      <c r="CT87" t="s">
        <v>59</v>
      </c>
      <c r="CU87" t="s">
        <v>59</v>
      </c>
      <c r="CV87" t="s">
        <v>59</v>
      </c>
      <c r="CW87" t="s">
        <v>59</v>
      </c>
      <c r="CX87" t="s">
        <v>59</v>
      </c>
      <c r="CY87" t="s">
        <v>59</v>
      </c>
      <c r="CZ87" t="s">
        <v>59</v>
      </c>
      <c r="DA87" t="s">
        <v>59</v>
      </c>
      <c r="DB87" t="s">
        <v>60</v>
      </c>
      <c r="DC87" t="s">
        <v>60</v>
      </c>
      <c r="DD87" t="s">
        <v>60</v>
      </c>
      <c r="DE87" t="s">
        <v>59</v>
      </c>
      <c r="DF87" t="s">
        <v>59</v>
      </c>
      <c r="DG87" t="s">
        <v>59</v>
      </c>
      <c r="DH87" t="s">
        <v>59</v>
      </c>
      <c r="DI87" t="s">
        <v>59</v>
      </c>
      <c r="DJ87" t="s">
        <v>59</v>
      </c>
      <c r="DK87" t="s">
        <v>59</v>
      </c>
      <c r="DL87" t="s">
        <v>59</v>
      </c>
      <c r="DM87" t="s">
        <v>59</v>
      </c>
      <c r="DN87" t="s">
        <v>59</v>
      </c>
      <c r="DO87" t="s">
        <v>218</v>
      </c>
      <c r="DP87" t="s">
        <v>59</v>
      </c>
      <c r="DQ87" t="s">
        <v>218</v>
      </c>
      <c r="DR87" t="s">
        <v>218</v>
      </c>
      <c r="DS87" t="s">
        <v>218</v>
      </c>
      <c r="DT87" t="s">
        <v>218</v>
      </c>
      <c r="DU87" t="s">
        <v>218</v>
      </c>
      <c r="DV87" t="s">
        <v>218</v>
      </c>
      <c r="DW87" t="s">
        <v>218</v>
      </c>
      <c r="DX87" t="s">
        <v>218</v>
      </c>
      <c r="DY87" t="s">
        <v>218</v>
      </c>
      <c r="DZ87" t="s">
        <v>218</v>
      </c>
      <c r="EA87" t="s">
        <v>218</v>
      </c>
      <c r="EB87" t="s">
        <v>218</v>
      </c>
      <c r="EC87" t="s">
        <v>218</v>
      </c>
      <c r="ED87" t="s">
        <v>59</v>
      </c>
      <c r="EE87" t="s">
        <v>59</v>
      </c>
      <c r="EF87" t="s">
        <v>59</v>
      </c>
      <c r="EG87" t="s">
        <v>59</v>
      </c>
      <c r="EH87" t="s">
        <v>59</v>
      </c>
      <c r="EI87" t="s">
        <v>218</v>
      </c>
      <c r="EJ87" t="s">
        <v>218</v>
      </c>
      <c r="EK87" t="s">
        <v>218</v>
      </c>
      <c r="EL87" t="s">
        <v>218</v>
      </c>
      <c r="EM87" t="s">
        <v>218</v>
      </c>
      <c r="EN87" t="s">
        <v>59</v>
      </c>
      <c r="EO87" t="s">
        <v>59</v>
      </c>
      <c r="EP87" t="s">
        <v>59</v>
      </c>
      <c r="EQ87" t="s">
        <v>59</v>
      </c>
      <c r="ER87" t="s">
        <v>59</v>
      </c>
      <c r="ES87" t="s">
        <v>59</v>
      </c>
      <c r="ET87" t="s">
        <v>59</v>
      </c>
      <c r="EU87" t="s">
        <v>59</v>
      </c>
      <c r="EV87" t="s">
        <v>59</v>
      </c>
      <c r="EW87" t="s">
        <v>59</v>
      </c>
      <c r="EX87" t="s">
        <v>59</v>
      </c>
      <c r="EY87" t="s">
        <v>59</v>
      </c>
      <c r="EZ87" t="s">
        <v>59</v>
      </c>
      <c r="FA87" t="s">
        <v>59</v>
      </c>
      <c r="FB87" t="s">
        <v>59</v>
      </c>
      <c r="FC87" t="s">
        <v>59</v>
      </c>
      <c r="FD87" t="s">
        <v>59</v>
      </c>
      <c r="FE87" t="s">
        <v>59</v>
      </c>
      <c r="FF87" t="s">
        <v>59</v>
      </c>
      <c r="FG87" t="s">
        <v>59</v>
      </c>
      <c r="FH87" t="s">
        <v>218</v>
      </c>
      <c r="FI87" t="s">
        <v>218</v>
      </c>
      <c r="FJ87" t="s">
        <v>59</v>
      </c>
      <c r="FK87" t="s">
        <v>218</v>
      </c>
      <c r="FL87" t="s">
        <v>59</v>
      </c>
      <c r="FM87" t="s">
        <v>59</v>
      </c>
      <c r="FN87" t="s">
        <v>59</v>
      </c>
      <c r="FO87" t="s">
        <v>59</v>
      </c>
      <c r="FP87" t="s">
        <v>59</v>
      </c>
      <c r="FQ87" t="s">
        <v>59</v>
      </c>
      <c r="FR87" t="s">
        <v>59</v>
      </c>
      <c r="FS87" t="s">
        <v>218</v>
      </c>
      <c r="FT87" t="s">
        <v>59</v>
      </c>
      <c r="FU87" t="s">
        <v>59</v>
      </c>
      <c r="FV87" t="s">
        <v>59</v>
      </c>
      <c r="FW87" t="s">
        <v>59</v>
      </c>
      <c r="FX87" t="s">
        <v>59</v>
      </c>
      <c r="FY87" t="s">
        <v>59</v>
      </c>
      <c r="FZ87" t="s">
        <v>59</v>
      </c>
      <c r="GA87" t="s">
        <v>59</v>
      </c>
      <c r="GB87" t="s">
        <v>59</v>
      </c>
      <c r="GC87" t="s">
        <v>59</v>
      </c>
      <c r="GD87" t="s">
        <v>59</v>
      </c>
      <c r="GE87" t="s">
        <v>59</v>
      </c>
      <c r="GF87" t="s">
        <v>59</v>
      </c>
      <c r="GG87" t="s">
        <v>59</v>
      </c>
      <c r="GH87" t="s">
        <v>59</v>
      </c>
      <c r="GI87" t="s">
        <v>59</v>
      </c>
      <c r="GJ87" t="s">
        <v>59</v>
      </c>
      <c r="GK87" t="s">
        <v>218</v>
      </c>
      <c r="GL87" t="s">
        <v>59</v>
      </c>
      <c r="GM87" t="s">
        <v>59</v>
      </c>
      <c r="GN87" t="s">
        <v>59</v>
      </c>
      <c r="GO87" t="s">
        <v>59</v>
      </c>
      <c r="GP87" t="s">
        <v>59</v>
      </c>
      <c r="GQ87" t="s">
        <v>218</v>
      </c>
      <c r="GR87" t="s">
        <v>59</v>
      </c>
      <c r="GS87" t="s">
        <v>59</v>
      </c>
      <c r="GT87" t="s">
        <v>59</v>
      </c>
      <c r="GU87" t="s">
        <v>218</v>
      </c>
      <c r="GV87" t="s">
        <v>59</v>
      </c>
      <c r="GW87" t="s">
        <v>59</v>
      </c>
      <c r="GX87" t="s">
        <v>59</v>
      </c>
      <c r="GY87" t="s">
        <v>59</v>
      </c>
      <c r="GZ87" t="s">
        <v>59</v>
      </c>
      <c r="HA87" t="s">
        <v>218</v>
      </c>
      <c r="HB87" t="s">
        <v>218</v>
      </c>
      <c r="HC87" t="s">
        <v>59</v>
      </c>
      <c r="HD87" t="s">
        <v>59</v>
      </c>
      <c r="HE87" t="s">
        <v>59</v>
      </c>
      <c r="HF87" t="s">
        <v>59</v>
      </c>
      <c r="HG87" t="s">
        <v>59</v>
      </c>
      <c r="HH87" t="s">
        <v>59</v>
      </c>
      <c r="HI87" t="s">
        <v>59</v>
      </c>
      <c r="HJ87" t="s">
        <v>59</v>
      </c>
      <c r="HK87" t="s">
        <v>59</v>
      </c>
      <c r="HL87" t="s">
        <v>218</v>
      </c>
      <c r="HM87" t="s">
        <v>218</v>
      </c>
      <c r="HN87" t="s">
        <v>218</v>
      </c>
      <c r="HO87" t="s">
        <v>218</v>
      </c>
      <c r="HP87" t="s">
        <v>59</v>
      </c>
      <c r="HQ87" t="s">
        <v>59</v>
      </c>
      <c r="HR87" t="s">
        <v>59</v>
      </c>
      <c r="HS87" t="s">
        <v>59</v>
      </c>
      <c r="HT87" t="s">
        <v>59</v>
      </c>
      <c r="HU87" t="s">
        <v>59</v>
      </c>
      <c r="HV87" t="s">
        <v>59</v>
      </c>
      <c r="HW87" t="s">
        <v>59</v>
      </c>
      <c r="HX87" t="s">
        <v>59</v>
      </c>
      <c r="HY87" t="s">
        <v>59</v>
      </c>
      <c r="HZ87" t="s">
        <v>59</v>
      </c>
      <c r="IA87" t="s">
        <v>59</v>
      </c>
      <c r="IB87" t="s">
        <v>59</v>
      </c>
      <c r="IC87" t="s">
        <v>59</v>
      </c>
      <c r="ID87" t="s">
        <v>59</v>
      </c>
      <c r="IE87" t="s">
        <v>59</v>
      </c>
      <c r="IF87" t="s">
        <v>60</v>
      </c>
      <c r="IG87" t="s">
        <v>60</v>
      </c>
      <c r="IH87" t="s">
        <v>60</v>
      </c>
      <c r="II87" t="s">
        <v>59</v>
      </c>
      <c r="IJ87" t="s">
        <v>129</v>
      </c>
      <c r="IK87" t="s">
        <v>191</v>
      </c>
      <c r="IL87" t="s">
        <v>128</v>
      </c>
      <c r="IM87" t="s">
        <v>407</v>
      </c>
      <c r="IN87">
        <v>23</v>
      </c>
      <c r="IO87" t="s">
        <v>2730</v>
      </c>
      <c r="IP87" t="s">
        <v>2730</v>
      </c>
      <c r="IQ87">
        <v>4</v>
      </c>
      <c r="IR87">
        <v>15</v>
      </c>
      <c r="IS87" t="s">
        <v>2730</v>
      </c>
      <c r="IT87" t="s">
        <v>2730</v>
      </c>
      <c r="IU87" t="s">
        <v>2730</v>
      </c>
      <c r="IV87">
        <v>13</v>
      </c>
      <c r="IW87" t="s">
        <v>2730</v>
      </c>
      <c r="IX87" t="s">
        <v>2730</v>
      </c>
      <c r="IY87">
        <v>3</v>
      </c>
      <c r="IZ87">
        <v>37</v>
      </c>
      <c r="JA87" t="s">
        <v>2730</v>
      </c>
      <c r="JB87" t="s">
        <v>2730</v>
      </c>
      <c r="JC87" t="s">
        <v>2730</v>
      </c>
      <c r="JD87">
        <v>24</v>
      </c>
      <c r="JE87" t="s">
        <v>2730</v>
      </c>
      <c r="JF87" t="s">
        <v>2730</v>
      </c>
      <c r="JG87" t="s">
        <v>2730</v>
      </c>
      <c r="JH87">
        <v>22</v>
      </c>
      <c r="JI87" t="s">
        <v>2730</v>
      </c>
      <c r="JJ87" t="s">
        <v>2730</v>
      </c>
      <c r="JK87" t="s">
        <v>2730</v>
      </c>
      <c r="JL87">
        <v>16</v>
      </c>
      <c r="JM87" t="s">
        <v>2730</v>
      </c>
      <c r="JN87" t="s">
        <v>2730</v>
      </c>
      <c r="JO87">
        <v>1</v>
      </c>
      <c r="JP87" t="s">
        <v>2730</v>
      </c>
      <c r="JQ87">
        <v>3</v>
      </c>
    </row>
    <row r="88" spans="1:277">
      <c r="A88" s="149" t="str">
        <f>HYPERLINK("http://www.ofsted.gov.uk/inspection-reports/find-inspection-report/provider/ELS/136210 ","Ofsted School Webpage")</f>
        <v>Ofsted School Webpage</v>
      </c>
      <c r="B88">
        <v>1133728</v>
      </c>
      <c r="C88">
        <v>136210</v>
      </c>
      <c r="D88">
        <v>8526011</v>
      </c>
      <c r="E88" t="s">
        <v>475</v>
      </c>
      <c r="F88" t="s">
        <v>37</v>
      </c>
      <c r="G88" t="s">
        <v>209</v>
      </c>
      <c r="H88" t="s">
        <v>181</v>
      </c>
      <c r="I88" t="s">
        <v>181</v>
      </c>
      <c r="J88" t="s">
        <v>476</v>
      </c>
      <c r="K88" t="s">
        <v>477</v>
      </c>
      <c r="L88" t="s">
        <v>304</v>
      </c>
      <c r="M88" t="s">
        <v>2730</v>
      </c>
      <c r="N88" t="s">
        <v>223</v>
      </c>
      <c r="O88" t="s">
        <v>2730</v>
      </c>
      <c r="P88" t="s">
        <v>186</v>
      </c>
      <c r="Q88">
        <v>10033954</v>
      </c>
      <c r="R88" s="120">
        <v>43046</v>
      </c>
      <c r="S88" s="120">
        <v>43048</v>
      </c>
      <c r="T88" s="120">
        <v>43069</v>
      </c>
      <c r="U88" t="s">
        <v>2730</v>
      </c>
      <c r="V88" t="s">
        <v>196</v>
      </c>
      <c r="W88" t="s">
        <v>2730</v>
      </c>
      <c r="X88" t="s">
        <v>197</v>
      </c>
      <c r="Y88">
        <v>3</v>
      </c>
      <c r="Z88">
        <v>3</v>
      </c>
      <c r="AA88">
        <v>1</v>
      </c>
      <c r="AB88">
        <v>3</v>
      </c>
      <c r="AC88">
        <v>3</v>
      </c>
      <c r="AD88" t="s">
        <v>2730</v>
      </c>
      <c r="AE88" t="s">
        <v>2730</v>
      </c>
      <c r="AF88" t="s">
        <v>128</v>
      </c>
      <c r="AG88" t="s">
        <v>2730</v>
      </c>
      <c r="AH88" t="s">
        <v>2732</v>
      </c>
      <c r="AI88" t="s">
        <v>59</v>
      </c>
      <c r="AJ88" t="s">
        <v>59</v>
      </c>
      <c r="AK88" t="s">
        <v>59</v>
      </c>
      <c r="AL88" t="s">
        <v>59</v>
      </c>
      <c r="AM88" t="s">
        <v>59</v>
      </c>
      <c r="AN88" t="s">
        <v>59</v>
      </c>
      <c r="AO88" t="s">
        <v>59</v>
      </c>
      <c r="AP88" t="s">
        <v>59</v>
      </c>
      <c r="AQ88" t="s">
        <v>59</v>
      </c>
      <c r="AR88" t="s">
        <v>59</v>
      </c>
      <c r="AS88" t="s">
        <v>59</v>
      </c>
      <c r="AT88" t="s">
        <v>59</v>
      </c>
      <c r="AU88" t="s">
        <v>59</v>
      </c>
      <c r="AV88" t="s">
        <v>59</v>
      </c>
      <c r="AW88" t="s">
        <v>59</v>
      </c>
      <c r="AX88" t="s">
        <v>59</v>
      </c>
      <c r="AY88" t="s">
        <v>191</v>
      </c>
      <c r="AZ88" t="s">
        <v>59</v>
      </c>
      <c r="BA88" t="s">
        <v>59</v>
      </c>
      <c r="BB88" t="s">
        <v>59</v>
      </c>
      <c r="BC88" t="s">
        <v>191</v>
      </c>
      <c r="BD88" t="s">
        <v>191</v>
      </c>
      <c r="BE88" t="s">
        <v>191</v>
      </c>
      <c r="BF88" t="s">
        <v>191</v>
      </c>
      <c r="BG88" t="s">
        <v>191</v>
      </c>
      <c r="BH88" t="s">
        <v>191</v>
      </c>
      <c r="BI88" t="s">
        <v>59</v>
      </c>
      <c r="BJ88" t="s">
        <v>59</v>
      </c>
      <c r="BK88" t="s">
        <v>59</v>
      </c>
      <c r="BL88" t="s">
        <v>59</v>
      </c>
      <c r="BM88" t="s">
        <v>59</v>
      </c>
      <c r="BN88" t="s">
        <v>59</v>
      </c>
      <c r="BO88" t="s">
        <v>59</v>
      </c>
      <c r="BP88" t="s">
        <v>59</v>
      </c>
      <c r="BQ88" t="s">
        <v>59</v>
      </c>
      <c r="BR88" t="s">
        <v>59</v>
      </c>
      <c r="BS88" t="s">
        <v>59</v>
      </c>
      <c r="BT88" t="s">
        <v>59</v>
      </c>
      <c r="BU88" t="s">
        <v>59</v>
      </c>
      <c r="BV88" t="s">
        <v>59</v>
      </c>
      <c r="BW88" t="s">
        <v>59</v>
      </c>
      <c r="BX88" t="s">
        <v>59</v>
      </c>
      <c r="BY88" t="s">
        <v>59</v>
      </c>
      <c r="BZ88" t="s">
        <v>59</v>
      </c>
      <c r="CA88" t="s">
        <v>59</v>
      </c>
      <c r="CB88" t="s">
        <v>59</v>
      </c>
      <c r="CC88" t="s">
        <v>59</v>
      </c>
      <c r="CD88" t="s">
        <v>59</v>
      </c>
      <c r="CE88" t="s">
        <v>59</v>
      </c>
      <c r="CF88" t="s">
        <v>59</v>
      </c>
      <c r="CG88" t="s">
        <v>59</v>
      </c>
      <c r="CH88" t="s">
        <v>59</v>
      </c>
      <c r="CI88" t="s">
        <v>59</v>
      </c>
      <c r="CJ88" t="s">
        <v>59</v>
      </c>
      <c r="CK88" t="s">
        <v>59</v>
      </c>
      <c r="CL88" t="s">
        <v>59</v>
      </c>
      <c r="CM88" t="s">
        <v>59</v>
      </c>
      <c r="CN88" t="s">
        <v>59</v>
      </c>
      <c r="CO88" t="s">
        <v>191</v>
      </c>
      <c r="CP88" t="s">
        <v>191</v>
      </c>
      <c r="CQ88" t="s">
        <v>191</v>
      </c>
      <c r="CR88" t="s">
        <v>59</v>
      </c>
      <c r="CS88" t="s">
        <v>59</v>
      </c>
      <c r="CT88" t="s">
        <v>59</v>
      </c>
      <c r="CU88" t="s">
        <v>59</v>
      </c>
      <c r="CV88" t="s">
        <v>59</v>
      </c>
      <c r="CW88" t="s">
        <v>59</v>
      </c>
      <c r="CX88" t="s">
        <v>59</v>
      </c>
      <c r="CY88" t="s">
        <v>59</v>
      </c>
      <c r="CZ88" t="s">
        <v>59</v>
      </c>
      <c r="DA88" t="s">
        <v>59</v>
      </c>
      <c r="DB88" t="s">
        <v>59</v>
      </c>
      <c r="DC88" t="s">
        <v>59</v>
      </c>
      <c r="DD88" t="s">
        <v>59</v>
      </c>
      <c r="DE88" t="s">
        <v>59</v>
      </c>
      <c r="DF88" t="s">
        <v>59</v>
      </c>
      <c r="DG88" t="s">
        <v>59</v>
      </c>
      <c r="DH88" t="s">
        <v>59</v>
      </c>
      <c r="DI88" t="s">
        <v>59</v>
      </c>
      <c r="DJ88" t="s">
        <v>59</v>
      </c>
      <c r="DK88" t="s">
        <v>59</v>
      </c>
      <c r="DL88" t="s">
        <v>59</v>
      </c>
      <c r="DM88" t="s">
        <v>59</v>
      </c>
      <c r="DN88" t="s">
        <v>59</v>
      </c>
      <c r="DO88" t="s">
        <v>191</v>
      </c>
      <c r="DP88" t="s">
        <v>59</v>
      </c>
      <c r="DQ88" t="s">
        <v>59</v>
      </c>
      <c r="DR88" t="s">
        <v>59</v>
      </c>
      <c r="DS88" t="s">
        <v>59</v>
      </c>
      <c r="DT88" t="s">
        <v>59</v>
      </c>
      <c r="DU88" t="s">
        <v>59</v>
      </c>
      <c r="DV88" t="s">
        <v>59</v>
      </c>
      <c r="DW88" t="s">
        <v>59</v>
      </c>
      <c r="DX88" t="s">
        <v>59</v>
      </c>
      <c r="DY88" t="s">
        <v>59</v>
      </c>
      <c r="DZ88" t="s">
        <v>59</v>
      </c>
      <c r="EA88" t="s">
        <v>59</v>
      </c>
      <c r="EB88" t="s">
        <v>59</v>
      </c>
      <c r="EC88" t="s">
        <v>191</v>
      </c>
      <c r="ED88" t="s">
        <v>59</v>
      </c>
      <c r="EE88" t="s">
        <v>59</v>
      </c>
      <c r="EF88" t="s">
        <v>59</v>
      </c>
      <c r="EG88" t="s">
        <v>59</v>
      </c>
      <c r="EH88" t="s">
        <v>59</v>
      </c>
      <c r="EI88" t="s">
        <v>59</v>
      </c>
      <c r="EJ88" t="s">
        <v>59</v>
      </c>
      <c r="EK88" t="s">
        <v>59</v>
      </c>
      <c r="EL88" t="s">
        <v>59</v>
      </c>
      <c r="EM88" t="s">
        <v>59</v>
      </c>
      <c r="EN88" t="s">
        <v>59</v>
      </c>
      <c r="EO88" t="s">
        <v>59</v>
      </c>
      <c r="EP88" t="s">
        <v>59</v>
      </c>
      <c r="EQ88" t="s">
        <v>59</v>
      </c>
      <c r="ER88" t="s">
        <v>59</v>
      </c>
      <c r="ES88" t="s">
        <v>59</v>
      </c>
      <c r="ET88" t="s">
        <v>59</v>
      </c>
      <c r="EU88" t="s">
        <v>59</v>
      </c>
      <c r="EV88" t="s">
        <v>59</v>
      </c>
      <c r="EW88" t="s">
        <v>59</v>
      </c>
      <c r="EX88" t="s">
        <v>59</v>
      </c>
      <c r="EY88" t="s">
        <v>59</v>
      </c>
      <c r="EZ88" t="s">
        <v>59</v>
      </c>
      <c r="FA88" t="s">
        <v>191</v>
      </c>
      <c r="FB88" t="s">
        <v>59</v>
      </c>
      <c r="FC88" t="s">
        <v>59</v>
      </c>
      <c r="FD88" t="s">
        <v>59</v>
      </c>
      <c r="FE88" t="s">
        <v>59</v>
      </c>
      <c r="FF88" t="s">
        <v>59</v>
      </c>
      <c r="FG88" t="s">
        <v>59</v>
      </c>
      <c r="FH88" t="s">
        <v>59</v>
      </c>
      <c r="FI88" t="s">
        <v>191</v>
      </c>
      <c r="FJ88" t="s">
        <v>191</v>
      </c>
      <c r="FK88" t="s">
        <v>191</v>
      </c>
      <c r="FL88" t="s">
        <v>59</v>
      </c>
      <c r="FM88" t="s">
        <v>59</v>
      </c>
      <c r="FN88" t="s">
        <v>59</v>
      </c>
      <c r="FO88" t="s">
        <v>191</v>
      </c>
      <c r="FP88" t="s">
        <v>59</v>
      </c>
      <c r="FQ88" t="s">
        <v>59</v>
      </c>
      <c r="FR88" t="s">
        <v>59</v>
      </c>
      <c r="FS88" t="s">
        <v>191</v>
      </c>
      <c r="FT88" t="s">
        <v>59</v>
      </c>
      <c r="FU88" t="s">
        <v>59</v>
      </c>
      <c r="FV88" t="s">
        <v>59</v>
      </c>
      <c r="FW88" t="s">
        <v>59</v>
      </c>
      <c r="FX88" t="s">
        <v>59</v>
      </c>
      <c r="FY88" t="s">
        <v>59</v>
      </c>
      <c r="FZ88" t="s">
        <v>59</v>
      </c>
      <c r="GA88" t="s">
        <v>59</v>
      </c>
      <c r="GB88" t="s">
        <v>59</v>
      </c>
      <c r="GC88" t="s">
        <v>59</v>
      </c>
      <c r="GD88" t="s">
        <v>59</v>
      </c>
      <c r="GE88" t="s">
        <v>59</v>
      </c>
      <c r="GF88" t="s">
        <v>59</v>
      </c>
      <c r="GG88" t="s">
        <v>59</v>
      </c>
      <c r="GH88" t="s">
        <v>59</v>
      </c>
      <c r="GI88" t="s">
        <v>59</v>
      </c>
      <c r="GJ88" t="s">
        <v>59</v>
      </c>
      <c r="GK88" t="s">
        <v>191</v>
      </c>
      <c r="GL88" t="s">
        <v>59</v>
      </c>
      <c r="GM88" t="s">
        <v>59</v>
      </c>
      <c r="GN88" t="s">
        <v>59</v>
      </c>
      <c r="GO88" t="s">
        <v>59</v>
      </c>
      <c r="GP88" t="s">
        <v>59</v>
      </c>
      <c r="GQ88" t="s">
        <v>191</v>
      </c>
      <c r="GR88" t="s">
        <v>59</v>
      </c>
      <c r="GS88" t="s">
        <v>59</v>
      </c>
      <c r="GT88" t="s">
        <v>191</v>
      </c>
      <c r="GU88" t="s">
        <v>191</v>
      </c>
      <c r="GV88" t="s">
        <v>59</v>
      </c>
      <c r="GW88" t="s">
        <v>59</v>
      </c>
      <c r="GX88" t="s">
        <v>59</v>
      </c>
      <c r="GY88" t="s">
        <v>59</v>
      </c>
      <c r="GZ88" t="s">
        <v>191</v>
      </c>
      <c r="HA88" t="s">
        <v>59</v>
      </c>
      <c r="HB88" t="s">
        <v>59</v>
      </c>
      <c r="HC88" t="s">
        <v>59</v>
      </c>
      <c r="HD88" t="s">
        <v>59</v>
      </c>
      <c r="HE88" t="s">
        <v>59</v>
      </c>
      <c r="HF88" t="s">
        <v>59</v>
      </c>
      <c r="HG88" t="s">
        <v>59</v>
      </c>
      <c r="HH88" t="s">
        <v>59</v>
      </c>
      <c r="HI88" t="s">
        <v>59</v>
      </c>
      <c r="HJ88" t="s">
        <v>59</v>
      </c>
      <c r="HK88" t="s">
        <v>59</v>
      </c>
      <c r="HL88" t="s">
        <v>191</v>
      </c>
      <c r="HM88" t="s">
        <v>191</v>
      </c>
      <c r="HN88" t="s">
        <v>191</v>
      </c>
      <c r="HO88" t="s">
        <v>191</v>
      </c>
      <c r="HP88" t="s">
        <v>59</v>
      </c>
      <c r="HQ88" t="s">
        <v>59</v>
      </c>
      <c r="HR88" t="s">
        <v>59</v>
      </c>
      <c r="HS88" t="s">
        <v>59</v>
      </c>
      <c r="HT88" t="s">
        <v>59</v>
      </c>
      <c r="HU88" t="s">
        <v>59</v>
      </c>
      <c r="HV88" t="s">
        <v>59</v>
      </c>
      <c r="HW88" t="s">
        <v>59</v>
      </c>
      <c r="HX88" t="s">
        <v>59</v>
      </c>
      <c r="HY88" t="s">
        <v>59</v>
      </c>
      <c r="HZ88" t="s">
        <v>59</v>
      </c>
      <c r="IA88" t="s">
        <v>59</v>
      </c>
      <c r="IB88" t="s">
        <v>59</v>
      </c>
      <c r="IC88" t="s">
        <v>59</v>
      </c>
      <c r="ID88" t="s">
        <v>59</v>
      </c>
      <c r="IE88" t="s">
        <v>59</v>
      </c>
      <c r="IF88" t="s">
        <v>59</v>
      </c>
      <c r="IG88" t="s">
        <v>59</v>
      </c>
      <c r="IH88" t="s">
        <v>59</v>
      </c>
      <c r="II88" t="s">
        <v>59</v>
      </c>
      <c r="IJ88" t="s">
        <v>129</v>
      </c>
      <c r="IK88" t="s">
        <v>198</v>
      </c>
      <c r="IL88" t="s">
        <v>128</v>
      </c>
      <c r="IM88" t="s">
        <v>199</v>
      </c>
      <c r="IN88">
        <v>25</v>
      </c>
      <c r="IO88" t="s">
        <v>2730</v>
      </c>
      <c r="IP88">
        <v>7</v>
      </c>
      <c r="IQ88" t="s">
        <v>2730</v>
      </c>
      <c r="IR88">
        <v>15</v>
      </c>
      <c r="IS88" t="s">
        <v>2730</v>
      </c>
      <c r="IT88" t="s">
        <v>2730</v>
      </c>
      <c r="IU88" t="s">
        <v>2730</v>
      </c>
      <c r="IV88">
        <v>16</v>
      </c>
      <c r="IW88" t="s">
        <v>2730</v>
      </c>
      <c r="IX88">
        <v>3</v>
      </c>
      <c r="IY88" t="s">
        <v>2730</v>
      </c>
      <c r="IZ88">
        <v>53</v>
      </c>
      <c r="JA88" t="s">
        <v>2730</v>
      </c>
      <c r="JB88">
        <v>6</v>
      </c>
      <c r="JC88" t="s">
        <v>2730</v>
      </c>
      <c r="JD88">
        <v>23</v>
      </c>
      <c r="JE88" t="s">
        <v>2730</v>
      </c>
      <c r="JF88">
        <v>3</v>
      </c>
      <c r="JG88" t="s">
        <v>2730</v>
      </c>
      <c r="JH88">
        <v>22</v>
      </c>
      <c r="JI88" t="s">
        <v>2730</v>
      </c>
      <c r="JJ88">
        <v>8</v>
      </c>
      <c r="JK88" t="s">
        <v>2730</v>
      </c>
      <c r="JL88">
        <v>16</v>
      </c>
      <c r="JM88" t="s">
        <v>2730</v>
      </c>
      <c r="JN88" t="s">
        <v>2730</v>
      </c>
      <c r="JO88">
        <v>4</v>
      </c>
      <c r="JP88" t="s">
        <v>2730</v>
      </c>
      <c r="JQ88" t="s">
        <v>2730</v>
      </c>
    </row>
    <row r="89" spans="1:277">
      <c r="A89" s="149" t="str">
        <f>HYPERLINK("http://www.ofsted.gov.uk/inspection-reports/find-inspection-report/provider/ELS/133533 ","Ofsted School Webpage")</f>
        <v>Ofsted School Webpage</v>
      </c>
      <c r="B89">
        <v>1134684</v>
      </c>
      <c r="C89">
        <v>133533</v>
      </c>
      <c r="D89">
        <v>3026114</v>
      </c>
      <c r="E89" t="s">
        <v>387</v>
      </c>
      <c r="F89" t="s">
        <v>37</v>
      </c>
      <c r="G89" t="s">
        <v>209</v>
      </c>
      <c r="H89" t="s">
        <v>232</v>
      </c>
      <c r="I89" t="s">
        <v>232</v>
      </c>
      <c r="J89" t="s">
        <v>311</v>
      </c>
      <c r="K89" t="s">
        <v>388</v>
      </c>
      <c r="L89" t="s">
        <v>184</v>
      </c>
      <c r="M89" t="s">
        <v>185</v>
      </c>
      <c r="N89" t="s">
        <v>318</v>
      </c>
      <c r="O89" t="s">
        <v>2730</v>
      </c>
      <c r="P89" t="s">
        <v>186</v>
      </c>
      <c r="Q89">
        <v>10038166</v>
      </c>
      <c r="R89" s="120">
        <v>43025</v>
      </c>
      <c r="S89" s="120">
        <v>43027</v>
      </c>
      <c r="T89" s="120">
        <v>43066</v>
      </c>
      <c r="U89" t="s">
        <v>2730</v>
      </c>
      <c r="V89" t="s">
        <v>196</v>
      </c>
      <c r="W89" t="s">
        <v>2730</v>
      </c>
      <c r="X89" t="s">
        <v>197</v>
      </c>
      <c r="Y89">
        <v>2</v>
      </c>
      <c r="Z89">
        <v>2</v>
      </c>
      <c r="AA89">
        <v>2</v>
      </c>
      <c r="AB89">
        <v>2</v>
      </c>
      <c r="AC89">
        <v>2</v>
      </c>
      <c r="AD89">
        <v>3</v>
      </c>
      <c r="AE89" t="s">
        <v>2730</v>
      </c>
      <c r="AF89" t="s">
        <v>128</v>
      </c>
      <c r="AG89" t="s">
        <v>2730</v>
      </c>
      <c r="AH89" t="s">
        <v>2732</v>
      </c>
      <c r="AI89" t="s">
        <v>59</v>
      </c>
      <c r="AJ89" t="s">
        <v>59</v>
      </c>
      <c r="AK89" t="s">
        <v>59</v>
      </c>
      <c r="AL89" t="s">
        <v>59</v>
      </c>
      <c r="AM89" t="s">
        <v>59</v>
      </c>
      <c r="AN89" t="s">
        <v>59</v>
      </c>
      <c r="AO89" t="s">
        <v>59</v>
      </c>
      <c r="AP89" t="s">
        <v>59</v>
      </c>
      <c r="AQ89" t="s">
        <v>59</v>
      </c>
      <c r="AR89" t="s">
        <v>59</v>
      </c>
      <c r="AS89" t="s">
        <v>59</v>
      </c>
      <c r="AT89" t="s">
        <v>59</v>
      </c>
      <c r="AU89" t="s">
        <v>59</v>
      </c>
      <c r="AV89" t="s">
        <v>59</v>
      </c>
      <c r="AW89" t="s">
        <v>59</v>
      </c>
      <c r="AX89" t="s">
        <v>59</v>
      </c>
      <c r="AY89" t="s">
        <v>218</v>
      </c>
      <c r="AZ89" t="s">
        <v>59</v>
      </c>
      <c r="BA89" t="s">
        <v>59</v>
      </c>
      <c r="BB89" t="s">
        <v>59</v>
      </c>
      <c r="BC89" t="s">
        <v>218</v>
      </c>
      <c r="BD89" t="s">
        <v>218</v>
      </c>
      <c r="BE89" t="s">
        <v>218</v>
      </c>
      <c r="BF89" t="s">
        <v>218</v>
      </c>
      <c r="BG89" t="s">
        <v>59</v>
      </c>
      <c r="BH89" t="s">
        <v>218</v>
      </c>
      <c r="BI89" t="s">
        <v>59</v>
      </c>
      <c r="BJ89" t="s">
        <v>59</v>
      </c>
      <c r="BK89" t="s">
        <v>59</v>
      </c>
      <c r="BL89" t="s">
        <v>59</v>
      </c>
      <c r="BM89" t="s">
        <v>59</v>
      </c>
      <c r="BN89" t="s">
        <v>59</v>
      </c>
      <c r="BO89" t="s">
        <v>59</v>
      </c>
      <c r="BP89" t="s">
        <v>59</v>
      </c>
      <c r="BQ89" t="s">
        <v>59</v>
      </c>
      <c r="BR89" t="s">
        <v>59</v>
      </c>
      <c r="BS89" t="s">
        <v>59</v>
      </c>
      <c r="BT89" t="s">
        <v>59</v>
      </c>
      <c r="BU89" t="s">
        <v>59</v>
      </c>
      <c r="BV89" t="s">
        <v>59</v>
      </c>
      <c r="BW89" t="s">
        <v>59</v>
      </c>
      <c r="BX89" t="s">
        <v>59</v>
      </c>
      <c r="BY89" t="s">
        <v>59</v>
      </c>
      <c r="BZ89" t="s">
        <v>59</v>
      </c>
      <c r="CA89" t="s">
        <v>59</v>
      </c>
      <c r="CB89" t="s">
        <v>59</v>
      </c>
      <c r="CC89" t="s">
        <v>59</v>
      </c>
      <c r="CD89" t="s">
        <v>59</v>
      </c>
      <c r="CE89" t="s">
        <v>59</v>
      </c>
      <c r="CF89" t="s">
        <v>59</v>
      </c>
      <c r="CG89" t="s">
        <v>59</v>
      </c>
      <c r="CH89" t="s">
        <v>59</v>
      </c>
      <c r="CI89" t="s">
        <v>59</v>
      </c>
      <c r="CJ89" t="s">
        <v>59</v>
      </c>
      <c r="CK89" t="s">
        <v>59</v>
      </c>
      <c r="CL89" t="s">
        <v>59</v>
      </c>
      <c r="CM89" t="s">
        <v>59</v>
      </c>
      <c r="CN89" t="s">
        <v>59</v>
      </c>
      <c r="CO89" t="s">
        <v>218</v>
      </c>
      <c r="CP89" t="s">
        <v>218</v>
      </c>
      <c r="CQ89" t="s">
        <v>218</v>
      </c>
      <c r="CR89" t="s">
        <v>59</v>
      </c>
      <c r="CS89" t="s">
        <v>59</v>
      </c>
      <c r="CT89" t="s">
        <v>59</v>
      </c>
      <c r="CU89" t="s">
        <v>59</v>
      </c>
      <c r="CV89" t="s">
        <v>59</v>
      </c>
      <c r="CW89" t="s">
        <v>59</v>
      </c>
      <c r="CX89" t="s">
        <v>59</v>
      </c>
      <c r="CY89" t="s">
        <v>59</v>
      </c>
      <c r="CZ89" t="s">
        <v>59</v>
      </c>
      <c r="DA89" t="s">
        <v>59</v>
      </c>
      <c r="DB89" t="s">
        <v>59</v>
      </c>
      <c r="DC89" t="s">
        <v>59</v>
      </c>
      <c r="DD89" t="s">
        <v>59</v>
      </c>
      <c r="DE89" t="s">
        <v>59</v>
      </c>
      <c r="DF89" t="s">
        <v>59</v>
      </c>
      <c r="DG89" t="s">
        <v>59</v>
      </c>
      <c r="DH89" t="s">
        <v>59</v>
      </c>
      <c r="DI89" t="s">
        <v>59</v>
      </c>
      <c r="DJ89" t="s">
        <v>59</v>
      </c>
      <c r="DK89" t="s">
        <v>59</v>
      </c>
      <c r="DL89" t="s">
        <v>59</v>
      </c>
      <c r="DM89" t="s">
        <v>59</v>
      </c>
      <c r="DN89" t="s">
        <v>218</v>
      </c>
      <c r="DO89" t="s">
        <v>218</v>
      </c>
      <c r="DP89" t="s">
        <v>59</v>
      </c>
      <c r="DQ89" t="s">
        <v>218</v>
      </c>
      <c r="DR89" t="s">
        <v>218</v>
      </c>
      <c r="DS89" t="s">
        <v>218</v>
      </c>
      <c r="DT89" t="s">
        <v>218</v>
      </c>
      <c r="DU89" t="s">
        <v>218</v>
      </c>
      <c r="DV89" t="s">
        <v>218</v>
      </c>
      <c r="DW89" t="s">
        <v>218</v>
      </c>
      <c r="DX89" t="s">
        <v>218</v>
      </c>
      <c r="DY89" t="s">
        <v>218</v>
      </c>
      <c r="DZ89" t="s">
        <v>218</v>
      </c>
      <c r="EA89" t="s">
        <v>218</v>
      </c>
      <c r="EB89" t="s">
        <v>218</v>
      </c>
      <c r="EC89" t="s">
        <v>218</v>
      </c>
      <c r="ED89" t="s">
        <v>59</v>
      </c>
      <c r="EE89" t="s">
        <v>59</v>
      </c>
      <c r="EF89" t="s">
        <v>59</v>
      </c>
      <c r="EG89" t="s">
        <v>59</v>
      </c>
      <c r="EH89" t="s">
        <v>59</v>
      </c>
      <c r="EI89" t="s">
        <v>59</v>
      </c>
      <c r="EJ89" t="s">
        <v>59</v>
      </c>
      <c r="EK89" t="s">
        <v>59</v>
      </c>
      <c r="EL89" t="s">
        <v>59</v>
      </c>
      <c r="EM89" t="s">
        <v>59</v>
      </c>
      <c r="EN89" t="s">
        <v>59</v>
      </c>
      <c r="EO89" t="s">
        <v>59</v>
      </c>
      <c r="EP89" t="s">
        <v>59</v>
      </c>
      <c r="EQ89" t="s">
        <v>59</v>
      </c>
      <c r="ER89" t="s">
        <v>59</v>
      </c>
      <c r="ES89" t="s">
        <v>59</v>
      </c>
      <c r="ET89" t="s">
        <v>59</v>
      </c>
      <c r="EU89" t="s">
        <v>59</v>
      </c>
      <c r="EV89" t="s">
        <v>59</v>
      </c>
      <c r="EW89" t="s">
        <v>59</v>
      </c>
      <c r="EX89" t="s">
        <v>59</v>
      </c>
      <c r="EY89" t="s">
        <v>59</v>
      </c>
      <c r="EZ89" t="s">
        <v>59</v>
      </c>
      <c r="FA89" t="s">
        <v>59</v>
      </c>
      <c r="FB89" t="s">
        <v>218</v>
      </c>
      <c r="FC89" t="s">
        <v>218</v>
      </c>
      <c r="FD89" t="s">
        <v>218</v>
      </c>
      <c r="FE89" t="s">
        <v>218</v>
      </c>
      <c r="FF89" t="s">
        <v>218</v>
      </c>
      <c r="FG89" t="s">
        <v>218</v>
      </c>
      <c r="FH89" t="s">
        <v>218</v>
      </c>
      <c r="FI89" t="s">
        <v>218</v>
      </c>
      <c r="FJ89" t="s">
        <v>191</v>
      </c>
      <c r="FK89" t="s">
        <v>218</v>
      </c>
      <c r="FL89" t="s">
        <v>59</v>
      </c>
      <c r="FM89" t="s">
        <v>59</v>
      </c>
      <c r="FN89" t="s">
        <v>59</v>
      </c>
      <c r="FO89" t="s">
        <v>218</v>
      </c>
      <c r="FP89" t="s">
        <v>59</v>
      </c>
      <c r="FQ89" t="s">
        <v>59</v>
      </c>
      <c r="FR89" t="s">
        <v>59</v>
      </c>
      <c r="FS89" t="s">
        <v>218</v>
      </c>
      <c r="FT89" t="s">
        <v>59</v>
      </c>
      <c r="FU89" t="s">
        <v>59</v>
      </c>
      <c r="FV89" t="s">
        <v>59</v>
      </c>
      <c r="FW89" t="s">
        <v>59</v>
      </c>
      <c r="FX89" t="s">
        <v>59</v>
      </c>
      <c r="FY89" t="s">
        <v>59</v>
      </c>
      <c r="FZ89" t="s">
        <v>59</v>
      </c>
      <c r="GA89" t="s">
        <v>59</v>
      </c>
      <c r="GB89" t="s">
        <v>59</v>
      </c>
      <c r="GC89" t="s">
        <v>59</v>
      </c>
      <c r="GD89" t="s">
        <v>59</v>
      </c>
      <c r="GE89" t="s">
        <v>59</v>
      </c>
      <c r="GF89" t="s">
        <v>59</v>
      </c>
      <c r="GG89" t="s">
        <v>59</v>
      </c>
      <c r="GH89" t="s">
        <v>59</v>
      </c>
      <c r="GI89" t="s">
        <v>59</v>
      </c>
      <c r="GJ89" t="s">
        <v>59</v>
      </c>
      <c r="GK89" t="s">
        <v>218</v>
      </c>
      <c r="GL89" t="s">
        <v>59</v>
      </c>
      <c r="GM89" t="s">
        <v>59</v>
      </c>
      <c r="GN89" t="s">
        <v>59</v>
      </c>
      <c r="GO89" t="s">
        <v>59</v>
      </c>
      <c r="GP89" t="s">
        <v>59</v>
      </c>
      <c r="GQ89" t="s">
        <v>218</v>
      </c>
      <c r="GR89" t="s">
        <v>59</v>
      </c>
      <c r="GS89" t="s">
        <v>59</v>
      </c>
      <c r="GT89" t="s">
        <v>218</v>
      </c>
      <c r="GU89" t="s">
        <v>59</v>
      </c>
      <c r="GV89" t="s">
        <v>59</v>
      </c>
      <c r="GW89" t="s">
        <v>59</v>
      </c>
      <c r="GX89" t="s">
        <v>59</v>
      </c>
      <c r="GY89" t="s">
        <v>59</v>
      </c>
      <c r="GZ89" t="s">
        <v>59</v>
      </c>
      <c r="HA89" t="s">
        <v>218</v>
      </c>
      <c r="HB89" t="s">
        <v>59</v>
      </c>
      <c r="HC89" t="s">
        <v>59</v>
      </c>
      <c r="HD89" t="s">
        <v>59</v>
      </c>
      <c r="HE89" t="s">
        <v>59</v>
      </c>
      <c r="HF89" t="s">
        <v>59</v>
      </c>
      <c r="HG89" t="s">
        <v>59</v>
      </c>
      <c r="HH89" t="s">
        <v>59</v>
      </c>
      <c r="HI89" t="s">
        <v>59</v>
      </c>
      <c r="HJ89" t="s">
        <v>59</v>
      </c>
      <c r="HK89" t="s">
        <v>59</v>
      </c>
      <c r="HL89" t="s">
        <v>218</v>
      </c>
      <c r="HM89" t="s">
        <v>218</v>
      </c>
      <c r="HN89" t="s">
        <v>218</v>
      </c>
      <c r="HO89" t="s">
        <v>218</v>
      </c>
      <c r="HP89" t="s">
        <v>59</v>
      </c>
      <c r="HQ89" t="s">
        <v>59</v>
      </c>
      <c r="HR89" t="s">
        <v>59</v>
      </c>
      <c r="HS89" t="s">
        <v>59</v>
      </c>
      <c r="HT89" t="s">
        <v>59</v>
      </c>
      <c r="HU89" t="s">
        <v>59</v>
      </c>
      <c r="HV89" t="s">
        <v>59</v>
      </c>
      <c r="HW89" t="s">
        <v>59</v>
      </c>
      <c r="HX89" t="s">
        <v>59</v>
      </c>
      <c r="HY89" t="s">
        <v>59</v>
      </c>
      <c r="HZ89" t="s">
        <v>59</v>
      </c>
      <c r="IA89" t="s">
        <v>59</v>
      </c>
      <c r="IB89" t="s">
        <v>59</v>
      </c>
      <c r="IC89" t="s">
        <v>59</v>
      </c>
      <c r="ID89" t="s">
        <v>59</v>
      </c>
      <c r="IE89" t="s">
        <v>59</v>
      </c>
      <c r="IF89" t="s">
        <v>59</v>
      </c>
      <c r="IG89" t="s">
        <v>59</v>
      </c>
      <c r="IH89" t="s">
        <v>59</v>
      </c>
      <c r="II89" t="s">
        <v>59</v>
      </c>
      <c r="IJ89" t="s">
        <v>129</v>
      </c>
      <c r="IK89" t="s">
        <v>191</v>
      </c>
      <c r="IL89" t="s">
        <v>128</v>
      </c>
      <c r="IM89" t="s">
        <v>199</v>
      </c>
      <c r="IN89">
        <v>26</v>
      </c>
      <c r="IO89" t="s">
        <v>2730</v>
      </c>
      <c r="IP89" t="s">
        <v>2730</v>
      </c>
      <c r="IQ89" t="s">
        <v>2730</v>
      </c>
      <c r="IR89">
        <v>15</v>
      </c>
      <c r="IS89" t="s">
        <v>2730</v>
      </c>
      <c r="IT89" t="s">
        <v>2730</v>
      </c>
      <c r="IU89" t="s">
        <v>2730</v>
      </c>
      <c r="IV89">
        <v>16</v>
      </c>
      <c r="IW89" t="s">
        <v>2730</v>
      </c>
      <c r="IX89" t="s">
        <v>2730</v>
      </c>
      <c r="IY89" t="s">
        <v>2730</v>
      </c>
      <c r="IZ89">
        <v>34</v>
      </c>
      <c r="JA89" t="s">
        <v>2730</v>
      </c>
      <c r="JB89">
        <v>1</v>
      </c>
      <c r="JC89" t="s">
        <v>2730</v>
      </c>
      <c r="JD89">
        <v>23</v>
      </c>
      <c r="JE89" t="s">
        <v>2730</v>
      </c>
      <c r="JF89" t="s">
        <v>2730</v>
      </c>
      <c r="JG89" t="s">
        <v>2730</v>
      </c>
      <c r="JH89">
        <v>23</v>
      </c>
      <c r="JI89" t="s">
        <v>2730</v>
      </c>
      <c r="JJ89" t="s">
        <v>2730</v>
      </c>
      <c r="JK89" t="s">
        <v>2730</v>
      </c>
      <c r="JL89">
        <v>16</v>
      </c>
      <c r="JM89" t="s">
        <v>2730</v>
      </c>
      <c r="JN89" t="s">
        <v>2730</v>
      </c>
      <c r="JO89">
        <v>4</v>
      </c>
      <c r="JP89" t="s">
        <v>2730</v>
      </c>
      <c r="JQ89" t="s">
        <v>2730</v>
      </c>
    </row>
    <row r="90" spans="1:277">
      <c r="A90" s="149" t="str">
        <f>HYPERLINK("http://www.ofsted.gov.uk/inspection-reports/find-inspection-report/provider/ELS/131165 ","Ofsted School Webpage")</f>
        <v>Ofsted School Webpage</v>
      </c>
      <c r="B90">
        <v>1135819</v>
      </c>
      <c r="C90">
        <v>131165</v>
      </c>
      <c r="D90">
        <v>2056390</v>
      </c>
      <c r="E90" t="s">
        <v>428</v>
      </c>
      <c r="F90" t="s">
        <v>37</v>
      </c>
      <c r="G90" t="s">
        <v>209</v>
      </c>
      <c r="H90" t="s">
        <v>232</v>
      </c>
      <c r="I90" t="s">
        <v>232</v>
      </c>
      <c r="J90" t="s">
        <v>300</v>
      </c>
      <c r="K90" t="s">
        <v>429</v>
      </c>
      <c r="L90" t="s">
        <v>184</v>
      </c>
      <c r="M90" t="s">
        <v>185</v>
      </c>
      <c r="N90" t="s">
        <v>184</v>
      </c>
      <c r="O90" t="s">
        <v>2730</v>
      </c>
      <c r="P90" t="s">
        <v>186</v>
      </c>
      <c r="Q90">
        <v>10035790</v>
      </c>
      <c r="R90" s="120">
        <v>42997</v>
      </c>
      <c r="S90" s="120">
        <v>42999</v>
      </c>
      <c r="T90" s="120">
        <v>43026</v>
      </c>
      <c r="U90" t="s">
        <v>2730</v>
      </c>
      <c r="V90" t="s">
        <v>196</v>
      </c>
      <c r="W90" t="s">
        <v>2730</v>
      </c>
      <c r="X90" t="s">
        <v>197</v>
      </c>
      <c r="Y90">
        <v>2</v>
      </c>
      <c r="Z90">
        <v>2</v>
      </c>
      <c r="AA90">
        <v>1</v>
      </c>
      <c r="AB90">
        <v>2</v>
      </c>
      <c r="AC90">
        <v>2</v>
      </c>
      <c r="AD90">
        <v>2</v>
      </c>
      <c r="AE90" t="s">
        <v>2730</v>
      </c>
      <c r="AF90" t="s">
        <v>128</v>
      </c>
      <c r="AG90" t="s">
        <v>2730</v>
      </c>
      <c r="AH90" t="s">
        <v>2732</v>
      </c>
      <c r="AI90" t="s">
        <v>59</v>
      </c>
      <c r="AJ90" t="s">
        <v>59</v>
      </c>
      <c r="AK90" t="s">
        <v>59</v>
      </c>
      <c r="AL90" t="s">
        <v>59</v>
      </c>
      <c r="AM90" t="s">
        <v>59</v>
      </c>
      <c r="AN90" t="s">
        <v>59</v>
      </c>
      <c r="AO90" t="s">
        <v>59</v>
      </c>
      <c r="AP90" t="s">
        <v>59</v>
      </c>
      <c r="AQ90" t="s">
        <v>59</v>
      </c>
      <c r="AR90" t="s">
        <v>59</v>
      </c>
      <c r="AS90" t="s">
        <v>59</v>
      </c>
      <c r="AT90" t="s">
        <v>59</v>
      </c>
      <c r="AU90" t="s">
        <v>59</v>
      </c>
      <c r="AV90" t="s">
        <v>59</v>
      </c>
      <c r="AW90" t="s">
        <v>59</v>
      </c>
      <c r="AX90" t="s">
        <v>59</v>
      </c>
      <c r="AY90" t="s">
        <v>218</v>
      </c>
      <c r="AZ90" t="s">
        <v>59</v>
      </c>
      <c r="BA90" t="s">
        <v>59</v>
      </c>
      <c r="BB90" t="s">
        <v>59</v>
      </c>
      <c r="BC90" t="s">
        <v>59</v>
      </c>
      <c r="BD90" t="s">
        <v>59</v>
      </c>
      <c r="BE90" t="s">
        <v>59</v>
      </c>
      <c r="BF90" t="s">
        <v>59</v>
      </c>
      <c r="BG90" t="s">
        <v>59</v>
      </c>
      <c r="BH90" t="s">
        <v>218</v>
      </c>
      <c r="BI90" t="s">
        <v>59</v>
      </c>
      <c r="BJ90" t="s">
        <v>59</v>
      </c>
      <c r="BK90" t="s">
        <v>59</v>
      </c>
      <c r="BL90" t="s">
        <v>59</v>
      </c>
      <c r="BM90" t="s">
        <v>59</v>
      </c>
      <c r="BN90" t="s">
        <v>59</v>
      </c>
      <c r="BO90" t="s">
        <v>59</v>
      </c>
      <c r="BP90" t="s">
        <v>59</v>
      </c>
      <c r="BQ90" t="s">
        <v>59</v>
      </c>
      <c r="BR90" t="s">
        <v>59</v>
      </c>
      <c r="BS90" t="s">
        <v>59</v>
      </c>
      <c r="BT90" t="s">
        <v>59</v>
      </c>
      <c r="BU90" t="s">
        <v>59</v>
      </c>
      <c r="BV90" t="s">
        <v>59</v>
      </c>
      <c r="BW90" t="s">
        <v>59</v>
      </c>
      <c r="BX90" t="s">
        <v>59</v>
      </c>
      <c r="BY90" t="s">
        <v>59</v>
      </c>
      <c r="BZ90" t="s">
        <v>59</v>
      </c>
      <c r="CA90" t="s">
        <v>59</v>
      </c>
      <c r="CB90" t="s">
        <v>59</v>
      </c>
      <c r="CC90" t="s">
        <v>59</v>
      </c>
      <c r="CD90" t="s">
        <v>59</v>
      </c>
      <c r="CE90" t="s">
        <v>59</v>
      </c>
      <c r="CF90" t="s">
        <v>59</v>
      </c>
      <c r="CG90" t="s">
        <v>59</v>
      </c>
      <c r="CH90" t="s">
        <v>59</v>
      </c>
      <c r="CI90" t="s">
        <v>59</v>
      </c>
      <c r="CJ90" t="s">
        <v>59</v>
      </c>
      <c r="CK90" t="s">
        <v>59</v>
      </c>
      <c r="CL90" t="s">
        <v>59</v>
      </c>
      <c r="CM90" t="s">
        <v>59</v>
      </c>
      <c r="CN90" t="s">
        <v>59</v>
      </c>
      <c r="CO90" t="s">
        <v>218</v>
      </c>
      <c r="CP90" t="s">
        <v>218</v>
      </c>
      <c r="CQ90" t="s">
        <v>218</v>
      </c>
      <c r="CR90" t="s">
        <v>59</v>
      </c>
      <c r="CS90" t="s">
        <v>59</v>
      </c>
      <c r="CT90" t="s">
        <v>59</v>
      </c>
      <c r="CU90" t="s">
        <v>59</v>
      </c>
      <c r="CV90" t="s">
        <v>59</v>
      </c>
      <c r="CW90" t="s">
        <v>59</v>
      </c>
      <c r="CX90" t="s">
        <v>59</v>
      </c>
      <c r="CY90" t="s">
        <v>59</v>
      </c>
      <c r="CZ90" t="s">
        <v>59</v>
      </c>
      <c r="DA90" t="s">
        <v>59</v>
      </c>
      <c r="DB90" t="s">
        <v>59</v>
      </c>
      <c r="DC90" t="s">
        <v>59</v>
      </c>
      <c r="DD90" t="s">
        <v>59</v>
      </c>
      <c r="DE90" t="s">
        <v>59</v>
      </c>
      <c r="DF90" t="s">
        <v>59</v>
      </c>
      <c r="DG90" t="s">
        <v>59</v>
      </c>
      <c r="DH90" t="s">
        <v>59</v>
      </c>
      <c r="DI90" t="s">
        <v>59</v>
      </c>
      <c r="DJ90" t="s">
        <v>59</v>
      </c>
      <c r="DK90" t="s">
        <v>59</v>
      </c>
      <c r="DL90" t="s">
        <v>59</v>
      </c>
      <c r="DM90" t="s">
        <v>59</v>
      </c>
      <c r="DN90" t="s">
        <v>59</v>
      </c>
      <c r="DO90" t="s">
        <v>59</v>
      </c>
      <c r="DP90" t="s">
        <v>59</v>
      </c>
      <c r="DQ90" t="s">
        <v>218</v>
      </c>
      <c r="DR90" t="s">
        <v>218</v>
      </c>
      <c r="DS90" t="s">
        <v>218</v>
      </c>
      <c r="DT90" t="s">
        <v>218</v>
      </c>
      <c r="DU90" t="s">
        <v>218</v>
      </c>
      <c r="DV90" t="s">
        <v>218</v>
      </c>
      <c r="DW90" t="s">
        <v>218</v>
      </c>
      <c r="DX90" t="s">
        <v>218</v>
      </c>
      <c r="DY90" t="s">
        <v>218</v>
      </c>
      <c r="DZ90" t="s">
        <v>218</v>
      </c>
      <c r="EA90" t="s">
        <v>218</v>
      </c>
      <c r="EB90" t="s">
        <v>218</v>
      </c>
      <c r="EC90" t="s">
        <v>218</v>
      </c>
      <c r="ED90" t="s">
        <v>218</v>
      </c>
      <c r="EE90" t="s">
        <v>59</v>
      </c>
      <c r="EF90" t="s">
        <v>59</v>
      </c>
      <c r="EG90" t="s">
        <v>59</v>
      </c>
      <c r="EH90" t="s">
        <v>59</v>
      </c>
      <c r="EI90" t="s">
        <v>59</v>
      </c>
      <c r="EJ90" t="s">
        <v>59</v>
      </c>
      <c r="EK90" t="s">
        <v>59</v>
      </c>
      <c r="EL90" t="s">
        <v>59</v>
      </c>
      <c r="EM90" t="s">
        <v>59</v>
      </c>
      <c r="EN90" t="s">
        <v>59</v>
      </c>
      <c r="EO90" t="s">
        <v>59</v>
      </c>
      <c r="EP90" t="s">
        <v>59</v>
      </c>
      <c r="EQ90" t="s">
        <v>59</v>
      </c>
      <c r="ER90" t="s">
        <v>59</v>
      </c>
      <c r="ES90" t="s">
        <v>59</v>
      </c>
      <c r="ET90" t="s">
        <v>59</v>
      </c>
      <c r="EU90" t="s">
        <v>59</v>
      </c>
      <c r="EV90" t="s">
        <v>59</v>
      </c>
      <c r="EW90" t="s">
        <v>59</v>
      </c>
      <c r="EX90" t="s">
        <v>59</v>
      </c>
      <c r="EY90" t="s">
        <v>59</v>
      </c>
      <c r="EZ90" t="s">
        <v>59</v>
      </c>
      <c r="FA90" t="s">
        <v>59</v>
      </c>
      <c r="FB90" t="s">
        <v>59</v>
      </c>
      <c r="FC90" t="s">
        <v>59</v>
      </c>
      <c r="FD90" t="s">
        <v>59</v>
      </c>
      <c r="FE90" t="s">
        <v>59</v>
      </c>
      <c r="FF90" t="s">
        <v>59</v>
      </c>
      <c r="FG90" t="s">
        <v>59</v>
      </c>
      <c r="FH90" t="s">
        <v>59</v>
      </c>
      <c r="FI90" t="s">
        <v>59</v>
      </c>
      <c r="FJ90" t="s">
        <v>59</v>
      </c>
      <c r="FK90" t="s">
        <v>59</v>
      </c>
      <c r="FL90" t="s">
        <v>59</v>
      </c>
      <c r="FM90" t="s">
        <v>59</v>
      </c>
      <c r="FN90" t="s">
        <v>59</v>
      </c>
      <c r="FO90" t="s">
        <v>59</v>
      </c>
      <c r="FP90" t="s">
        <v>59</v>
      </c>
      <c r="FQ90" t="s">
        <v>59</v>
      </c>
      <c r="FR90" t="s">
        <v>59</v>
      </c>
      <c r="FS90" t="s">
        <v>218</v>
      </c>
      <c r="FT90" t="s">
        <v>59</v>
      </c>
      <c r="FU90" t="s">
        <v>59</v>
      </c>
      <c r="FV90" t="s">
        <v>59</v>
      </c>
      <c r="FW90" t="s">
        <v>59</v>
      </c>
      <c r="FX90" t="s">
        <v>59</v>
      </c>
      <c r="FY90" t="s">
        <v>59</v>
      </c>
      <c r="FZ90" t="s">
        <v>59</v>
      </c>
      <c r="GA90" t="s">
        <v>59</v>
      </c>
      <c r="GB90" t="s">
        <v>59</v>
      </c>
      <c r="GC90" t="s">
        <v>59</v>
      </c>
      <c r="GD90" t="s">
        <v>59</v>
      </c>
      <c r="GE90" t="s">
        <v>59</v>
      </c>
      <c r="GF90" t="s">
        <v>59</v>
      </c>
      <c r="GG90" t="s">
        <v>59</v>
      </c>
      <c r="GH90" t="s">
        <v>59</v>
      </c>
      <c r="GI90" t="s">
        <v>59</v>
      </c>
      <c r="GJ90" t="s">
        <v>59</v>
      </c>
      <c r="GK90" t="s">
        <v>218</v>
      </c>
      <c r="GL90" t="s">
        <v>59</v>
      </c>
      <c r="GM90" t="s">
        <v>59</v>
      </c>
      <c r="GN90" t="s">
        <v>59</v>
      </c>
      <c r="GO90" t="s">
        <v>59</v>
      </c>
      <c r="GP90" t="s">
        <v>59</v>
      </c>
      <c r="GQ90" t="s">
        <v>218</v>
      </c>
      <c r="GR90" t="s">
        <v>59</v>
      </c>
      <c r="GS90" t="s">
        <v>59</v>
      </c>
      <c r="GT90" t="s">
        <v>218</v>
      </c>
      <c r="GU90" t="s">
        <v>59</v>
      </c>
      <c r="GV90" t="s">
        <v>59</v>
      </c>
      <c r="GW90" t="s">
        <v>59</v>
      </c>
      <c r="GX90" t="s">
        <v>59</v>
      </c>
      <c r="GY90" t="s">
        <v>59</v>
      </c>
      <c r="GZ90" t="s">
        <v>218</v>
      </c>
      <c r="HA90" t="s">
        <v>59</v>
      </c>
      <c r="HB90" t="s">
        <v>59</v>
      </c>
      <c r="HC90" t="s">
        <v>59</v>
      </c>
      <c r="HD90" t="s">
        <v>59</v>
      </c>
      <c r="HE90" t="s">
        <v>59</v>
      </c>
      <c r="HF90" t="s">
        <v>59</v>
      </c>
      <c r="HG90" t="s">
        <v>59</v>
      </c>
      <c r="HH90" t="s">
        <v>59</v>
      </c>
      <c r="HI90" t="s">
        <v>59</v>
      </c>
      <c r="HJ90" t="s">
        <v>59</v>
      </c>
      <c r="HK90" t="s">
        <v>59</v>
      </c>
      <c r="HL90" t="s">
        <v>59</v>
      </c>
      <c r="HM90" t="s">
        <v>59</v>
      </c>
      <c r="HN90" t="s">
        <v>59</v>
      </c>
      <c r="HO90" t="s">
        <v>59</v>
      </c>
      <c r="HP90" t="s">
        <v>59</v>
      </c>
      <c r="HQ90" t="s">
        <v>59</v>
      </c>
      <c r="HR90" t="s">
        <v>59</v>
      </c>
      <c r="HS90" t="s">
        <v>59</v>
      </c>
      <c r="HT90" t="s">
        <v>59</v>
      </c>
      <c r="HU90" t="s">
        <v>59</v>
      </c>
      <c r="HV90" t="s">
        <v>59</v>
      </c>
      <c r="HW90" t="s">
        <v>59</v>
      </c>
      <c r="HX90" t="s">
        <v>59</v>
      </c>
      <c r="HY90" t="s">
        <v>59</v>
      </c>
      <c r="HZ90" t="s">
        <v>59</v>
      </c>
      <c r="IA90" t="s">
        <v>59</v>
      </c>
      <c r="IB90" t="s">
        <v>59</v>
      </c>
      <c r="IC90" t="s">
        <v>59</v>
      </c>
      <c r="ID90" t="s">
        <v>59</v>
      </c>
      <c r="IE90" t="s">
        <v>59</v>
      </c>
      <c r="IF90" t="s">
        <v>59</v>
      </c>
      <c r="IG90" t="s">
        <v>59</v>
      </c>
      <c r="IH90" t="s">
        <v>59</v>
      </c>
      <c r="II90" t="s">
        <v>59</v>
      </c>
      <c r="IJ90" t="s">
        <v>129</v>
      </c>
      <c r="IK90" t="s">
        <v>191</v>
      </c>
      <c r="IL90" t="s">
        <v>128</v>
      </c>
      <c r="IM90" t="s">
        <v>199</v>
      </c>
      <c r="IN90">
        <v>30</v>
      </c>
      <c r="IO90" t="s">
        <v>2730</v>
      </c>
      <c r="IP90" t="s">
        <v>2730</v>
      </c>
      <c r="IQ90" t="s">
        <v>2730</v>
      </c>
      <c r="IR90">
        <v>15</v>
      </c>
      <c r="IS90" t="s">
        <v>2730</v>
      </c>
      <c r="IT90" t="s">
        <v>2730</v>
      </c>
      <c r="IU90" t="s">
        <v>2730</v>
      </c>
      <c r="IV90">
        <v>16</v>
      </c>
      <c r="IW90" t="s">
        <v>2730</v>
      </c>
      <c r="IX90" t="s">
        <v>2730</v>
      </c>
      <c r="IY90" t="s">
        <v>2730</v>
      </c>
      <c r="IZ90">
        <v>45</v>
      </c>
      <c r="JA90" t="s">
        <v>2730</v>
      </c>
      <c r="JB90" t="s">
        <v>2730</v>
      </c>
      <c r="JC90" t="s">
        <v>2730</v>
      </c>
      <c r="JD90">
        <v>24</v>
      </c>
      <c r="JE90" t="s">
        <v>2730</v>
      </c>
      <c r="JF90" t="s">
        <v>2730</v>
      </c>
      <c r="JG90" t="s">
        <v>2730</v>
      </c>
      <c r="JH90">
        <v>27</v>
      </c>
      <c r="JI90" t="s">
        <v>2730</v>
      </c>
      <c r="JJ90" t="s">
        <v>2730</v>
      </c>
      <c r="JK90" t="s">
        <v>2730</v>
      </c>
      <c r="JL90">
        <v>16</v>
      </c>
      <c r="JM90" t="s">
        <v>2730</v>
      </c>
      <c r="JN90" t="s">
        <v>2730</v>
      </c>
      <c r="JO90">
        <v>4</v>
      </c>
      <c r="JP90" t="s">
        <v>2730</v>
      </c>
      <c r="JQ90" t="s">
        <v>2730</v>
      </c>
    </row>
    <row r="91" spans="1:277">
      <c r="A91" s="149" t="str">
        <f>HYPERLINK("http://www.ofsted.gov.uk/inspection-reports/find-inspection-report/provider/ELS/141247 ","Ofsted School Webpage")</f>
        <v>Ofsted School Webpage</v>
      </c>
      <c r="B91">
        <v>1133737</v>
      </c>
      <c r="C91">
        <v>141247</v>
      </c>
      <c r="D91">
        <v>3086003</v>
      </c>
      <c r="E91" t="s">
        <v>463</v>
      </c>
      <c r="F91" t="s">
        <v>37</v>
      </c>
      <c r="G91" t="s">
        <v>209</v>
      </c>
      <c r="H91" t="s">
        <v>232</v>
      </c>
      <c r="I91" t="s">
        <v>232</v>
      </c>
      <c r="J91" t="s">
        <v>259</v>
      </c>
      <c r="K91" t="s">
        <v>464</v>
      </c>
      <c r="L91" t="s">
        <v>184</v>
      </c>
      <c r="M91" t="s">
        <v>185</v>
      </c>
      <c r="N91" t="s">
        <v>184</v>
      </c>
      <c r="O91" t="s">
        <v>2730</v>
      </c>
      <c r="P91" t="s">
        <v>186</v>
      </c>
      <c r="Q91">
        <v>10035814</v>
      </c>
      <c r="R91" s="120">
        <v>42990</v>
      </c>
      <c r="S91" s="120">
        <v>42992</v>
      </c>
      <c r="T91" s="120">
        <v>43021</v>
      </c>
      <c r="U91" t="s">
        <v>2730</v>
      </c>
      <c r="V91" t="s">
        <v>196</v>
      </c>
      <c r="W91" t="s">
        <v>2730</v>
      </c>
      <c r="X91" t="s">
        <v>197</v>
      </c>
      <c r="Y91">
        <v>2</v>
      </c>
      <c r="Z91">
        <v>2</v>
      </c>
      <c r="AA91">
        <v>2</v>
      </c>
      <c r="AB91">
        <v>2</v>
      </c>
      <c r="AC91">
        <v>2</v>
      </c>
      <c r="AD91" t="s">
        <v>2730</v>
      </c>
      <c r="AE91" t="s">
        <v>2730</v>
      </c>
      <c r="AF91" t="s">
        <v>128</v>
      </c>
      <c r="AG91" t="s">
        <v>2730</v>
      </c>
      <c r="AH91" t="s">
        <v>2732</v>
      </c>
      <c r="AI91" t="s">
        <v>59</v>
      </c>
      <c r="AJ91" t="s">
        <v>59</v>
      </c>
      <c r="AK91" t="s">
        <v>59</v>
      </c>
      <c r="AL91" t="s">
        <v>59</v>
      </c>
      <c r="AM91" t="s">
        <v>59</v>
      </c>
      <c r="AN91" t="s">
        <v>59</v>
      </c>
      <c r="AO91" t="s">
        <v>59</v>
      </c>
      <c r="AP91" t="s">
        <v>59</v>
      </c>
      <c r="AQ91" t="s">
        <v>59</v>
      </c>
      <c r="AR91" t="s">
        <v>59</v>
      </c>
      <c r="AS91" t="s">
        <v>59</v>
      </c>
      <c r="AT91" t="s">
        <v>59</v>
      </c>
      <c r="AU91" t="s">
        <v>59</v>
      </c>
      <c r="AV91" t="s">
        <v>59</v>
      </c>
      <c r="AW91" t="s">
        <v>59</v>
      </c>
      <c r="AX91" t="s">
        <v>59</v>
      </c>
      <c r="AY91" t="s">
        <v>191</v>
      </c>
      <c r="AZ91" t="s">
        <v>59</v>
      </c>
      <c r="BA91" t="s">
        <v>59</v>
      </c>
      <c r="BB91" t="s">
        <v>59</v>
      </c>
      <c r="BC91" t="s">
        <v>59</v>
      </c>
      <c r="BD91" t="s">
        <v>59</v>
      </c>
      <c r="BE91" t="s">
        <v>59</v>
      </c>
      <c r="BF91" t="s">
        <v>59</v>
      </c>
      <c r="BG91" t="s">
        <v>191</v>
      </c>
      <c r="BH91" t="s">
        <v>191</v>
      </c>
      <c r="BI91" t="s">
        <v>59</v>
      </c>
      <c r="BJ91" t="s">
        <v>59</v>
      </c>
      <c r="BK91" t="s">
        <v>59</v>
      </c>
      <c r="BL91" t="s">
        <v>59</v>
      </c>
      <c r="BM91" t="s">
        <v>59</v>
      </c>
      <c r="BN91" t="s">
        <v>59</v>
      </c>
      <c r="BO91" t="s">
        <v>59</v>
      </c>
      <c r="BP91" t="s">
        <v>59</v>
      </c>
      <c r="BQ91" t="s">
        <v>59</v>
      </c>
      <c r="BR91" t="s">
        <v>59</v>
      </c>
      <c r="BS91" t="s">
        <v>59</v>
      </c>
      <c r="BT91" t="s">
        <v>59</v>
      </c>
      <c r="BU91" t="s">
        <v>59</v>
      </c>
      <c r="BV91" t="s">
        <v>59</v>
      </c>
      <c r="BW91" t="s">
        <v>59</v>
      </c>
      <c r="BX91" t="s">
        <v>59</v>
      </c>
      <c r="BY91" t="s">
        <v>59</v>
      </c>
      <c r="BZ91" t="s">
        <v>59</v>
      </c>
      <c r="CA91" t="s">
        <v>59</v>
      </c>
      <c r="CB91" t="s">
        <v>59</v>
      </c>
      <c r="CC91" t="s">
        <v>59</v>
      </c>
      <c r="CD91" t="s">
        <v>59</v>
      </c>
      <c r="CE91" t="s">
        <v>59</v>
      </c>
      <c r="CF91" t="s">
        <v>59</v>
      </c>
      <c r="CG91" t="s">
        <v>59</v>
      </c>
      <c r="CH91" t="s">
        <v>59</v>
      </c>
      <c r="CI91" t="s">
        <v>59</v>
      </c>
      <c r="CJ91" t="s">
        <v>59</v>
      </c>
      <c r="CK91" t="s">
        <v>59</v>
      </c>
      <c r="CL91" t="s">
        <v>59</v>
      </c>
      <c r="CM91" t="s">
        <v>59</v>
      </c>
      <c r="CN91" t="s">
        <v>59</v>
      </c>
      <c r="CO91" t="s">
        <v>191</v>
      </c>
      <c r="CP91" t="s">
        <v>191</v>
      </c>
      <c r="CQ91" t="s">
        <v>191</v>
      </c>
      <c r="CR91" t="s">
        <v>59</v>
      </c>
      <c r="CS91" t="s">
        <v>59</v>
      </c>
      <c r="CT91" t="s">
        <v>59</v>
      </c>
      <c r="CU91" t="s">
        <v>59</v>
      </c>
      <c r="CV91" t="s">
        <v>59</v>
      </c>
      <c r="CW91" t="s">
        <v>59</v>
      </c>
      <c r="CX91" t="s">
        <v>59</v>
      </c>
      <c r="CY91" t="s">
        <v>59</v>
      </c>
      <c r="CZ91" t="s">
        <v>59</v>
      </c>
      <c r="DA91" t="s">
        <v>59</v>
      </c>
      <c r="DB91" t="s">
        <v>59</v>
      </c>
      <c r="DC91" t="s">
        <v>59</v>
      </c>
      <c r="DD91" t="s">
        <v>59</v>
      </c>
      <c r="DE91" t="s">
        <v>59</v>
      </c>
      <c r="DF91" t="s">
        <v>59</v>
      </c>
      <c r="DG91" t="s">
        <v>59</v>
      </c>
      <c r="DH91" t="s">
        <v>59</v>
      </c>
      <c r="DI91" t="s">
        <v>59</v>
      </c>
      <c r="DJ91" t="s">
        <v>59</v>
      </c>
      <c r="DK91" t="s">
        <v>59</v>
      </c>
      <c r="DL91" t="s">
        <v>59</v>
      </c>
      <c r="DM91" t="s">
        <v>59</v>
      </c>
      <c r="DN91" t="s">
        <v>59</v>
      </c>
      <c r="DO91" t="s">
        <v>191</v>
      </c>
      <c r="DP91" t="s">
        <v>59</v>
      </c>
      <c r="DQ91" t="s">
        <v>59</v>
      </c>
      <c r="DR91" t="s">
        <v>59</v>
      </c>
      <c r="DS91" t="s">
        <v>59</v>
      </c>
      <c r="DT91" t="s">
        <v>59</v>
      </c>
      <c r="DU91" t="s">
        <v>59</v>
      </c>
      <c r="DV91" t="s">
        <v>59</v>
      </c>
      <c r="DW91" t="s">
        <v>59</v>
      </c>
      <c r="DX91" t="s">
        <v>59</v>
      </c>
      <c r="DY91" t="s">
        <v>59</v>
      </c>
      <c r="DZ91" t="s">
        <v>59</v>
      </c>
      <c r="EA91" t="s">
        <v>59</v>
      </c>
      <c r="EB91" t="s">
        <v>59</v>
      </c>
      <c r="EC91" t="s">
        <v>191</v>
      </c>
      <c r="ED91" t="s">
        <v>59</v>
      </c>
      <c r="EE91" t="s">
        <v>59</v>
      </c>
      <c r="EF91" t="s">
        <v>59</v>
      </c>
      <c r="EG91" t="s">
        <v>59</v>
      </c>
      <c r="EH91" t="s">
        <v>59</v>
      </c>
      <c r="EI91" t="s">
        <v>59</v>
      </c>
      <c r="EJ91" t="s">
        <v>59</v>
      </c>
      <c r="EK91" t="s">
        <v>59</v>
      </c>
      <c r="EL91" t="s">
        <v>59</v>
      </c>
      <c r="EM91" t="s">
        <v>59</v>
      </c>
      <c r="EN91" t="s">
        <v>59</v>
      </c>
      <c r="EO91" t="s">
        <v>59</v>
      </c>
      <c r="EP91" t="s">
        <v>59</v>
      </c>
      <c r="EQ91" t="s">
        <v>59</v>
      </c>
      <c r="ER91" t="s">
        <v>59</v>
      </c>
      <c r="ES91" t="s">
        <v>59</v>
      </c>
      <c r="ET91" t="s">
        <v>59</v>
      </c>
      <c r="EU91" t="s">
        <v>59</v>
      </c>
      <c r="EV91" t="s">
        <v>59</v>
      </c>
      <c r="EW91" t="s">
        <v>59</v>
      </c>
      <c r="EX91" t="s">
        <v>59</v>
      </c>
      <c r="EY91" t="s">
        <v>59</v>
      </c>
      <c r="EZ91" t="s">
        <v>59</v>
      </c>
      <c r="FA91" t="s">
        <v>59</v>
      </c>
      <c r="FB91" t="s">
        <v>59</v>
      </c>
      <c r="FC91" t="s">
        <v>59</v>
      </c>
      <c r="FD91" t="s">
        <v>59</v>
      </c>
      <c r="FE91" t="s">
        <v>59</v>
      </c>
      <c r="FF91" t="s">
        <v>59</v>
      </c>
      <c r="FG91" t="s">
        <v>59</v>
      </c>
      <c r="FH91" t="s">
        <v>59</v>
      </c>
      <c r="FI91" t="s">
        <v>59</v>
      </c>
      <c r="FJ91" t="s">
        <v>59</v>
      </c>
      <c r="FK91" t="s">
        <v>59</v>
      </c>
      <c r="FL91" t="s">
        <v>59</v>
      </c>
      <c r="FM91" t="s">
        <v>59</v>
      </c>
      <c r="FN91" t="s">
        <v>59</v>
      </c>
      <c r="FO91" t="s">
        <v>59</v>
      </c>
      <c r="FP91" t="s">
        <v>59</v>
      </c>
      <c r="FQ91" t="s">
        <v>59</v>
      </c>
      <c r="FR91" t="s">
        <v>59</v>
      </c>
      <c r="FS91" t="s">
        <v>191</v>
      </c>
      <c r="FT91" t="s">
        <v>59</v>
      </c>
      <c r="FU91" t="s">
        <v>59</v>
      </c>
      <c r="FV91" t="s">
        <v>59</v>
      </c>
      <c r="FW91" t="s">
        <v>59</v>
      </c>
      <c r="FX91" t="s">
        <v>59</v>
      </c>
      <c r="FY91" t="s">
        <v>59</v>
      </c>
      <c r="FZ91" t="s">
        <v>59</v>
      </c>
      <c r="GA91" t="s">
        <v>59</v>
      </c>
      <c r="GB91" t="s">
        <v>59</v>
      </c>
      <c r="GC91" t="s">
        <v>59</v>
      </c>
      <c r="GD91" t="s">
        <v>59</v>
      </c>
      <c r="GE91" t="s">
        <v>59</v>
      </c>
      <c r="GF91" t="s">
        <v>59</v>
      </c>
      <c r="GG91" t="s">
        <v>59</v>
      </c>
      <c r="GH91" t="s">
        <v>59</v>
      </c>
      <c r="GI91" t="s">
        <v>59</v>
      </c>
      <c r="GJ91" t="s">
        <v>191</v>
      </c>
      <c r="GK91" t="s">
        <v>191</v>
      </c>
      <c r="GL91" t="s">
        <v>59</v>
      </c>
      <c r="GM91" t="s">
        <v>59</v>
      </c>
      <c r="GN91" t="s">
        <v>59</v>
      </c>
      <c r="GO91" t="s">
        <v>59</v>
      </c>
      <c r="GP91" t="s">
        <v>59</v>
      </c>
      <c r="GQ91" t="s">
        <v>59</v>
      </c>
      <c r="GR91" t="s">
        <v>59</v>
      </c>
      <c r="GS91" t="s">
        <v>59</v>
      </c>
      <c r="GT91" t="s">
        <v>59</v>
      </c>
      <c r="GU91" t="s">
        <v>59</v>
      </c>
      <c r="GV91" t="s">
        <v>59</v>
      </c>
      <c r="GW91" t="s">
        <v>59</v>
      </c>
      <c r="GX91" t="s">
        <v>59</v>
      </c>
      <c r="GY91" t="s">
        <v>59</v>
      </c>
      <c r="GZ91" t="s">
        <v>59</v>
      </c>
      <c r="HA91" t="s">
        <v>191</v>
      </c>
      <c r="HB91" t="s">
        <v>191</v>
      </c>
      <c r="HC91" t="s">
        <v>59</v>
      </c>
      <c r="HD91" t="s">
        <v>59</v>
      </c>
      <c r="HE91" t="s">
        <v>59</v>
      </c>
      <c r="HF91" t="s">
        <v>59</v>
      </c>
      <c r="HG91" t="s">
        <v>59</v>
      </c>
      <c r="HH91" t="s">
        <v>59</v>
      </c>
      <c r="HI91" t="s">
        <v>59</v>
      </c>
      <c r="HJ91" t="s">
        <v>59</v>
      </c>
      <c r="HK91" t="s">
        <v>59</v>
      </c>
      <c r="HL91" t="s">
        <v>59</v>
      </c>
      <c r="HM91" t="s">
        <v>59</v>
      </c>
      <c r="HN91" t="s">
        <v>59</v>
      </c>
      <c r="HO91" t="s">
        <v>59</v>
      </c>
      <c r="HP91" t="s">
        <v>59</v>
      </c>
      <c r="HQ91" t="s">
        <v>59</v>
      </c>
      <c r="HR91" t="s">
        <v>59</v>
      </c>
      <c r="HS91" t="s">
        <v>59</v>
      </c>
      <c r="HT91" t="s">
        <v>59</v>
      </c>
      <c r="HU91" t="s">
        <v>59</v>
      </c>
      <c r="HV91" t="s">
        <v>59</v>
      </c>
      <c r="HW91" t="s">
        <v>59</v>
      </c>
      <c r="HX91" t="s">
        <v>59</v>
      </c>
      <c r="HY91" t="s">
        <v>59</v>
      </c>
      <c r="HZ91" t="s">
        <v>59</v>
      </c>
      <c r="IA91" t="s">
        <v>59</v>
      </c>
      <c r="IB91" t="s">
        <v>59</v>
      </c>
      <c r="IC91" t="s">
        <v>59</v>
      </c>
      <c r="ID91" t="s">
        <v>59</v>
      </c>
      <c r="IE91" t="s">
        <v>59</v>
      </c>
      <c r="IF91" t="s">
        <v>59</v>
      </c>
      <c r="IG91" t="s">
        <v>59</v>
      </c>
      <c r="IH91" t="s">
        <v>59</v>
      </c>
      <c r="II91" t="s">
        <v>59</v>
      </c>
      <c r="IJ91" t="s">
        <v>129</v>
      </c>
      <c r="IK91" t="s">
        <v>198</v>
      </c>
      <c r="IL91" t="s">
        <v>128</v>
      </c>
      <c r="IM91" t="s">
        <v>199</v>
      </c>
      <c r="IN91">
        <v>29</v>
      </c>
      <c r="IO91" t="s">
        <v>2730</v>
      </c>
      <c r="IP91">
        <v>3</v>
      </c>
      <c r="IQ91" t="s">
        <v>2730</v>
      </c>
      <c r="IR91">
        <v>15</v>
      </c>
      <c r="IS91" t="s">
        <v>2730</v>
      </c>
      <c r="IT91" t="s">
        <v>2730</v>
      </c>
      <c r="IU91" t="s">
        <v>2730</v>
      </c>
      <c r="IV91">
        <v>16</v>
      </c>
      <c r="IW91" t="s">
        <v>2730</v>
      </c>
      <c r="IX91">
        <v>3</v>
      </c>
      <c r="IY91" t="s">
        <v>2730</v>
      </c>
      <c r="IZ91">
        <v>57</v>
      </c>
      <c r="JA91" t="s">
        <v>2730</v>
      </c>
      <c r="JB91">
        <v>2</v>
      </c>
      <c r="JC91" t="s">
        <v>2730</v>
      </c>
      <c r="JD91">
        <v>23</v>
      </c>
      <c r="JE91" t="s">
        <v>2730</v>
      </c>
      <c r="JF91">
        <v>3</v>
      </c>
      <c r="JG91" t="s">
        <v>2730</v>
      </c>
      <c r="JH91">
        <v>28</v>
      </c>
      <c r="JI91" t="s">
        <v>2730</v>
      </c>
      <c r="JJ91">
        <v>2</v>
      </c>
      <c r="JK91" t="s">
        <v>2730</v>
      </c>
      <c r="JL91">
        <v>16</v>
      </c>
      <c r="JM91" t="s">
        <v>2730</v>
      </c>
      <c r="JN91" t="s">
        <v>2730</v>
      </c>
      <c r="JO91">
        <v>4</v>
      </c>
      <c r="JP91" t="s">
        <v>2730</v>
      </c>
      <c r="JQ91" t="s">
        <v>2730</v>
      </c>
    </row>
    <row r="92" spans="1:277">
      <c r="A92" s="149" t="str">
        <f>HYPERLINK("http://www.ofsted.gov.uk/inspection-reports/find-inspection-report/provider/ELS/132735 ","Ofsted School Webpage")</f>
        <v>Ofsted School Webpage</v>
      </c>
      <c r="B92">
        <v>1132466</v>
      </c>
      <c r="C92">
        <v>132735</v>
      </c>
      <c r="D92">
        <v>8606024</v>
      </c>
      <c r="E92" t="s">
        <v>327</v>
      </c>
      <c r="F92" t="s">
        <v>38</v>
      </c>
      <c r="G92" t="s">
        <v>180</v>
      </c>
      <c r="H92" t="s">
        <v>193</v>
      </c>
      <c r="I92" t="s">
        <v>193</v>
      </c>
      <c r="J92" t="s">
        <v>314</v>
      </c>
      <c r="K92" t="s">
        <v>328</v>
      </c>
      <c r="L92" t="s">
        <v>184</v>
      </c>
      <c r="M92" t="s">
        <v>185</v>
      </c>
      <c r="N92" t="s">
        <v>184</v>
      </c>
      <c r="O92" t="s">
        <v>2730</v>
      </c>
      <c r="P92" t="s">
        <v>186</v>
      </c>
      <c r="Q92">
        <v>10040663</v>
      </c>
      <c r="R92" s="120">
        <v>43018</v>
      </c>
      <c r="S92" s="120">
        <v>43020</v>
      </c>
      <c r="T92" s="120">
        <v>43048</v>
      </c>
      <c r="U92" t="s">
        <v>2730</v>
      </c>
      <c r="V92" t="s">
        <v>196</v>
      </c>
      <c r="W92" t="s">
        <v>2730</v>
      </c>
      <c r="X92" t="s">
        <v>197</v>
      </c>
      <c r="Y92">
        <v>3</v>
      </c>
      <c r="Z92">
        <v>3</v>
      </c>
      <c r="AA92">
        <v>2</v>
      </c>
      <c r="AB92">
        <v>3</v>
      </c>
      <c r="AC92">
        <v>3</v>
      </c>
      <c r="AD92" t="s">
        <v>2730</v>
      </c>
      <c r="AE92">
        <v>3</v>
      </c>
      <c r="AF92" t="s">
        <v>128</v>
      </c>
      <c r="AG92" t="s">
        <v>2730</v>
      </c>
      <c r="AH92" t="s">
        <v>2732</v>
      </c>
      <c r="AI92" t="s">
        <v>59</v>
      </c>
      <c r="AJ92" t="s">
        <v>59</v>
      </c>
      <c r="AK92" t="s">
        <v>59</v>
      </c>
      <c r="AL92" t="s">
        <v>59</v>
      </c>
      <c r="AM92" t="s">
        <v>59</v>
      </c>
      <c r="AN92" t="s">
        <v>59</v>
      </c>
      <c r="AO92" t="s">
        <v>59</v>
      </c>
      <c r="AP92" t="s">
        <v>59</v>
      </c>
      <c r="AQ92" t="s">
        <v>59</v>
      </c>
      <c r="AR92" t="s">
        <v>59</v>
      </c>
      <c r="AS92" t="s">
        <v>59</v>
      </c>
      <c r="AT92" t="s">
        <v>59</v>
      </c>
      <c r="AU92" t="s">
        <v>59</v>
      </c>
      <c r="AV92" t="s">
        <v>59</v>
      </c>
      <c r="AW92" t="s">
        <v>59</v>
      </c>
      <c r="AX92" t="s">
        <v>59</v>
      </c>
      <c r="AY92" t="s">
        <v>218</v>
      </c>
      <c r="AZ92" t="s">
        <v>59</v>
      </c>
      <c r="BA92" t="s">
        <v>59</v>
      </c>
      <c r="BB92" t="s">
        <v>59</v>
      </c>
      <c r="BC92" t="s">
        <v>59</v>
      </c>
      <c r="BD92" t="s">
        <v>59</v>
      </c>
      <c r="BE92" t="s">
        <v>59</v>
      </c>
      <c r="BF92" t="s">
        <v>59</v>
      </c>
      <c r="BG92" t="s">
        <v>218</v>
      </c>
      <c r="BH92" t="s">
        <v>59</v>
      </c>
      <c r="BI92" t="s">
        <v>59</v>
      </c>
      <c r="BJ92" t="s">
        <v>59</v>
      </c>
      <c r="BK92" t="s">
        <v>59</v>
      </c>
      <c r="BL92" t="s">
        <v>59</v>
      </c>
      <c r="BM92" t="s">
        <v>59</v>
      </c>
      <c r="BN92" t="s">
        <v>59</v>
      </c>
      <c r="BO92" t="s">
        <v>59</v>
      </c>
      <c r="BP92" t="s">
        <v>59</v>
      </c>
      <c r="BQ92" t="s">
        <v>59</v>
      </c>
      <c r="BR92" t="s">
        <v>59</v>
      </c>
      <c r="BS92" t="s">
        <v>59</v>
      </c>
      <c r="BT92" t="s">
        <v>59</v>
      </c>
      <c r="BU92" t="s">
        <v>59</v>
      </c>
      <c r="BV92" t="s">
        <v>59</v>
      </c>
      <c r="BW92" t="s">
        <v>59</v>
      </c>
      <c r="BX92" t="s">
        <v>59</v>
      </c>
      <c r="BY92" t="s">
        <v>59</v>
      </c>
      <c r="BZ92" t="s">
        <v>59</v>
      </c>
      <c r="CA92" t="s">
        <v>59</v>
      </c>
      <c r="CB92" t="s">
        <v>59</v>
      </c>
      <c r="CC92" t="s">
        <v>59</v>
      </c>
      <c r="CD92" t="s">
        <v>59</v>
      </c>
      <c r="CE92" t="s">
        <v>59</v>
      </c>
      <c r="CF92" t="s">
        <v>59</v>
      </c>
      <c r="CG92" t="s">
        <v>59</v>
      </c>
      <c r="CH92" t="s">
        <v>59</v>
      </c>
      <c r="CI92" t="s">
        <v>59</v>
      </c>
      <c r="CJ92" t="s">
        <v>59</v>
      </c>
      <c r="CK92" t="s">
        <v>59</v>
      </c>
      <c r="CL92" t="s">
        <v>59</v>
      </c>
      <c r="CM92" t="s">
        <v>59</v>
      </c>
      <c r="CN92" t="s">
        <v>59</v>
      </c>
      <c r="CO92" t="s">
        <v>218</v>
      </c>
      <c r="CP92" t="s">
        <v>218</v>
      </c>
      <c r="CQ92" t="s">
        <v>218</v>
      </c>
      <c r="CR92" t="s">
        <v>59</v>
      </c>
      <c r="CS92" t="s">
        <v>59</v>
      </c>
      <c r="CT92" t="s">
        <v>59</v>
      </c>
      <c r="CU92" t="s">
        <v>59</v>
      </c>
      <c r="CV92" t="s">
        <v>59</v>
      </c>
      <c r="CW92" t="s">
        <v>59</v>
      </c>
      <c r="CX92" t="s">
        <v>59</v>
      </c>
      <c r="CY92" t="s">
        <v>59</v>
      </c>
      <c r="CZ92" t="s">
        <v>59</v>
      </c>
      <c r="DA92" t="s">
        <v>59</v>
      </c>
      <c r="DB92" t="s">
        <v>59</v>
      </c>
      <c r="DC92" t="s">
        <v>59</v>
      </c>
      <c r="DD92" t="s">
        <v>59</v>
      </c>
      <c r="DE92" t="s">
        <v>59</v>
      </c>
      <c r="DF92" t="s">
        <v>59</v>
      </c>
      <c r="DG92" t="s">
        <v>59</v>
      </c>
      <c r="DH92" t="s">
        <v>59</v>
      </c>
      <c r="DI92" t="s">
        <v>59</v>
      </c>
      <c r="DJ92" t="s">
        <v>59</v>
      </c>
      <c r="DK92" t="s">
        <v>59</v>
      </c>
      <c r="DL92" t="s">
        <v>59</v>
      </c>
      <c r="DM92" t="s">
        <v>59</v>
      </c>
      <c r="DN92" t="s">
        <v>218</v>
      </c>
      <c r="DO92" t="s">
        <v>218</v>
      </c>
      <c r="DP92" t="s">
        <v>59</v>
      </c>
      <c r="DQ92" t="s">
        <v>59</v>
      </c>
      <c r="DR92" t="s">
        <v>59</v>
      </c>
      <c r="DS92" t="s">
        <v>59</v>
      </c>
      <c r="DT92" t="s">
        <v>59</v>
      </c>
      <c r="DU92" t="s">
        <v>59</v>
      </c>
      <c r="DV92" t="s">
        <v>59</v>
      </c>
      <c r="DW92" t="s">
        <v>59</v>
      </c>
      <c r="DX92" t="s">
        <v>59</v>
      </c>
      <c r="DY92" t="s">
        <v>59</v>
      </c>
      <c r="DZ92" t="s">
        <v>59</v>
      </c>
      <c r="EA92" t="s">
        <v>59</v>
      </c>
      <c r="EB92" t="s">
        <v>59</v>
      </c>
      <c r="EC92" t="s">
        <v>218</v>
      </c>
      <c r="ED92" t="s">
        <v>59</v>
      </c>
      <c r="EE92" t="s">
        <v>59</v>
      </c>
      <c r="EF92" t="s">
        <v>59</v>
      </c>
      <c r="EG92" t="s">
        <v>59</v>
      </c>
      <c r="EH92" t="s">
        <v>59</v>
      </c>
      <c r="EI92" t="s">
        <v>59</v>
      </c>
      <c r="EJ92" t="s">
        <v>59</v>
      </c>
      <c r="EK92" t="s">
        <v>59</v>
      </c>
      <c r="EL92" t="s">
        <v>59</v>
      </c>
      <c r="EM92" t="s">
        <v>59</v>
      </c>
      <c r="EN92" t="s">
        <v>59</v>
      </c>
      <c r="EO92" t="s">
        <v>59</v>
      </c>
      <c r="EP92" t="s">
        <v>59</v>
      </c>
      <c r="EQ92" t="s">
        <v>59</v>
      </c>
      <c r="ER92" t="s">
        <v>59</v>
      </c>
      <c r="ES92" t="s">
        <v>59</v>
      </c>
      <c r="ET92" t="s">
        <v>59</v>
      </c>
      <c r="EU92" t="s">
        <v>59</v>
      </c>
      <c r="EV92" t="s">
        <v>59</v>
      </c>
      <c r="EW92" t="s">
        <v>59</v>
      </c>
      <c r="EX92" t="s">
        <v>59</v>
      </c>
      <c r="EY92" t="s">
        <v>59</v>
      </c>
      <c r="EZ92" t="s">
        <v>59</v>
      </c>
      <c r="FA92" t="s">
        <v>59</v>
      </c>
      <c r="FB92" t="s">
        <v>59</v>
      </c>
      <c r="FC92" t="s">
        <v>59</v>
      </c>
      <c r="FD92" t="s">
        <v>59</v>
      </c>
      <c r="FE92" t="s">
        <v>59</v>
      </c>
      <c r="FF92" t="s">
        <v>59</v>
      </c>
      <c r="FG92" t="s">
        <v>59</v>
      </c>
      <c r="FH92" t="s">
        <v>59</v>
      </c>
      <c r="FI92" t="s">
        <v>218</v>
      </c>
      <c r="FJ92" t="s">
        <v>59</v>
      </c>
      <c r="FK92" t="s">
        <v>59</v>
      </c>
      <c r="FL92" t="s">
        <v>59</v>
      </c>
      <c r="FM92" t="s">
        <v>59</v>
      </c>
      <c r="FN92" t="s">
        <v>59</v>
      </c>
      <c r="FO92" t="s">
        <v>59</v>
      </c>
      <c r="FP92" t="s">
        <v>59</v>
      </c>
      <c r="FQ92" t="s">
        <v>59</v>
      </c>
      <c r="FR92" t="s">
        <v>59</v>
      </c>
      <c r="FS92" t="s">
        <v>59</v>
      </c>
      <c r="FT92" t="s">
        <v>59</v>
      </c>
      <c r="FU92" t="s">
        <v>59</v>
      </c>
      <c r="FV92" t="s">
        <v>59</v>
      </c>
      <c r="FW92" t="s">
        <v>59</v>
      </c>
      <c r="FX92" t="s">
        <v>59</v>
      </c>
      <c r="FY92" t="s">
        <v>59</v>
      </c>
      <c r="FZ92" t="s">
        <v>59</v>
      </c>
      <c r="GA92" t="s">
        <v>59</v>
      </c>
      <c r="GB92" t="s">
        <v>59</v>
      </c>
      <c r="GC92" t="s">
        <v>59</v>
      </c>
      <c r="GD92" t="s">
        <v>59</v>
      </c>
      <c r="GE92" t="s">
        <v>59</v>
      </c>
      <c r="GF92" t="s">
        <v>59</v>
      </c>
      <c r="GG92" t="s">
        <v>59</v>
      </c>
      <c r="GH92" t="s">
        <v>59</v>
      </c>
      <c r="GI92" t="s">
        <v>59</v>
      </c>
      <c r="GJ92" t="s">
        <v>59</v>
      </c>
      <c r="GK92" t="s">
        <v>218</v>
      </c>
      <c r="GL92" t="s">
        <v>59</v>
      </c>
      <c r="GM92" t="s">
        <v>59</v>
      </c>
      <c r="GN92" t="s">
        <v>59</v>
      </c>
      <c r="GO92" t="s">
        <v>59</v>
      </c>
      <c r="GP92" t="s">
        <v>59</v>
      </c>
      <c r="GQ92" t="s">
        <v>59</v>
      </c>
      <c r="GR92" t="s">
        <v>59</v>
      </c>
      <c r="GS92" t="s">
        <v>59</v>
      </c>
      <c r="GT92" t="s">
        <v>59</v>
      </c>
      <c r="GU92" t="s">
        <v>59</v>
      </c>
      <c r="GV92" t="s">
        <v>59</v>
      </c>
      <c r="GW92" t="s">
        <v>59</v>
      </c>
      <c r="GX92" t="s">
        <v>59</v>
      </c>
      <c r="GY92" t="s">
        <v>59</v>
      </c>
      <c r="GZ92" t="s">
        <v>218</v>
      </c>
      <c r="HA92" t="s">
        <v>59</v>
      </c>
      <c r="HB92" t="s">
        <v>59</v>
      </c>
      <c r="HC92" t="s">
        <v>59</v>
      </c>
      <c r="HD92" t="s">
        <v>59</v>
      </c>
      <c r="HE92" t="s">
        <v>59</v>
      </c>
      <c r="HF92" t="s">
        <v>59</v>
      </c>
      <c r="HG92" t="s">
        <v>59</v>
      </c>
      <c r="HH92" t="s">
        <v>59</v>
      </c>
      <c r="HI92" t="s">
        <v>59</v>
      </c>
      <c r="HJ92" t="s">
        <v>59</v>
      </c>
      <c r="HK92" t="s">
        <v>59</v>
      </c>
      <c r="HL92" t="s">
        <v>59</v>
      </c>
      <c r="HM92" t="s">
        <v>218</v>
      </c>
      <c r="HN92" t="s">
        <v>218</v>
      </c>
      <c r="HO92" t="s">
        <v>218</v>
      </c>
      <c r="HP92" t="s">
        <v>59</v>
      </c>
      <c r="HQ92" t="s">
        <v>59</v>
      </c>
      <c r="HR92" t="s">
        <v>59</v>
      </c>
      <c r="HS92" t="s">
        <v>59</v>
      </c>
      <c r="HT92" t="s">
        <v>59</v>
      </c>
      <c r="HU92" t="s">
        <v>59</v>
      </c>
      <c r="HV92" t="s">
        <v>59</v>
      </c>
      <c r="HW92" t="s">
        <v>59</v>
      </c>
      <c r="HX92" t="s">
        <v>59</v>
      </c>
      <c r="HY92" t="s">
        <v>59</v>
      </c>
      <c r="HZ92" t="s">
        <v>59</v>
      </c>
      <c r="IA92" t="s">
        <v>59</v>
      </c>
      <c r="IB92" t="s">
        <v>59</v>
      </c>
      <c r="IC92" t="s">
        <v>59</v>
      </c>
      <c r="ID92" t="s">
        <v>59</v>
      </c>
      <c r="IE92" t="s">
        <v>59</v>
      </c>
      <c r="IF92" t="s">
        <v>59</v>
      </c>
      <c r="IG92" t="s">
        <v>59</v>
      </c>
      <c r="IH92" t="s">
        <v>59</v>
      </c>
      <c r="II92" t="s">
        <v>59</v>
      </c>
      <c r="IJ92" t="s">
        <v>129</v>
      </c>
      <c r="IK92" t="s">
        <v>191</v>
      </c>
      <c r="IL92" t="s">
        <v>128</v>
      </c>
      <c r="IM92" t="s">
        <v>199</v>
      </c>
      <c r="IN92">
        <v>30</v>
      </c>
      <c r="IO92" t="s">
        <v>2730</v>
      </c>
      <c r="IP92" t="s">
        <v>2730</v>
      </c>
      <c r="IQ92" t="s">
        <v>2730</v>
      </c>
      <c r="IR92">
        <v>15</v>
      </c>
      <c r="IS92" t="s">
        <v>2730</v>
      </c>
      <c r="IT92" t="s">
        <v>2730</v>
      </c>
      <c r="IU92" t="s">
        <v>2730</v>
      </c>
      <c r="IV92">
        <v>16</v>
      </c>
      <c r="IW92" t="s">
        <v>2730</v>
      </c>
      <c r="IX92" t="s">
        <v>2730</v>
      </c>
      <c r="IY92" t="s">
        <v>2730</v>
      </c>
      <c r="IZ92">
        <v>55</v>
      </c>
      <c r="JA92" t="s">
        <v>2730</v>
      </c>
      <c r="JB92" t="s">
        <v>2730</v>
      </c>
      <c r="JC92" t="s">
        <v>2730</v>
      </c>
      <c r="JD92">
        <v>25</v>
      </c>
      <c r="JE92" t="s">
        <v>2730</v>
      </c>
      <c r="JF92" t="s">
        <v>2730</v>
      </c>
      <c r="JG92" t="s">
        <v>2730</v>
      </c>
      <c r="JH92">
        <v>26</v>
      </c>
      <c r="JI92" t="s">
        <v>2730</v>
      </c>
      <c r="JJ92" t="s">
        <v>2730</v>
      </c>
      <c r="JK92" t="s">
        <v>2730</v>
      </c>
      <c r="JL92">
        <v>16</v>
      </c>
      <c r="JM92" t="s">
        <v>2730</v>
      </c>
      <c r="JN92" t="s">
        <v>2730</v>
      </c>
      <c r="JO92">
        <v>4</v>
      </c>
      <c r="JP92" t="s">
        <v>2730</v>
      </c>
      <c r="JQ92" t="s">
        <v>2730</v>
      </c>
    </row>
    <row r="93" spans="1:277">
      <c r="A93" s="149" t="str">
        <f>HYPERLINK("http://www.ofsted.gov.uk/inspection-reports/find-inspection-report/provider/ELS/130244 ","Ofsted School Webpage")</f>
        <v>Ofsted School Webpage</v>
      </c>
      <c r="B93">
        <v>1132773</v>
      </c>
      <c r="C93">
        <v>130244</v>
      </c>
      <c r="D93">
        <v>3306113</v>
      </c>
      <c r="E93" t="s">
        <v>642</v>
      </c>
      <c r="F93" t="s">
        <v>37</v>
      </c>
      <c r="G93" t="s">
        <v>209</v>
      </c>
      <c r="H93" t="s">
        <v>193</v>
      </c>
      <c r="I93" t="s">
        <v>193</v>
      </c>
      <c r="J93" t="s">
        <v>210</v>
      </c>
      <c r="K93" t="s">
        <v>643</v>
      </c>
      <c r="L93" t="s">
        <v>304</v>
      </c>
      <c r="M93" t="s">
        <v>2730</v>
      </c>
      <c r="N93" t="s">
        <v>223</v>
      </c>
      <c r="O93" t="s">
        <v>2730</v>
      </c>
      <c r="P93" t="s">
        <v>186</v>
      </c>
      <c r="Q93">
        <v>10038829</v>
      </c>
      <c r="R93" s="120">
        <v>43060</v>
      </c>
      <c r="S93" s="120">
        <v>43062</v>
      </c>
      <c r="T93" s="120">
        <v>43090</v>
      </c>
      <c r="U93" t="s">
        <v>2730</v>
      </c>
      <c r="V93" t="s">
        <v>196</v>
      </c>
      <c r="W93" t="s">
        <v>2730</v>
      </c>
      <c r="X93" t="s">
        <v>197</v>
      </c>
      <c r="Y93">
        <v>2</v>
      </c>
      <c r="Z93">
        <v>2</v>
      </c>
      <c r="AA93">
        <v>1</v>
      </c>
      <c r="AB93">
        <v>2</v>
      </c>
      <c r="AC93">
        <v>2</v>
      </c>
      <c r="AD93">
        <v>2</v>
      </c>
      <c r="AE93" t="s">
        <v>2730</v>
      </c>
      <c r="AF93" t="s">
        <v>128</v>
      </c>
      <c r="AG93" t="s">
        <v>2730</v>
      </c>
      <c r="AH93" t="s">
        <v>2732</v>
      </c>
      <c r="AI93" t="s">
        <v>59</v>
      </c>
      <c r="AJ93" t="s">
        <v>59</v>
      </c>
      <c r="AK93" t="s">
        <v>59</v>
      </c>
      <c r="AL93" t="s">
        <v>59</v>
      </c>
      <c r="AM93" t="s">
        <v>59</v>
      </c>
      <c r="AN93" t="s">
        <v>59</v>
      </c>
      <c r="AO93" t="s">
        <v>59</v>
      </c>
      <c r="AP93" t="s">
        <v>59</v>
      </c>
      <c r="AQ93" t="s">
        <v>59</v>
      </c>
      <c r="AR93" t="s">
        <v>59</v>
      </c>
      <c r="AS93" t="s">
        <v>59</v>
      </c>
      <c r="AT93" t="s">
        <v>59</v>
      </c>
      <c r="AU93" t="s">
        <v>59</v>
      </c>
      <c r="AV93" t="s">
        <v>59</v>
      </c>
      <c r="AW93" t="s">
        <v>59</v>
      </c>
      <c r="AX93" t="s">
        <v>59</v>
      </c>
      <c r="AY93" t="s">
        <v>218</v>
      </c>
      <c r="AZ93" t="s">
        <v>59</v>
      </c>
      <c r="BA93" t="s">
        <v>59</v>
      </c>
      <c r="BB93" t="s">
        <v>59</v>
      </c>
      <c r="BC93" t="s">
        <v>218</v>
      </c>
      <c r="BD93" t="s">
        <v>218</v>
      </c>
      <c r="BE93" t="s">
        <v>218</v>
      </c>
      <c r="BF93" t="s">
        <v>218</v>
      </c>
      <c r="BG93" t="s">
        <v>59</v>
      </c>
      <c r="BH93" t="s">
        <v>59</v>
      </c>
      <c r="BI93" t="s">
        <v>59</v>
      </c>
      <c r="BJ93" t="s">
        <v>59</v>
      </c>
      <c r="BK93" t="s">
        <v>59</v>
      </c>
      <c r="BL93" t="s">
        <v>59</v>
      </c>
      <c r="BM93" t="s">
        <v>59</v>
      </c>
      <c r="BN93" t="s">
        <v>59</v>
      </c>
      <c r="BO93" t="s">
        <v>59</v>
      </c>
      <c r="BP93" t="s">
        <v>59</v>
      </c>
      <c r="BQ93" t="s">
        <v>59</v>
      </c>
      <c r="BR93" t="s">
        <v>59</v>
      </c>
      <c r="BS93" t="s">
        <v>59</v>
      </c>
      <c r="BT93" t="s">
        <v>59</v>
      </c>
      <c r="BU93" t="s">
        <v>59</v>
      </c>
      <c r="BV93" t="s">
        <v>59</v>
      </c>
      <c r="BW93" t="s">
        <v>59</v>
      </c>
      <c r="BX93" t="s">
        <v>59</v>
      </c>
      <c r="BY93" t="s">
        <v>59</v>
      </c>
      <c r="BZ93" t="s">
        <v>59</v>
      </c>
      <c r="CA93" t="s">
        <v>59</v>
      </c>
      <c r="CB93" t="s">
        <v>59</v>
      </c>
      <c r="CC93" t="s">
        <v>59</v>
      </c>
      <c r="CD93" t="s">
        <v>59</v>
      </c>
      <c r="CE93" t="s">
        <v>59</v>
      </c>
      <c r="CF93" t="s">
        <v>59</v>
      </c>
      <c r="CG93" t="s">
        <v>59</v>
      </c>
      <c r="CH93" t="s">
        <v>59</v>
      </c>
      <c r="CI93" t="s">
        <v>59</v>
      </c>
      <c r="CJ93" t="s">
        <v>59</v>
      </c>
      <c r="CK93" t="s">
        <v>59</v>
      </c>
      <c r="CL93" t="s">
        <v>59</v>
      </c>
      <c r="CM93" t="s">
        <v>59</v>
      </c>
      <c r="CN93" t="s">
        <v>59</v>
      </c>
      <c r="CO93" t="s">
        <v>218</v>
      </c>
      <c r="CP93" t="s">
        <v>218</v>
      </c>
      <c r="CQ93" t="s">
        <v>218</v>
      </c>
      <c r="CR93" t="s">
        <v>59</v>
      </c>
      <c r="CS93" t="s">
        <v>59</v>
      </c>
      <c r="CT93" t="s">
        <v>59</v>
      </c>
      <c r="CU93" t="s">
        <v>59</v>
      </c>
      <c r="CV93" t="s">
        <v>59</v>
      </c>
      <c r="CW93" t="s">
        <v>59</v>
      </c>
      <c r="CX93" t="s">
        <v>59</v>
      </c>
      <c r="CY93" t="s">
        <v>59</v>
      </c>
      <c r="CZ93" t="s">
        <v>59</v>
      </c>
      <c r="DA93" t="s">
        <v>59</v>
      </c>
      <c r="DB93" t="s">
        <v>59</v>
      </c>
      <c r="DC93" t="s">
        <v>59</v>
      </c>
      <c r="DD93" t="s">
        <v>59</v>
      </c>
      <c r="DE93" t="s">
        <v>59</v>
      </c>
      <c r="DF93" t="s">
        <v>59</v>
      </c>
      <c r="DG93" t="s">
        <v>59</v>
      </c>
      <c r="DH93" t="s">
        <v>59</v>
      </c>
      <c r="DI93" t="s">
        <v>59</v>
      </c>
      <c r="DJ93" t="s">
        <v>59</v>
      </c>
      <c r="DK93" t="s">
        <v>59</v>
      </c>
      <c r="DL93" t="s">
        <v>59</v>
      </c>
      <c r="DM93" t="s">
        <v>59</v>
      </c>
      <c r="DN93" t="s">
        <v>59</v>
      </c>
      <c r="DO93" t="s">
        <v>59</v>
      </c>
      <c r="DP93" t="s">
        <v>59</v>
      </c>
      <c r="DQ93" t="s">
        <v>59</v>
      </c>
      <c r="DR93" t="s">
        <v>59</v>
      </c>
      <c r="DS93" t="s">
        <v>59</v>
      </c>
      <c r="DT93" t="s">
        <v>59</v>
      </c>
      <c r="DU93" t="s">
        <v>59</v>
      </c>
      <c r="DV93" t="s">
        <v>59</v>
      </c>
      <c r="DW93" t="s">
        <v>59</v>
      </c>
      <c r="DX93" t="s">
        <v>59</v>
      </c>
      <c r="DY93" t="s">
        <v>59</v>
      </c>
      <c r="DZ93" t="s">
        <v>59</v>
      </c>
      <c r="EA93" t="s">
        <v>59</v>
      </c>
      <c r="EB93" t="s">
        <v>59</v>
      </c>
      <c r="EC93" t="s">
        <v>59</v>
      </c>
      <c r="ED93" t="s">
        <v>59</v>
      </c>
      <c r="EE93" t="s">
        <v>59</v>
      </c>
      <c r="EF93" t="s">
        <v>59</v>
      </c>
      <c r="EG93" t="s">
        <v>59</v>
      </c>
      <c r="EH93" t="s">
        <v>59</v>
      </c>
      <c r="EI93" t="s">
        <v>59</v>
      </c>
      <c r="EJ93" t="s">
        <v>59</v>
      </c>
      <c r="EK93" t="s">
        <v>59</v>
      </c>
      <c r="EL93" t="s">
        <v>59</v>
      </c>
      <c r="EM93" t="s">
        <v>59</v>
      </c>
      <c r="EN93" t="s">
        <v>59</v>
      </c>
      <c r="EO93" t="s">
        <v>59</v>
      </c>
      <c r="EP93" t="s">
        <v>59</v>
      </c>
      <c r="EQ93" t="s">
        <v>59</v>
      </c>
      <c r="ER93" t="s">
        <v>59</v>
      </c>
      <c r="ES93" t="s">
        <v>59</v>
      </c>
      <c r="ET93" t="s">
        <v>59</v>
      </c>
      <c r="EU93" t="s">
        <v>59</v>
      </c>
      <c r="EV93" t="s">
        <v>59</v>
      </c>
      <c r="EW93" t="s">
        <v>59</v>
      </c>
      <c r="EX93" t="s">
        <v>59</v>
      </c>
      <c r="EY93" t="s">
        <v>59</v>
      </c>
      <c r="EZ93" t="s">
        <v>59</v>
      </c>
      <c r="FA93" t="s">
        <v>59</v>
      </c>
      <c r="FB93" t="s">
        <v>59</v>
      </c>
      <c r="FC93" t="s">
        <v>59</v>
      </c>
      <c r="FD93" t="s">
        <v>59</v>
      </c>
      <c r="FE93" t="s">
        <v>59</v>
      </c>
      <c r="FF93" t="s">
        <v>59</v>
      </c>
      <c r="FG93" t="s">
        <v>59</v>
      </c>
      <c r="FH93" t="s">
        <v>59</v>
      </c>
      <c r="FI93" t="s">
        <v>59</v>
      </c>
      <c r="FJ93" t="s">
        <v>59</v>
      </c>
      <c r="FK93" t="s">
        <v>59</v>
      </c>
      <c r="FL93" t="s">
        <v>59</v>
      </c>
      <c r="FM93" t="s">
        <v>59</v>
      </c>
      <c r="FN93" t="s">
        <v>59</v>
      </c>
      <c r="FO93" t="s">
        <v>59</v>
      </c>
      <c r="FP93" t="s">
        <v>59</v>
      </c>
      <c r="FQ93" t="s">
        <v>59</v>
      </c>
      <c r="FR93" t="s">
        <v>59</v>
      </c>
      <c r="FS93" t="s">
        <v>218</v>
      </c>
      <c r="FT93" t="s">
        <v>59</v>
      </c>
      <c r="FU93" t="s">
        <v>59</v>
      </c>
      <c r="FV93" t="s">
        <v>59</v>
      </c>
      <c r="FW93" t="s">
        <v>59</v>
      </c>
      <c r="FX93" t="s">
        <v>59</v>
      </c>
      <c r="FY93" t="s">
        <v>59</v>
      </c>
      <c r="FZ93" t="s">
        <v>59</v>
      </c>
      <c r="GA93" t="s">
        <v>59</v>
      </c>
      <c r="GB93" t="s">
        <v>59</v>
      </c>
      <c r="GC93" t="s">
        <v>59</v>
      </c>
      <c r="GD93" t="s">
        <v>59</v>
      </c>
      <c r="GE93" t="s">
        <v>59</v>
      </c>
      <c r="GF93" t="s">
        <v>59</v>
      </c>
      <c r="GG93" t="s">
        <v>59</v>
      </c>
      <c r="GH93" t="s">
        <v>59</v>
      </c>
      <c r="GI93" t="s">
        <v>59</v>
      </c>
      <c r="GJ93" t="s">
        <v>59</v>
      </c>
      <c r="GK93" t="s">
        <v>218</v>
      </c>
      <c r="GL93" t="s">
        <v>59</v>
      </c>
      <c r="GM93" t="s">
        <v>59</v>
      </c>
      <c r="GN93" t="s">
        <v>59</v>
      </c>
      <c r="GO93" t="s">
        <v>59</v>
      </c>
      <c r="GP93" t="s">
        <v>59</v>
      </c>
      <c r="GQ93" t="s">
        <v>218</v>
      </c>
      <c r="GR93" t="s">
        <v>59</v>
      </c>
      <c r="GS93" t="s">
        <v>59</v>
      </c>
      <c r="GT93" t="s">
        <v>218</v>
      </c>
      <c r="GU93" t="s">
        <v>59</v>
      </c>
      <c r="GV93" t="s">
        <v>59</v>
      </c>
      <c r="GW93" t="s">
        <v>59</v>
      </c>
      <c r="GX93" t="s">
        <v>59</v>
      </c>
      <c r="GY93" t="s">
        <v>59</v>
      </c>
      <c r="GZ93" t="s">
        <v>218</v>
      </c>
      <c r="HA93" t="s">
        <v>59</v>
      </c>
      <c r="HB93" t="s">
        <v>59</v>
      </c>
      <c r="HC93" t="s">
        <v>59</v>
      </c>
      <c r="HD93" t="s">
        <v>59</v>
      </c>
      <c r="HE93" t="s">
        <v>59</v>
      </c>
      <c r="HF93" t="s">
        <v>59</v>
      </c>
      <c r="HG93" t="s">
        <v>59</v>
      </c>
      <c r="HH93" t="s">
        <v>59</v>
      </c>
      <c r="HI93" t="s">
        <v>59</v>
      </c>
      <c r="HJ93" t="s">
        <v>59</v>
      </c>
      <c r="HK93" t="s">
        <v>59</v>
      </c>
      <c r="HL93" t="s">
        <v>218</v>
      </c>
      <c r="HM93" t="s">
        <v>218</v>
      </c>
      <c r="HN93" t="s">
        <v>218</v>
      </c>
      <c r="HO93" t="s">
        <v>218</v>
      </c>
      <c r="HP93" t="s">
        <v>59</v>
      </c>
      <c r="HQ93" t="s">
        <v>59</v>
      </c>
      <c r="HR93" t="s">
        <v>59</v>
      </c>
      <c r="HS93" t="s">
        <v>59</v>
      </c>
      <c r="HT93" t="s">
        <v>59</v>
      </c>
      <c r="HU93" t="s">
        <v>59</v>
      </c>
      <c r="HV93" t="s">
        <v>59</v>
      </c>
      <c r="HW93" t="s">
        <v>59</v>
      </c>
      <c r="HX93" t="s">
        <v>59</v>
      </c>
      <c r="HY93" t="s">
        <v>59</v>
      </c>
      <c r="HZ93" t="s">
        <v>59</v>
      </c>
      <c r="IA93" t="s">
        <v>59</v>
      </c>
      <c r="IB93" t="s">
        <v>59</v>
      </c>
      <c r="IC93" t="s">
        <v>59</v>
      </c>
      <c r="ID93" t="s">
        <v>59</v>
      </c>
      <c r="IE93" t="s">
        <v>59</v>
      </c>
      <c r="IF93" t="s">
        <v>59</v>
      </c>
      <c r="IG93" t="s">
        <v>59</v>
      </c>
      <c r="IH93" t="s">
        <v>59</v>
      </c>
      <c r="II93" t="s">
        <v>59</v>
      </c>
      <c r="IJ93" t="s">
        <v>129</v>
      </c>
      <c r="IK93" t="s">
        <v>191</v>
      </c>
      <c r="IL93" t="s">
        <v>128</v>
      </c>
      <c r="IM93" t="s">
        <v>199</v>
      </c>
      <c r="IN93">
        <v>27</v>
      </c>
      <c r="IO93" t="s">
        <v>2730</v>
      </c>
      <c r="IP93" t="s">
        <v>2730</v>
      </c>
      <c r="IQ93" t="s">
        <v>2730</v>
      </c>
      <c r="IR93">
        <v>15</v>
      </c>
      <c r="IS93" t="s">
        <v>2730</v>
      </c>
      <c r="IT93" t="s">
        <v>2730</v>
      </c>
      <c r="IU93" t="s">
        <v>2730</v>
      </c>
      <c r="IV93">
        <v>16</v>
      </c>
      <c r="IW93" t="s">
        <v>2730</v>
      </c>
      <c r="IX93" t="s">
        <v>2730</v>
      </c>
      <c r="IY93" t="s">
        <v>2730</v>
      </c>
      <c r="IZ93">
        <v>59</v>
      </c>
      <c r="JA93" t="s">
        <v>2730</v>
      </c>
      <c r="JB93" t="s">
        <v>2730</v>
      </c>
      <c r="JC93" t="s">
        <v>2730</v>
      </c>
      <c r="JD93">
        <v>24</v>
      </c>
      <c r="JE93" t="s">
        <v>2730</v>
      </c>
      <c r="JF93" t="s">
        <v>2730</v>
      </c>
      <c r="JG93" t="s">
        <v>2730</v>
      </c>
      <c r="JH93">
        <v>23</v>
      </c>
      <c r="JI93" t="s">
        <v>2730</v>
      </c>
      <c r="JJ93" t="s">
        <v>2730</v>
      </c>
      <c r="JK93" t="s">
        <v>2730</v>
      </c>
      <c r="JL93">
        <v>16</v>
      </c>
      <c r="JM93" t="s">
        <v>2730</v>
      </c>
      <c r="JN93" t="s">
        <v>2730</v>
      </c>
      <c r="JO93">
        <v>4</v>
      </c>
      <c r="JP93" t="s">
        <v>2730</v>
      </c>
      <c r="JQ93" t="s">
        <v>2730</v>
      </c>
    </row>
    <row r="94" spans="1:277">
      <c r="A94" s="149" t="str">
        <f>HYPERLINK("http://www.ofsted.gov.uk/inspection-reports/find-inspection-report/provider/ELS/118123 ","Ofsted School Webpage")</f>
        <v>Ofsted School Webpage</v>
      </c>
      <c r="B94">
        <v>1133811</v>
      </c>
      <c r="C94">
        <v>118123</v>
      </c>
      <c r="D94">
        <v>8106000</v>
      </c>
      <c r="E94" t="s">
        <v>253</v>
      </c>
      <c r="F94" t="s">
        <v>37</v>
      </c>
      <c r="G94" t="s">
        <v>209</v>
      </c>
      <c r="H94" t="s">
        <v>245</v>
      </c>
      <c r="I94" t="s">
        <v>246</v>
      </c>
      <c r="J94" t="s">
        <v>254</v>
      </c>
      <c r="K94" t="s">
        <v>255</v>
      </c>
      <c r="L94" t="s">
        <v>184</v>
      </c>
      <c r="M94" t="s">
        <v>185</v>
      </c>
      <c r="N94" t="s">
        <v>184</v>
      </c>
      <c r="O94" t="s">
        <v>2730</v>
      </c>
      <c r="P94" t="s">
        <v>186</v>
      </c>
      <c r="Q94">
        <v>10040141</v>
      </c>
      <c r="R94" s="120">
        <v>43025</v>
      </c>
      <c r="S94" s="120">
        <v>43027</v>
      </c>
      <c r="T94" s="120">
        <v>43066</v>
      </c>
      <c r="U94" t="s">
        <v>2730</v>
      </c>
      <c r="V94" t="s">
        <v>196</v>
      </c>
      <c r="W94" t="s">
        <v>2730</v>
      </c>
      <c r="X94" t="s">
        <v>197</v>
      </c>
      <c r="Y94">
        <v>3</v>
      </c>
      <c r="Z94">
        <v>3</v>
      </c>
      <c r="AA94">
        <v>2</v>
      </c>
      <c r="AB94">
        <v>2</v>
      </c>
      <c r="AC94">
        <v>2</v>
      </c>
      <c r="AD94">
        <v>3</v>
      </c>
      <c r="AE94" t="s">
        <v>2730</v>
      </c>
      <c r="AF94" t="s">
        <v>128</v>
      </c>
      <c r="AG94" t="s">
        <v>2730</v>
      </c>
      <c r="AH94" t="s">
        <v>2733</v>
      </c>
      <c r="AI94" t="s">
        <v>59</v>
      </c>
      <c r="AJ94" t="s">
        <v>59</v>
      </c>
      <c r="AK94" t="s">
        <v>59</v>
      </c>
      <c r="AL94" t="s">
        <v>59</v>
      </c>
      <c r="AM94" t="s">
        <v>60</v>
      </c>
      <c r="AN94" t="s">
        <v>60</v>
      </c>
      <c r="AO94" t="s">
        <v>59</v>
      </c>
      <c r="AP94" t="s">
        <v>60</v>
      </c>
      <c r="AQ94" t="s">
        <v>59</v>
      </c>
      <c r="AR94" t="s">
        <v>59</v>
      </c>
      <c r="AS94" t="s">
        <v>59</v>
      </c>
      <c r="AT94" t="s">
        <v>59</v>
      </c>
      <c r="AU94" t="s">
        <v>59</v>
      </c>
      <c r="AV94" t="s">
        <v>59</v>
      </c>
      <c r="AW94" t="s">
        <v>59</v>
      </c>
      <c r="AX94" t="s">
        <v>59</v>
      </c>
      <c r="AY94" t="s">
        <v>218</v>
      </c>
      <c r="AZ94" t="s">
        <v>59</v>
      </c>
      <c r="BA94" t="s">
        <v>59</v>
      </c>
      <c r="BB94" t="s">
        <v>59</v>
      </c>
      <c r="BC94" t="s">
        <v>218</v>
      </c>
      <c r="BD94" t="s">
        <v>218</v>
      </c>
      <c r="BE94" t="s">
        <v>218</v>
      </c>
      <c r="BF94" t="s">
        <v>218</v>
      </c>
      <c r="BG94" t="s">
        <v>218</v>
      </c>
      <c r="BH94" t="s">
        <v>218</v>
      </c>
      <c r="BI94" t="s">
        <v>59</v>
      </c>
      <c r="BJ94" t="s">
        <v>59</v>
      </c>
      <c r="BK94" t="s">
        <v>59</v>
      </c>
      <c r="BL94" t="s">
        <v>59</v>
      </c>
      <c r="BM94" t="s">
        <v>59</v>
      </c>
      <c r="BN94" t="s">
        <v>59</v>
      </c>
      <c r="BO94" t="s">
        <v>59</v>
      </c>
      <c r="BP94" t="s">
        <v>59</v>
      </c>
      <c r="BQ94" t="s">
        <v>59</v>
      </c>
      <c r="BR94" t="s">
        <v>59</v>
      </c>
      <c r="BS94" t="s">
        <v>59</v>
      </c>
      <c r="BT94" t="s">
        <v>59</v>
      </c>
      <c r="BU94" t="s">
        <v>59</v>
      </c>
      <c r="BV94" t="s">
        <v>59</v>
      </c>
      <c r="BW94" t="s">
        <v>59</v>
      </c>
      <c r="BX94" t="s">
        <v>59</v>
      </c>
      <c r="BY94" t="s">
        <v>59</v>
      </c>
      <c r="BZ94" t="s">
        <v>59</v>
      </c>
      <c r="CA94" t="s">
        <v>59</v>
      </c>
      <c r="CB94" t="s">
        <v>59</v>
      </c>
      <c r="CC94" t="s">
        <v>59</v>
      </c>
      <c r="CD94" t="s">
        <v>59</v>
      </c>
      <c r="CE94" t="s">
        <v>59</v>
      </c>
      <c r="CF94" t="s">
        <v>59</v>
      </c>
      <c r="CG94" t="s">
        <v>59</v>
      </c>
      <c r="CH94" t="s">
        <v>59</v>
      </c>
      <c r="CI94" t="s">
        <v>59</v>
      </c>
      <c r="CJ94" t="s">
        <v>59</v>
      </c>
      <c r="CK94" t="s">
        <v>59</v>
      </c>
      <c r="CL94" t="s">
        <v>59</v>
      </c>
      <c r="CM94" t="s">
        <v>59</v>
      </c>
      <c r="CN94" t="s">
        <v>59</v>
      </c>
      <c r="CO94" t="s">
        <v>218</v>
      </c>
      <c r="CP94" t="s">
        <v>218</v>
      </c>
      <c r="CQ94" t="s">
        <v>218</v>
      </c>
      <c r="CR94" t="s">
        <v>60</v>
      </c>
      <c r="CS94" t="s">
        <v>60</v>
      </c>
      <c r="CT94" t="s">
        <v>60</v>
      </c>
      <c r="CU94" t="s">
        <v>60</v>
      </c>
      <c r="CV94" t="s">
        <v>60</v>
      </c>
      <c r="CW94" t="s">
        <v>59</v>
      </c>
      <c r="CX94" t="s">
        <v>59</v>
      </c>
      <c r="CY94" t="s">
        <v>60</v>
      </c>
      <c r="CZ94" t="s">
        <v>59</v>
      </c>
      <c r="DA94" t="s">
        <v>59</v>
      </c>
      <c r="DB94" t="s">
        <v>59</v>
      </c>
      <c r="DC94" t="s">
        <v>59</v>
      </c>
      <c r="DD94" t="s">
        <v>59</v>
      </c>
      <c r="DE94" t="s">
        <v>59</v>
      </c>
      <c r="DF94" t="s">
        <v>59</v>
      </c>
      <c r="DG94" t="s">
        <v>59</v>
      </c>
      <c r="DH94" t="s">
        <v>59</v>
      </c>
      <c r="DI94" t="s">
        <v>59</v>
      </c>
      <c r="DJ94" t="s">
        <v>59</v>
      </c>
      <c r="DK94" t="s">
        <v>59</v>
      </c>
      <c r="DL94" t="s">
        <v>59</v>
      </c>
      <c r="DM94" t="s">
        <v>59</v>
      </c>
      <c r="DN94" t="s">
        <v>59</v>
      </c>
      <c r="DO94" t="s">
        <v>218</v>
      </c>
      <c r="DP94" t="s">
        <v>59</v>
      </c>
      <c r="DQ94" t="s">
        <v>59</v>
      </c>
      <c r="DR94" t="s">
        <v>59</v>
      </c>
      <c r="DS94" t="s">
        <v>59</v>
      </c>
      <c r="DT94" t="s">
        <v>59</v>
      </c>
      <c r="DU94" t="s">
        <v>59</v>
      </c>
      <c r="DV94" t="s">
        <v>59</v>
      </c>
      <c r="DW94" t="s">
        <v>59</v>
      </c>
      <c r="DX94" t="s">
        <v>59</v>
      </c>
      <c r="DY94" t="s">
        <v>59</v>
      </c>
      <c r="DZ94" t="s">
        <v>59</v>
      </c>
      <c r="EA94" t="s">
        <v>59</v>
      </c>
      <c r="EB94" t="s">
        <v>59</v>
      </c>
      <c r="EC94" t="s">
        <v>218</v>
      </c>
      <c r="ED94" t="s">
        <v>59</v>
      </c>
      <c r="EE94" t="s">
        <v>218</v>
      </c>
      <c r="EF94" t="s">
        <v>218</v>
      </c>
      <c r="EG94" t="s">
        <v>218</v>
      </c>
      <c r="EH94" t="s">
        <v>218</v>
      </c>
      <c r="EI94" t="s">
        <v>218</v>
      </c>
      <c r="EJ94" t="s">
        <v>218</v>
      </c>
      <c r="EK94" t="s">
        <v>218</v>
      </c>
      <c r="EL94" t="s">
        <v>218</v>
      </c>
      <c r="EM94" t="s">
        <v>218</v>
      </c>
      <c r="EN94" t="s">
        <v>59</v>
      </c>
      <c r="EO94" t="s">
        <v>59</v>
      </c>
      <c r="EP94" t="s">
        <v>59</v>
      </c>
      <c r="EQ94" t="s">
        <v>59</v>
      </c>
      <c r="ER94" t="s">
        <v>59</v>
      </c>
      <c r="ES94" t="s">
        <v>59</v>
      </c>
      <c r="ET94" t="s">
        <v>59</v>
      </c>
      <c r="EU94" t="s">
        <v>59</v>
      </c>
      <c r="EV94" t="s">
        <v>59</v>
      </c>
      <c r="EW94" t="s">
        <v>59</v>
      </c>
      <c r="EX94" t="s">
        <v>59</v>
      </c>
      <c r="EY94" t="s">
        <v>59</v>
      </c>
      <c r="EZ94" t="s">
        <v>59</v>
      </c>
      <c r="FA94" t="s">
        <v>59</v>
      </c>
      <c r="FB94" t="s">
        <v>59</v>
      </c>
      <c r="FC94" t="s">
        <v>59</v>
      </c>
      <c r="FD94" t="s">
        <v>59</v>
      </c>
      <c r="FE94" t="s">
        <v>59</v>
      </c>
      <c r="FF94" t="s">
        <v>59</v>
      </c>
      <c r="FG94" t="s">
        <v>59</v>
      </c>
      <c r="FH94" t="s">
        <v>218</v>
      </c>
      <c r="FI94" t="s">
        <v>218</v>
      </c>
      <c r="FJ94" t="s">
        <v>191</v>
      </c>
      <c r="FK94" t="s">
        <v>218</v>
      </c>
      <c r="FL94" t="s">
        <v>60</v>
      </c>
      <c r="FM94" t="s">
        <v>60</v>
      </c>
      <c r="FN94" t="s">
        <v>59</v>
      </c>
      <c r="FO94" t="s">
        <v>218</v>
      </c>
      <c r="FP94" t="s">
        <v>59</v>
      </c>
      <c r="FQ94" t="s">
        <v>59</v>
      </c>
      <c r="FR94" t="s">
        <v>59</v>
      </c>
      <c r="FS94" t="s">
        <v>218</v>
      </c>
      <c r="FT94" t="s">
        <v>59</v>
      </c>
      <c r="FU94" t="s">
        <v>59</v>
      </c>
      <c r="FV94" t="s">
        <v>59</v>
      </c>
      <c r="FW94" t="s">
        <v>60</v>
      </c>
      <c r="FX94" t="s">
        <v>59</v>
      </c>
      <c r="FY94" t="s">
        <v>60</v>
      </c>
      <c r="FZ94" t="s">
        <v>60</v>
      </c>
      <c r="GA94" t="s">
        <v>59</v>
      </c>
      <c r="GB94" t="s">
        <v>60</v>
      </c>
      <c r="GC94" t="s">
        <v>59</v>
      </c>
      <c r="GD94" t="s">
        <v>59</v>
      </c>
      <c r="GE94" t="s">
        <v>59</v>
      </c>
      <c r="GF94" t="s">
        <v>59</v>
      </c>
      <c r="GG94" t="s">
        <v>59</v>
      </c>
      <c r="GH94" t="s">
        <v>59</v>
      </c>
      <c r="GI94" t="s">
        <v>59</v>
      </c>
      <c r="GJ94" t="s">
        <v>59</v>
      </c>
      <c r="GK94" t="s">
        <v>218</v>
      </c>
      <c r="GL94" t="s">
        <v>60</v>
      </c>
      <c r="GM94" t="s">
        <v>59</v>
      </c>
      <c r="GN94" t="s">
        <v>60</v>
      </c>
      <c r="GO94" t="s">
        <v>60</v>
      </c>
      <c r="GP94" t="s">
        <v>60</v>
      </c>
      <c r="GQ94" t="s">
        <v>218</v>
      </c>
      <c r="GR94" t="s">
        <v>59</v>
      </c>
      <c r="GS94" t="s">
        <v>59</v>
      </c>
      <c r="GT94" t="s">
        <v>218</v>
      </c>
      <c r="GU94" t="s">
        <v>218</v>
      </c>
      <c r="GV94" t="s">
        <v>218</v>
      </c>
      <c r="GW94" t="s">
        <v>59</v>
      </c>
      <c r="GX94" t="s">
        <v>59</v>
      </c>
      <c r="GY94" t="s">
        <v>59</v>
      </c>
      <c r="GZ94" t="s">
        <v>59</v>
      </c>
      <c r="HA94" t="s">
        <v>218</v>
      </c>
      <c r="HB94" t="s">
        <v>218</v>
      </c>
      <c r="HC94" t="s">
        <v>59</v>
      </c>
      <c r="HD94" t="s">
        <v>59</v>
      </c>
      <c r="HE94" t="s">
        <v>60</v>
      </c>
      <c r="HF94" t="s">
        <v>60</v>
      </c>
      <c r="HG94" t="s">
        <v>59</v>
      </c>
      <c r="HH94" t="s">
        <v>60</v>
      </c>
      <c r="HI94" t="s">
        <v>60</v>
      </c>
      <c r="HJ94" t="s">
        <v>59</v>
      </c>
      <c r="HK94" t="s">
        <v>60</v>
      </c>
      <c r="HL94" t="s">
        <v>218</v>
      </c>
      <c r="HM94" t="s">
        <v>218</v>
      </c>
      <c r="HN94" t="s">
        <v>218</v>
      </c>
      <c r="HO94" t="s">
        <v>218</v>
      </c>
      <c r="HP94" t="s">
        <v>59</v>
      </c>
      <c r="HQ94" t="s">
        <v>59</v>
      </c>
      <c r="HR94" t="s">
        <v>59</v>
      </c>
      <c r="HS94" t="s">
        <v>59</v>
      </c>
      <c r="HT94" t="s">
        <v>59</v>
      </c>
      <c r="HU94" t="s">
        <v>59</v>
      </c>
      <c r="HV94" t="s">
        <v>59</v>
      </c>
      <c r="HW94" t="s">
        <v>59</v>
      </c>
      <c r="HX94" t="s">
        <v>59</v>
      </c>
      <c r="HY94" t="s">
        <v>59</v>
      </c>
      <c r="HZ94" t="s">
        <v>59</v>
      </c>
      <c r="IA94" t="s">
        <v>59</v>
      </c>
      <c r="IB94" t="s">
        <v>59</v>
      </c>
      <c r="IC94" t="s">
        <v>59</v>
      </c>
      <c r="ID94" t="s">
        <v>59</v>
      </c>
      <c r="IE94" t="s">
        <v>59</v>
      </c>
      <c r="IF94" t="s">
        <v>60</v>
      </c>
      <c r="IG94" t="s">
        <v>60</v>
      </c>
      <c r="IH94" t="s">
        <v>60</v>
      </c>
      <c r="II94" t="s">
        <v>60</v>
      </c>
      <c r="IJ94" t="s">
        <v>128</v>
      </c>
      <c r="IK94" t="s">
        <v>129</v>
      </c>
      <c r="IL94" t="s">
        <v>128</v>
      </c>
      <c r="IM94" t="s">
        <v>199</v>
      </c>
      <c r="IN94">
        <v>25</v>
      </c>
      <c r="IO94" t="s">
        <v>2730</v>
      </c>
      <c r="IP94" t="s">
        <v>2730</v>
      </c>
      <c r="IQ94" t="s">
        <v>2730</v>
      </c>
      <c r="IR94">
        <v>15</v>
      </c>
      <c r="IS94" t="s">
        <v>2730</v>
      </c>
      <c r="IT94" t="s">
        <v>2730</v>
      </c>
      <c r="IU94" t="s">
        <v>2730</v>
      </c>
      <c r="IV94">
        <v>10</v>
      </c>
      <c r="IW94" t="s">
        <v>2730</v>
      </c>
      <c r="IX94" t="s">
        <v>2730</v>
      </c>
      <c r="IY94">
        <v>6</v>
      </c>
      <c r="IZ94">
        <v>44</v>
      </c>
      <c r="JA94" t="s">
        <v>2730</v>
      </c>
      <c r="JB94">
        <v>1</v>
      </c>
      <c r="JC94" t="s">
        <v>2730</v>
      </c>
      <c r="JD94">
        <v>17</v>
      </c>
      <c r="JE94" t="s">
        <v>2730</v>
      </c>
      <c r="JF94" t="s">
        <v>2730</v>
      </c>
      <c r="JG94">
        <v>6</v>
      </c>
      <c r="JH94">
        <v>11</v>
      </c>
      <c r="JI94" t="s">
        <v>2730</v>
      </c>
      <c r="JJ94" t="s">
        <v>2730</v>
      </c>
      <c r="JK94">
        <v>9</v>
      </c>
      <c r="JL94">
        <v>16</v>
      </c>
      <c r="JM94" t="s">
        <v>2730</v>
      </c>
      <c r="JN94" t="s">
        <v>2730</v>
      </c>
      <c r="JO94" t="s">
        <v>2730</v>
      </c>
      <c r="JP94" t="s">
        <v>2730</v>
      </c>
      <c r="JQ94">
        <v>4</v>
      </c>
    </row>
    <row r="95" spans="1:277">
      <c r="A95" s="149" t="str">
        <f>HYPERLINK("http://www.ofsted.gov.uk/inspection-reports/find-inspection-report/provider/ELS/100289 ","Ofsted School Webpage")</f>
        <v>Ofsted School Webpage</v>
      </c>
      <c r="B95">
        <v>1135713</v>
      </c>
      <c r="C95">
        <v>100289</v>
      </c>
      <c r="D95">
        <v>2046233</v>
      </c>
      <c r="E95" t="s">
        <v>478</v>
      </c>
      <c r="F95" t="s">
        <v>37</v>
      </c>
      <c r="G95" t="s">
        <v>209</v>
      </c>
      <c r="H95" t="s">
        <v>232</v>
      </c>
      <c r="I95" t="s">
        <v>232</v>
      </c>
      <c r="J95" t="s">
        <v>479</v>
      </c>
      <c r="K95" t="s">
        <v>480</v>
      </c>
      <c r="L95" t="s">
        <v>184</v>
      </c>
      <c r="M95" t="s">
        <v>185</v>
      </c>
      <c r="N95" t="s">
        <v>184</v>
      </c>
      <c r="O95" t="s">
        <v>2730</v>
      </c>
      <c r="P95" t="s">
        <v>186</v>
      </c>
      <c r="Q95">
        <v>10038148</v>
      </c>
      <c r="R95" s="120">
        <v>42990</v>
      </c>
      <c r="S95" s="120">
        <v>42992</v>
      </c>
      <c r="T95" s="120">
        <v>43062</v>
      </c>
      <c r="U95" t="s">
        <v>2730</v>
      </c>
      <c r="V95" t="s">
        <v>196</v>
      </c>
      <c r="W95" t="s">
        <v>2730</v>
      </c>
      <c r="X95" t="s">
        <v>197</v>
      </c>
      <c r="Y95">
        <v>4</v>
      </c>
      <c r="Z95">
        <v>4</v>
      </c>
      <c r="AA95">
        <v>4</v>
      </c>
      <c r="AB95">
        <v>4</v>
      </c>
      <c r="AC95">
        <v>4</v>
      </c>
      <c r="AD95">
        <v>4</v>
      </c>
      <c r="AE95" t="s">
        <v>2730</v>
      </c>
      <c r="AF95" t="s">
        <v>128</v>
      </c>
      <c r="AG95" t="s">
        <v>2730</v>
      </c>
      <c r="AH95" t="s">
        <v>2733</v>
      </c>
      <c r="AI95" t="s">
        <v>60</v>
      </c>
      <c r="AJ95" t="s">
        <v>60</v>
      </c>
      <c r="AK95" t="s">
        <v>59</v>
      </c>
      <c r="AL95" t="s">
        <v>59</v>
      </c>
      <c r="AM95" t="s">
        <v>59</v>
      </c>
      <c r="AN95" t="s">
        <v>59</v>
      </c>
      <c r="AO95" t="s">
        <v>59</v>
      </c>
      <c r="AP95" t="s">
        <v>60</v>
      </c>
      <c r="AQ95" t="s">
        <v>60</v>
      </c>
      <c r="AR95" t="s">
        <v>60</v>
      </c>
      <c r="AS95" t="s">
        <v>60</v>
      </c>
      <c r="AT95" t="s">
        <v>60</v>
      </c>
      <c r="AU95" t="s">
        <v>59</v>
      </c>
      <c r="AV95" t="s">
        <v>60</v>
      </c>
      <c r="AW95" t="s">
        <v>60</v>
      </c>
      <c r="AX95" t="s">
        <v>59</v>
      </c>
      <c r="AY95" t="s">
        <v>59</v>
      </c>
      <c r="AZ95" t="s">
        <v>60</v>
      </c>
      <c r="BA95" t="s">
        <v>59</v>
      </c>
      <c r="BB95" t="s">
        <v>60</v>
      </c>
      <c r="BC95" t="s">
        <v>59</v>
      </c>
      <c r="BD95" t="s">
        <v>59</v>
      </c>
      <c r="BE95" t="s">
        <v>59</v>
      </c>
      <c r="BF95" t="s">
        <v>59</v>
      </c>
      <c r="BG95" t="s">
        <v>59</v>
      </c>
      <c r="BH95" t="s">
        <v>191</v>
      </c>
      <c r="BI95" t="s">
        <v>59</v>
      </c>
      <c r="BJ95" t="s">
        <v>60</v>
      </c>
      <c r="BK95" t="s">
        <v>60</v>
      </c>
      <c r="BL95" t="s">
        <v>60</v>
      </c>
      <c r="BM95" t="s">
        <v>60</v>
      </c>
      <c r="BN95" t="s">
        <v>60</v>
      </c>
      <c r="BO95" t="s">
        <v>60</v>
      </c>
      <c r="BP95" t="s">
        <v>60</v>
      </c>
      <c r="BQ95" t="s">
        <v>60</v>
      </c>
      <c r="BR95" t="s">
        <v>60</v>
      </c>
      <c r="BS95" t="s">
        <v>59</v>
      </c>
      <c r="BT95" t="s">
        <v>59</v>
      </c>
      <c r="BU95" t="s">
        <v>59</v>
      </c>
      <c r="BV95" t="s">
        <v>59</v>
      </c>
      <c r="BW95" t="s">
        <v>60</v>
      </c>
      <c r="BX95" t="s">
        <v>59</v>
      </c>
      <c r="BY95" t="s">
        <v>60</v>
      </c>
      <c r="BZ95" t="s">
        <v>59</v>
      </c>
      <c r="CA95" t="s">
        <v>59</v>
      </c>
      <c r="CB95" t="s">
        <v>59</v>
      </c>
      <c r="CC95" t="s">
        <v>59</v>
      </c>
      <c r="CD95" t="s">
        <v>60</v>
      </c>
      <c r="CE95" t="s">
        <v>60</v>
      </c>
      <c r="CF95" t="s">
        <v>59</v>
      </c>
      <c r="CG95" t="s">
        <v>59</v>
      </c>
      <c r="CH95" t="s">
        <v>59</v>
      </c>
      <c r="CI95" t="s">
        <v>59</v>
      </c>
      <c r="CJ95" t="s">
        <v>59</v>
      </c>
      <c r="CK95" t="s">
        <v>59</v>
      </c>
      <c r="CL95" t="s">
        <v>59</v>
      </c>
      <c r="CM95" t="s">
        <v>59</v>
      </c>
      <c r="CN95" t="s">
        <v>59</v>
      </c>
      <c r="CO95" t="s">
        <v>191</v>
      </c>
      <c r="CP95" t="s">
        <v>191</v>
      </c>
      <c r="CQ95" t="s">
        <v>191</v>
      </c>
      <c r="CR95" t="s">
        <v>59</v>
      </c>
      <c r="CS95" t="s">
        <v>59</v>
      </c>
      <c r="CT95" t="s">
        <v>59</v>
      </c>
      <c r="CU95" t="s">
        <v>59</v>
      </c>
      <c r="CV95" t="s">
        <v>59</v>
      </c>
      <c r="CW95" t="s">
        <v>59</v>
      </c>
      <c r="CX95" t="s">
        <v>59</v>
      </c>
      <c r="CY95" t="s">
        <v>59</v>
      </c>
      <c r="CZ95" t="s">
        <v>59</v>
      </c>
      <c r="DA95" t="s">
        <v>59</v>
      </c>
      <c r="DB95" t="s">
        <v>59</v>
      </c>
      <c r="DC95" t="s">
        <v>59</v>
      </c>
      <c r="DD95" t="s">
        <v>59</v>
      </c>
      <c r="DE95" t="s">
        <v>59</v>
      </c>
      <c r="DF95" t="s">
        <v>59</v>
      </c>
      <c r="DG95" t="s">
        <v>59</v>
      </c>
      <c r="DH95" t="s">
        <v>59</v>
      </c>
      <c r="DI95" t="s">
        <v>59</v>
      </c>
      <c r="DJ95" t="s">
        <v>59</v>
      </c>
      <c r="DK95" t="s">
        <v>59</v>
      </c>
      <c r="DL95" t="s">
        <v>59</v>
      </c>
      <c r="DM95" t="s">
        <v>59</v>
      </c>
      <c r="DN95" t="s">
        <v>59</v>
      </c>
      <c r="DO95" t="s">
        <v>191</v>
      </c>
      <c r="DP95" t="s">
        <v>59</v>
      </c>
      <c r="DQ95" t="s">
        <v>59</v>
      </c>
      <c r="DR95" t="s">
        <v>59</v>
      </c>
      <c r="DS95" t="s">
        <v>59</v>
      </c>
      <c r="DT95" t="s">
        <v>59</v>
      </c>
      <c r="DU95" t="s">
        <v>59</v>
      </c>
      <c r="DV95" t="s">
        <v>59</v>
      </c>
      <c r="DW95" t="s">
        <v>59</v>
      </c>
      <c r="DX95" t="s">
        <v>59</v>
      </c>
      <c r="DY95" t="s">
        <v>59</v>
      </c>
      <c r="DZ95" t="s">
        <v>59</v>
      </c>
      <c r="EA95" t="s">
        <v>59</v>
      </c>
      <c r="EB95" t="s">
        <v>59</v>
      </c>
      <c r="EC95" t="s">
        <v>191</v>
      </c>
      <c r="ED95" t="s">
        <v>59</v>
      </c>
      <c r="EE95" t="s">
        <v>59</v>
      </c>
      <c r="EF95" t="s">
        <v>59</v>
      </c>
      <c r="EG95" t="s">
        <v>59</v>
      </c>
      <c r="EH95" t="s">
        <v>59</v>
      </c>
      <c r="EI95" t="s">
        <v>59</v>
      </c>
      <c r="EJ95" t="s">
        <v>59</v>
      </c>
      <c r="EK95" t="s">
        <v>59</v>
      </c>
      <c r="EL95" t="s">
        <v>59</v>
      </c>
      <c r="EM95" t="s">
        <v>59</v>
      </c>
      <c r="EN95" t="s">
        <v>59</v>
      </c>
      <c r="EO95" t="s">
        <v>59</v>
      </c>
      <c r="EP95" t="s">
        <v>59</v>
      </c>
      <c r="EQ95" t="s">
        <v>59</v>
      </c>
      <c r="ER95" t="s">
        <v>59</v>
      </c>
      <c r="ES95" t="s">
        <v>59</v>
      </c>
      <c r="ET95" t="s">
        <v>59</v>
      </c>
      <c r="EU95" t="s">
        <v>59</v>
      </c>
      <c r="EV95" t="s">
        <v>59</v>
      </c>
      <c r="EW95" t="s">
        <v>59</v>
      </c>
      <c r="EX95" t="s">
        <v>59</v>
      </c>
      <c r="EY95" t="s">
        <v>59</v>
      </c>
      <c r="EZ95" t="s">
        <v>59</v>
      </c>
      <c r="FA95" t="s">
        <v>59</v>
      </c>
      <c r="FB95" t="s">
        <v>59</v>
      </c>
      <c r="FC95" t="s">
        <v>59</v>
      </c>
      <c r="FD95" t="s">
        <v>59</v>
      </c>
      <c r="FE95" t="s">
        <v>59</v>
      </c>
      <c r="FF95" t="s">
        <v>59</v>
      </c>
      <c r="FG95" t="s">
        <v>59</v>
      </c>
      <c r="FH95" t="s">
        <v>59</v>
      </c>
      <c r="FI95" t="s">
        <v>59</v>
      </c>
      <c r="FJ95" t="s">
        <v>59</v>
      </c>
      <c r="FK95" t="s">
        <v>59</v>
      </c>
      <c r="FL95" t="s">
        <v>59</v>
      </c>
      <c r="FM95" t="s">
        <v>59</v>
      </c>
      <c r="FN95" t="s">
        <v>59</v>
      </c>
      <c r="FO95" t="s">
        <v>59</v>
      </c>
      <c r="FP95" t="s">
        <v>59</v>
      </c>
      <c r="FQ95" t="s">
        <v>59</v>
      </c>
      <c r="FR95" t="s">
        <v>59</v>
      </c>
      <c r="FS95" t="s">
        <v>191</v>
      </c>
      <c r="FT95" t="s">
        <v>59</v>
      </c>
      <c r="FU95" t="s">
        <v>59</v>
      </c>
      <c r="FV95" t="s">
        <v>59</v>
      </c>
      <c r="FW95" t="s">
        <v>59</v>
      </c>
      <c r="FX95" t="s">
        <v>59</v>
      </c>
      <c r="FY95" t="s">
        <v>59</v>
      </c>
      <c r="FZ95" t="s">
        <v>59</v>
      </c>
      <c r="GA95" t="s">
        <v>59</v>
      </c>
      <c r="GB95" t="s">
        <v>59</v>
      </c>
      <c r="GC95" t="s">
        <v>59</v>
      </c>
      <c r="GD95" t="s">
        <v>59</v>
      </c>
      <c r="GE95" t="s">
        <v>59</v>
      </c>
      <c r="GF95" t="s">
        <v>59</v>
      </c>
      <c r="GG95" t="s">
        <v>59</v>
      </c>
      <c r="GH95" t="s">
        <v>59</v>
      </c>
      <c r="GI95" t="s">
        <v>59</v>
      </c>
      <c r="GJ95" t="s">
        <v>59</v>
      </c>
      <c r="GK95" t="s">
        <v>191</v>
      </c>
      <c r="GL95" t="s">
        <v>59</v>
      </c>
      <c r="GM95" t="s">
        <v>59</v>
      </c>
      <c r="GN95" t="s">
        <v>59</v>
      </c>
      <c r="GO95" t="s">
        <v>59</v>
      </c>
      <c r="GP95" t="s">
        <v>59</v>
      </c>
      <c r="GQ95" t="s">
        <v>191</v>
      </c>
      <c r="GR95" t="s">
        <v>59</v>
      </c>
      <c r="GS95" t="s">
        <v>59</v>
      </c>
      <c r="GT95" t="s">
        <v>59</v>
      </c>
      <c r="GU95" t="s">
        <v>59</v>
      </c>
      <c r="GV95" t="s">
        <v>59</v>
      </c>
      <c r="GW95" t="s">
        <v>59</v>
      </c>
      <c r="GX95" t="s">
        <v>59</v>
      </c>
      <c r="GY95" t="s">
        <v>59</v>
      </c>
      <c r="GZ95" t="s">
        <v>59</v>
      </c>
      <c r="HA95" t="s">
        <v>59</v>
      </c>
      <c r="HB95" t="s">
        <v>59</v>
      </c>
      <c r="HC95" t="s">
        <v>59</v>
      </c>
      <c r="HD95" t="s">
        <v>59</v>
      </c>
      <c r="HE95" t="s">
        <v>59</v>
      </c>
      <c r="HF95" t="s">
        <v>59</v>
      </c>
      <c r="HG95" t="s">
        <v>59</v>
      </c>
      <c r="HH95" t="s">
        <v>59</v>
      </c>
      <c r="HI95" t="s">
        <v>59</v>
      </c>
      <c r="HJ95" t="s">
        <v>59</v>
      </c>
      <c r="HK95" t="s">
        <v>59</v>
      </c>
      <c r="HL95" t="s">
        <v>191</v>
      </c>
      <c r="HM95" t="s">
        <v>191</v>
      </c>
      <c r="HN95" t="s">
        <v>191</v>
      </c>
      <c r="HO95" t="s">
        <v>191</v>
      </c>
      <c r="HP95" t="s">
        <v>59</v>
      </c>
      <c r="HQ95" t="s">
        <v>59</v>
      </c>
      <c r="HR95" t="s">
        <v>59</v>
      </c>
      <c r="HS95" t="s">
        <v>59</v>
      </c>
      <c r="HT95" t="s">
        <v>59</v>
      </c>
      <c r="HU95" t="s">
        <v>59</v>
      </c>
      <c r="HV95" t="s">
        <v>59</v>
      </c>
      <c r="HW95" t="s">
        <v>59</v>
      </c>
      <c r="HX95" t="s">
        <v>59</v>
      </c>
      <c r="HY95" t="s">
        <v>59</v>
      </c>
      <c r="HZ95" t="s">
        <v>59</v>
      </c>
      <c r="IA95" t="s">
        <v>59</v>
      </c>
      <c r="IB95" t="s">
        <v>59</v>
      </c>
      <c r="IC95" t="s">
        <v>59</v>
      </c>
      <c r="ID95" t="s">
        <v>59</v>
      </c>
      <c r="IE95" t="s">
        <v>59</v>
      </c>
      <c r="IF95" t="s">
        <v>60</v>
      </c>
      <c r="IG95" t="s">
        <v>60</v>
      </c>
      <c r="IH95" t="s">
        <v>60</v>
      </c>
      <c r="II95" t="s">
        <v>59</v>
      </c>
      <c r="IJ95" t="s">
        <v>129</v>
      </c>
      <c r="IK95" t="s">
        <v>198</v>
      </c>
      <c r="IL95" t="s">
        <v>128</v>
      </c>
      <c r="IM95" t="s">
        <v>199</v>
      </c>
      <c r="IN95">
        <v>14</v>
      </c>
      <c r="IO95" t="s">
        <v>2730</v>
      </c>
      <c r="IP95">
        <v>1</v>
      </c>
      <c r="IQ95">
        <v>17</v>
      </c>
      <c r="IR95">
        <v>11</v>
      </c>
      <c r="IS95" t="s">
        <v>2730</v>
      </c>
      <c r="IT95" t="s">
        <v>2730</v>
      </c>
      <c r="IU95">
        <v>4</v>
      </c>
      <c r="IV95">
        <v>16</v>
      </c>
      <c r="IW95" t="s">
        <v>2730</v>
      </c>
      <c r="IX95">
        <v>3</v>
      </c>
      <c r="IY95" t="s">
        <v>2730</v>
      </c>
      <c r="IZ95">
        <v>57</v>
      </c>
      <c r="JA95" t="s">
        <v>2730</v>
      </c>
      <c r="JB95">
        <v>2</v>
      </c>
      <c r="JC95" t="s">
        <v>2730</v>
      </c>
      <c r="JD95">
        <v>24</v>
      </c>
      <c r="JE95" t="s">
        <v>2730</v>
      </c>
      <c r="JF95">
        <v>2</v>
      </c>
      <c r="JG95" t="s">
        <v>2730</v>
      </c>
      <c r="JH95">
        <v>25</v>
      </c>
      <c r="JI95" t="s">
        <v>2730</v>
      </c>
      <c r="JJ95">
        <v>5</v>
      </c>
      <c r="JK95" t="s">
        <v>2730</v>
      </c>
      <c r="JL95">
        <v>16</v>
      </c>
      <c r="JM95" t="s">
        <v>2730</v>
      </c>
      <c r="JN95" t="s">
        <v>2730</v>
      </c>
      <c r="JO95">
        <v>1</v>
      </c>
      <c r="JP95" t="s">
        <v>2730</v>
      </c>
      <c r="JQ95">
        <v>3</v>
      </c>
    </row>
    <row r="96" spans="1:277">
      <c r="A96" s="149" t="str">
        <f>HYPERLINK("http://www.ofsted.gov.uk/inspection-reports/find-inspection-report/provider/ELS/133307 ","Ofsted School Webpage")</f>
        <v>Ofsted School Webpage</v>
      </c>
      <c r="B96">
        <v>1134571</v>
      </c>
      <c r="C96">
        <v>133307</v>
      </c>
      <c r="D96">
        <v>2116391</v>
      </c>
      <c r="E96" t="s">
        <v>1694</v>
      </c>
      <c r="F96" t="s">
        <v>37</v>
      </c>
      <c r="G96" t="s">
        <v>209</v>
      </c>
      <c r="H96" t="s">
        <v>232</v>
      </c>
      <c r="I96" t="s">
        <v>232</v>
      </c>
      <c r="J96" t="s">
        <v>539</v>
      </c>
      <c r="K96" t="s">
        <v>1695</v>
      </c>
      <c r="L96" t="s">
        <v>184</v>
      </c>
      <c r="M96" t="s">
        <v>185</v>
      </c>
      <c r="N96" t="s">
        <v>304</v>
      </c>
      <c r="O96" t="s">
        <v>2730</v>
      </c>
      <c r="P96" t="s">
        <v>186</v>
      </c>
      <c r="Q96">
        <v>10026290</v>
      </c>
      <c r="R96" s="120">
        <v>43011</v>
      </c>
      <c r="S96" s="120">
        <v>43013</v>
      </c>
      <c r="T96" s="120">
        <v>43077</v>
      </c>
      <c r="U96" t="s">
        <v>2730</v>
      </c>
      <c r="V96" t="s">
        <v>196</v>
      </c>
      <c r="W96" t="s">
        <v>2730</v>
      </c>
      <c r="X96" t="s">
        <v>197</v>
      </c>
      <c r="Y96">
        <v>4</v>
      </c>
      <c r="Z96">
        <v>4</v>
      </c>
      <c r="AA96">
        <v>4</v>
      </c>
      <c r="AB96">
        <v>3</v>
      </c>
      <c r="AC96">
        <v>3</v>
      </c>
      <c r="AD96" t="s">
        <v>2730</v>
      </c>
      <c r="AE96" t="s">
        <v>2730</v>
      </c>
      <c r="AF96" t="s">
        <v>129</v>
      </c>
      <c r="AG96" t="s">
        <v>2730</v>
      </c>
      <c r="AH96" t="s">
        <v>2733</v>
      </c>
      <c r="AI96" t="s">
        <v>59</v>
      </c>
      <c r="AJ96" t="s">
        <v>59</v>
      </c>
      <c r="AK96" t="s">
        <v>60</v>
      </c>
      <c r="AL96" t="s">
        <v>59</v>
      </c>
      <c r="AM96" t="s">
        <v>59</v>
      </c>
      <c r="AN96" t="s">
        <v>59</v>
      </c>
      <c r="AO96" t="s">
        <v>59</v>
      </c>
      <c r="AP96" t="s">
        <v>60</v>
      </c>
      <c r="AQ96" t="s">
        <v>59</v>
      </c>
      <c r="AR96" t="s">
        <v>59</v>
      </c>
      <c r="AS96" t="s">
        <v>59</v>
      </c>
      <c r="AT96" t="s">
        <v>59</v>
      </c>
      <c r="AU96" t="s">
        <v>59</v>
      </c>
      <c r="AV96" t="s">
        <v>59</v>
      </c>
      <c r="AW96" t="s">
        <v>59</v>
      </c>
      <c r="AX96" t="s">
        <v>59</v>
      </c>
      <c r="AY96" t="s">
        <v>218</v>
      </c>
      <c r="AZ96" t="s">
        <v>59</v>
      </c>
      <c r="BA96" t="s">
        <v>59</v>
      </c>
      <c r="BB96" t="s">
        <v>59</v>
      </c>
      <c r="BC96" t="s">
        <v>59</v>
      </c>
      <c r="BD96" t="s">
        <v>59</v>
      </c>
      <c r="BE96" t="s">
        <v>59</v>
      </c>
      <c r="BF96" t="s">
        <v>59</v>
      </c>
      <c r="BG96" t="s">
        <v>218</v>
      </c>
      <c r="BH96" t="s">
        <v>218</v>
      </c>
      <c r="BI96" t="s">
        <v>59</v>
      </c>
      <c r="BJ96" t="s">
        <v>59</v>
      </c>
      <c r="BK96" t="s">
        <v>60</v>
      </c>
      <c r="BL96" t="s">
        <v>60</v>
      </c>
      <c r="BM96" t="s">
        <v>59</v>
      </c>
      <c r="BN96" t="s">
        <v>60</v>
      </c>
      <c r="BO96" t="s">
        <v>60</v>
      </c>
      <c r="BP96" t="s">
        <v>59</v>
      </c>
      <c r="BQ96" t="s">
        <v>60</v>
      </c>
      <c r="BR96" t="s">
        <v>59</v>
      </c>
      <c r="BS96" t="s">
        <v>60</v>
      </c>
      <c r="BT96" t="s">
        <v>59</v>
      </c>
      <c r="BU96" t="s">
        <v>59</v>
      </c>
      <c r="BV96" t="s">
        <v>59</v>
      </c>
      <c r="BW96" t="s">
        <v>59</v>
      </c>
      <c r="BX96" t="s">
        <v>59</v>
      </c>
      <c r="BY96" t="s">
        <v>59</v>
      </c>
      <c r="BZ96" t="s">
        <v>59</v>
      </c>
      <c r="CA96" t="s">
        <v>59</v>
      </c>
      <c r="CB96" t="s">
        <v>59</v>
      </c>
      <c r="CC96" t="s">
        <v>59</v>
      </c>
      <c r="CD96" t="s">
        <v>59</v>
      </c>
      <c r="CE96" t="s">
        <v>59</v>
      </c>
      <c r="CF96" t="s">
        <v>59</v>
      </c>
      <c r="CG96" t="s">
        <v>59</v>
      </c>
      <c r="CH96" t="s">
        <v>59</v>
      </c>
      <c r="CI96" t="s">
        <v>59</v>
      </c>
      <c r="CJ96" t="s">
        <v>59</v>
      </c>
      <c r="CK96" t="s">
        <v>59</v>
      </c>
      <c r="CL96" t="s">
        <v>60</v>
      </c>
      <c r="CM96" t="s">
        <v>60</v>
      </c>
      <c r="CN96" t="s">
        <v>60</v>
      </c>
      <c r="CO96" t="s">
        <v>218</v>
      </c>
      <c r="CP96" t="s">
        <v>218</v>
      </c>
      <c r="CQ96" t="s">
        <v>218</v>
      </c>
      <c r="CR96" t="s">
        <v>60</v>
      </c>
      <c r="CS96" t="s">
        <v>59</v>
      </c>
      <c r="CT96" t="s">
        <v>60</v>
      </c>
      <c r="CU96" t="s">
        <v>59</v>
      </c>
      <c r="CV96" t="s">
        <v>60</v>
      </c>
      <c r="CW96" t="s">
        <v>59</v>
      </c>
      <c r="CX96" t="s">
        <v>59</v>
      </c>
      <c r="CY96" t="s">
        <v>59</v>
      </c>
      <c r="CZ96" t="s">
        <v>59</v>
      </c>
      <c r="DA96" t="s">
        <v>59</v>
      </c>
      <c r="DB96" t="s">
        <v>60</v>
      </c>
      <c r="DC96" t="s">
        <v>60</v>
      </c>
      <c r="DD96" t="s">
        <v>60</v>
      </c>
      <c r="DE96" t="s">
        <v>59</v>
      </c>
      <c r="DF96" t="s">
        <v>59</v>
      </c>
      <c r="DG96" t="s">
        <v>59</v>
      </c>
      <c r="DH96" t="s">
        <v>59</v>
      </c>
      <c r="DI96" t="s">
        <v>59</v>
      </c>
      <c r="DJ96" t="s">
        <v>59</v>
      </c>
      <c r="DK96" t="s">
        <v>59</v>
      </c>
      <c r="DL96" t="s">
        <v>59</v>
      </c>
      <c r="DM96" t="s">
        <v>59</v>
      </c>
      <c r="DN96" t="s">
        <v>59</v>
      </c>
      <c r="DO96" t="s">
        <v>218</v>
      </c>
      <c r="DP96" t="s">
        <v>59</v>
      </c>
      <c r="DQ96" t="s">
        <v>59</v>
      </c>
      <c r="DR96" t="s">
        <v>59</v>
      </c>
      <c r="DS96" t="s">
        <v>59</v>
      </c>
      <c r="DT96" t="s">
        <v>59</v>
      </c>
      <c r="DU96" t="s">
        <v>59</v>
      </c>
      <c r="DV96" t="s">
        <v>59</v>
      </c>
      <c r="DW96" t="s">
        <v>59</v>
      </c>
      <c r="DX96" t="s">
        <v>59</v>
      </c>
      <c r="DY96" t="s">
        <v>59</v>
      </c>
      <c r="DZ96" t="s">
        <v>59</v>
      </c>
      <c r="EA96" t="s">
        <v>59</v>
      </c>
      <c r="EB96" t="s">
        <v>59</v>
      </c>
      <c r="EC96" t="s">
        <v>218</v>
      </c>
      <c r="ED96" t="s">
        <v>59</v>
      </c>
      <c r="EE96" t="s">
        <v>59</v>
      </c>
      <c r="EF96" t="s">
        <v>59</v>
      </c>
      <c r="EG96" t="s">
        <v>59</v>
      </c>
      <c r="EH96" t="s">
        <v>59</v>
      </c>
      <c r="EI96" t="s">
        <v>59</v>
      </c>
      <c r="EJ96" t="s">
        <v>59</v>
      </c>
      <c r="EK96" t="s">
        <v>59</v>
      </c>
      <c r="EL96" t="s">
        <v>59</v>
      </c>
      <c r="EM96" t="s">
        <v>59</v>
      </c>
      <c r="EN96" t="s">
        <v>59</v>
      </c>
      <c r="EO96" t="s">
        <v>59</v>
      </c>
      <c r="EP96" t="s">
        <v>59</v>
      </c>
      <c r="EQ96" t="s">
        <v>59</v>
      </c>
      <c r="ER96" t="s">
        <v>59</v>
      </c>
      <c r="ES96" t="s">
        <v>59</v>
      </c>
      <c r="ET96" t="s">
        <v>59</v>
      </c>
      <c r="EU96" t="s">
        <v>59</v>
      </c>
      <c r="EV96" t="s">
        <v>59</v>
      </c>
      <c r="EW96" t="s">
        <v>59</v>
      </c>
      <c r="EX96" t="s">
        <v>59</v>
      </c>
      <c r="EY96" t="s">
        <v>59</v>
      </c>
      <c r="EZ96" t="s">
        <v>59</v>
      </c>
      <c r="FA96" t="s">
        <v>59</v>
      </c>
      <c r="FB96" t="s">
        <v>59</v>
      </c>
      <c r="FC96" t="s">
        <v>59</v>
      </c>
      <c r="FD96" t="s">
        <v>59</v>
      </c>
      <c r="FE96" t="s">
        <v>59</v>
      </c>
      <c r="FF96" t="s">
        <v>59</v>
      </c>
      <c r="FG96" t="s">
        <v>59</v>
      </c>
      <c r="FH96" t="s">
        <v>59</v>
      </c>
      <c r="FI96" t="s">
        <v>59</v>
      </c>
      <c r="FJ96" t="s">
        <v>59</v>
      </c>
      <c r="FK96" t="s">
        <v>59</v>
      </c>
      <c r="FL96" t="s">
        <v>59</v>
      </c>
      <c r="FM96" t="s">
        <v>59</v>
      </c>
      <c r="FN96" t="s">
        <v>59</v>
      </c>
      <c r="FO96" t="s">
        <v>59</v>
      </c>
      <c r="FP96" t="s">
        <v>59</v>
      </c>
      <c r="FQ96" t="s">
        <v>59</v>
      </c>
      <c r="FR96" t="s">
        <v>59</v>
      </c>
      <c r="FS96" t="s">
        <v>218</v>
      </c>
      <c r="FT96" t="s">
        <v>59</v>
      </c>
      <c r="FU96" t="s">
        <v>59</v>
      </c>
      <c r="FV96" t="s">
        <v>59</v>
      </c>
      <c r="FW96" t="s">
        <v>59</v>
      </c>
      <c r="FX96" t="s">
        <v>59</v>
      </c>
      <c r="FY96" t="s">
        <v>59</v>
      </c>
      <c r="FZ96" t="s">
        <v>59</v>
      </c>
      <c r="GA96" t="s">
        <v>59</v>
      </c>
      <c r="GB96" t="s">
        <v>59</v>
      </c>
      <c r="GC96" t="s">
        <v>59</v>
      </c>
      <c r="GD96" t="s">
        <v>59</v>
      </c>
      <c r="GE96" t="s">
        <v>59</v>
      </c>
      <c r="GF96" t="s">
        <v>59</v>
      </c>
      <c r="GG96" t="s">
        <v>59</v>
      </c>
      <c r="GH96" t="s">
        <v>59</v>
      </c>
      <c r="GI96" t="s">
        <v>59</v>
      </c>
      <c r="GJ96" t="s">
        <v>59</v>
      </c>
      <c r="GK96" t="s">
        <v>218</v>
      </c>
      <c r="GL96" t="s">
        <v>59</v>
      </c>
      <c r="GM96" t="s">
        <v>59</v>
      </c>
      <c r="GN96" t="s">
        <v>59</v>
      </c>
      <c r="GO96" t="s">
        <v>59</v>
      </c>
      <c r="GP96" t="s">
        <v>59</v>
      </c>
      <c r="GQ96" t="s">
        <v>218</v>
      </c>
      <c r="GR96" t="s">
        <v>59</v>
      </c>
      <c r="GS96" t="s">
        <v>59</v>
      </c>
      <c r="GT96" t="s">
        <v>218</v>
      </c>
      <c r="GU96" t="s">
        <v>218</v>
      </c>
      <c r="GV96" t="s">
        <v>59</v>
      </c>
      <c r="GW96" t="s">
        <v>59</v>
      </c>
      <c r="GX96" t="s">
        <v>59</v>
      </c>
      <c r="GY96" t="s">
        <v>59</v>
      </c>
      <c r="GZ96" t="s">
        <v>218</v>
      </c>
      <c r="HA96" t="s">
        <v>59</v>
      </c>
      <c r="HB96" t="s">
        <v>218</v>
      </c>
      <c r="HC96" t="s">
        <v>59</v>
      </c>
      <c r="HD96" t="s">
        <v>59</v>
      </c>
      <c r="HE96" t="s">
        <v>59</v>
      </c>
      <c r="HF96" t="s">
        <v>59</v>
      </c>
      <c r="HG96" t="s">
        <v>59</v>
      </c>
      <c r="HH96" t="s">
        <v>59</v>
      </c>
      <c r="HI96" t="s">
        <v>59</v>
      </c>
      <c r="HJ96" t="s">
        <v>59</v>
      </c>
      <c r="HK96" t="s">
        <v>59</v>
      </c>
      <c r="HL96" t="s">
        <v>218</v>
      </c>
      <c r="HM96" t="s">
        <v>218</v>
      </c>
      <c r="HN96" t="s">
        <v>218</v>
      </c>
      <c r="HO96" t="s">
        <v>218</v>
      </c>
      <c r="HP96" t="s">
        <v>59</v>
      </c>
      <c r="HQ96" t="s">
        <v>59</v>
      </c>
      <c r="HR96" t="s">
        <v>59</v>
      </c>
      <c r="HS96" t="s">
        <v>59</v>
      </c>
      <c r="HT96" t="s">
        <v>59</v>
      </c>
      <c r="HU96" t="s">
        <v>59</v>
      </c>
      <c r="HV96" t="s">
        <v>59</v>
      </c>
      <c r="HW96" t="s">
        <v>59</v>
      </c>
      <c r="HX96" t="s">
        <v>59</v>
      </c>
      <c r="HY96" t="s">
        <v>59</v>
      </c>
      <c r="HZ96" t="s">
        <v>59</v>
      </c>
      <c r="IA96" t="s">
        <v>59</v>
      </c>
      <c r="IB96" t="s">
        <v>59</v>
      </c>
      <c r="IC96" t="s">
        <v>59</v>
      </c>
      <c r="ID96" t="s">
        <v>59</v>
      </c>
      <c r="IE96" t="s">
        <v>59</v>
      </c>
      <c r="IF96" t="s">
        <v>60</v>
      </c>
      <c r="IG96" t="s">
        <v>60</v>
      </c>
      <c r="IH96" t="s">
        <v>60</v>
      </c>
      <c r="II96" t="s">
        <v>60</v>
      </c>
      <c r="IJ96" t="s">
        <v>129</v>
      </c>
      <c r="IK96" t="s">
        <v>191</v>
      </c>
      <c r="IL96" t="s">
        <v>128</v>
      </c>
      <c r="IM96" t="s">
        <v>407</v>
      </c>
      <c r="IN96">
        <v>23</v>
      </c>
      <c r="IO96" t="s">
        <v>2730</v>
      </c>
      <c r="IP96" t="s">
        <v>2730</v>
      </c>
      <c r="IQ96">
        <v>6</v>
      </c>
      <c r="IR96">
        <v>15</v>
      </c>
      <c r="IS96" t="s">
        <v>2730</v>
      </c>
      <c r="IT96" t="s">
        <v>2730</v>
      </c>
      <c r="IU96" t="s">
        <v>2730</v>
      </c>
      <c r="IV96">
        <v>7</v>
      </c>
      <c r="IW96" t="s">
        <v>2730</v>
      </c>
      <c r="IX96" t="s">
        <v>2730</v>
      </c>
      <c r="IY96">
        <v>9</v>
      </c>
      <c r="IZ96">
        <v>57</v>
      </c>
      <c r="JA96" t="s">
        <v>2730</v>
      </c>
      <c r="JB96" t="s">
        <v>2730</v>
      </c>
      <c r="JC96" t="s">
        <v>2730</v>
      </c>
      <c r="JD96">
        <v>24</v>
      </c>
      <c r="JE96" t="s">
        <v>2730</v>
      </c>
      <c r="JF96" t="s">
        <v>2730</v>
      </c>
      <c r="JG96" t="s">
        <v>2730</v>
      </c>
      <c r="JH96">
        <v>21</v>
      </c>
      <c r="JI96" t="s">
        <v>2730</v>
      </c>
      <c r="JJ96" t="s">
        <v>2730</v>
      </c>
      <c r="JK96" t="s">
        <v>2730</v>
      </c>
      <c r="JL96">
        <v>16</v>
      </c>
      <c r="JM96" t="s">
        <v>2730</v>
      </c>
      <c r="JN96" t="s">
        <v>2730</v>
      </c>
      <c r="JO96" t="s">
        <v>2730</v>
      </c>
      <c r="JP96" t="s">
        <v>2730</v>
      </c>
      <c r="JQ96">
        <v>4</v>
      </c>
    </row>
    <row r="97" spans="1:277">
      <c r="A97" s="149" t="str">
        <f>HYPERLINK("http://www.ofsted.gov.uk/inspection-reports/find-inspection-report/provider/ELS/101065 ","Ofsted School Webpage")</f>
        <v>Ofsted School Webpage</v>
      </c>
      <c r="B97">
        <v>1134594</v>
      </c>
      <c r="C97">
        <v>101065</v>
      </c>
      <c r="D97">
        <v>2126144</v>
      </c>
      <c r="E97" t="s">
        <v>494</v>
      </c>
      <c r="F97" t="s">
        <v>37</v>
      </c>
      <c r="G97" t="s">
        <v>209</v>
      </c>
      <c r="H97" t="s">
        <v>232</v>
      </c>
      <c r="I97" t="s">
        <v>232</v>
      </c>
      <c r="J97" t="s">
        <v>435</v>
      </c>
      <c r="K97" t="s">
        <v>495</v>
      </c>
      <c r="L97" t="s">
        <v>184</v>
      </c>
      <c r="M97" t="s">
        <v>185</v>
      </c>
      <c r="N97" t="s">
        <v>184</v>
      </c>
      <c r="O97" t="s">
        <v>2730</v>
      </c>
      <c r="P97" t="s">
        <v>186</v>
      </c>
      <c r="Q97">
        <v>10008537</v>
      </c>
      <c r="R97" s="120">
        <v>43046</v>
      </c>
      <c r="S97" s="120">
        <v>43048</v>
      </c>
      <c r="T97" s="120">
        <v>43066</v>
      </c>
      <c r="U97" t="s">
        <v>2730</v>
      </c>
      <c r="V97" t="s">
        <v>196</v>
      </c>
      <c r="W97" t="s">
        <v>2730</v>
      </c>
      <c r="X97" t="s">
        <v>197</v>
      </c>
      <c r="Y97">
        <v>1</v>
      </c>
      <c r="Z97">
        <v>1</v>
      </c>
      <c r="AA97">
        <v>1</v>
      </c>
      <c r="AB97">
        <v>1</v>
      </c>
      <c r="AC97">
        <v>1</v>
      </c>
      <c r="AD97">
        <v>1</v>
      </c>
      <c r="AE97" t="s">
        <v>2730</v>
      </c>
      <c r="AF97" t="s">
        <v>128</v>
      </c>
      <c r="AG97" t="s">
        <v>2730</v>
      </c>
      <c r="AH97" t="s">
        <v>2732</v>
      </c>
      <c r="AI97" t="s">
        <v>59</v>
      </c>
      <c r="AJ97" t="s">
        <v>59</v>
      </c>
      <c r="AK97" t="s">
        <v>59</v>
      </c>
      <c r="AL97" t="s">
        <v>59</v>
      </c>
      <c r="AM97" t="s">
        <v>59</v>
      </c>
      <c r="AN97" t="s">
        <v>59</v>
      </c>
      <c r="AO97" t="s">
        <v>59</v>
      </c>
      <c r="AP97" t="s">
        <v>59</v>
      </c>
      <c r="AQ97" t="s">
        <v>59</v>
      </c>
      <c r="AR97" t="s">
        <v>59</v>
      </c>
      <c r="AS97" t="s">
        <v>59</v>
      </c>
      <c r="AT97" t="s">
        <v>59</v>
      </c>
      <c r="AU97" t="s">
        <v>59</v>
      </c>
      <c r="AV97" t="s">
        <v>59</v>
      </c>
      <c r="AW97" t="s">
        <v>59</v>
      </c>
      <c r="AX97" t="s">
        <v>59</v>
      </c>
      <c r="AY97" t="s">
        <v>191</v>
      </c>
      <c r="AZ97" t="s">
        <v>59</v>
      </c>
      <c r="BA97" t="s">
        <v>59</v>
      </c>
      <c r="BB97" t="s">
        <v>59</v>
      </c>
      <c r="BC97" t="s">
        <v>191</v>
      </c>
      <c r="BD97" t="s">
        <v>191</v>
      </c>
      <c r="BE97" t="s">
        <v>191</v>
      </c>
      <c r="BF97" t="s">
        <v>191</v>
      </c>
      <c r="BG97" t="s">
        <v>59</v>
      </c>
      <c r="BH97" t="s">
        <v>191</v>
      </c>
      <c r="BI97" t="s">
        <v>59</v>
      </c>
      <c r="BJ97" t="s">
        <v>59</v>
      </c>
      <c r="BK97" t="s">
        <v>59</v>
      </c>
      <c r="BL97" t="s">
        <v>59</v>
      </c>
      <c r="BM97" t="s">
        <v>59</v>
      </c>
      <c r="BN97" t="s">
        <v>59</v>
      </c>
      <c r="BO97" t="s">
        <v>59</v>
      </c>
      <c r="BP97" t="s">
        <v>59</v>
      </c>
      <c r="BQ97" t="s">
        <v>59</v>
      </c>
      <c r="BR97" t="s">
        <v>59</v>
      </c>
      <c r="BS97" t="s">
        <v>59</v>
      </c>
      <c r="BT97" t="s">
        <v>59</v>
      </c>
      <c r="BU97" t="s">
        <v>59</v>
      </c>
      <c r="BV97" t="s">
        <v>59</v>
      </c>
      <c r="BW97" t="s">
        <v>59</v>
      </c>
      <c r="BX97" t="s">
        <v>59</v>
      </c>
      <c r="BY97" t="s">
        <v>59</v>
      </c>
      <c r="BZ97" t="s">
        <v>59</v>
      </c>
      <c r="CA97" t="s">
        <v>59</v>
      </c>
      <c r="CB97" t="s">
        <v>59</v>
      </c>
      <c r="CC97" t="s">
        <v>59</v>
      </c>
      <c r="CD97" t="s">
        <v>59</v>
      </c>
      <c r="CE97" t="s">
        <v>59</v>
      </c>
      <c r="CF97" t="s">
        <v>59</v>
      </c>
      <c r="CG97" t="s">
        <v>59</v>
      </c>
      <c r="CH97" t="s">
        <v>59</v>
      </c>
      <c r="CI97" t="s">
        <v>59</v>
      </c>
      <c r="CJ97" t="s">
        <v>59</v>
      </c>
      <c r="CK97" t="s">
        <v>59</v>
      </c>
      <c r="CL97" t="s">
        <v>59</v>
      </c>
      <c r="CM97" t="s">
        <v>59</v>
      </c>
      <c r="CN97" t="s">
        <v>59</v>
      </c>
      <c r="CO97" t="s">
        <v>191</v>
      </c>
      <c r="CP97" t="s">
        <v>191</v>
      </c>
      <c r="CQ97" t="s">
        <v>191</v>
      </c>
      <c r="CR97" t="s">
        <v>59</v>
      </c>
      <c r="CS97" t="s">
        <v>59</v>
      </c>
      <c r="CT97" t="s">
        <v>59</v>
      </c>
      <c r="CU97" t="s">
        <v>59</v>
      </c>
      <c r="CV97" t="s">
        <v>59</v>
      </c>
      <c r="CW97" t="s">
        <v>59</v>
      </c>
      <c r="CX97" t="s">
        <v>59</v>
      </c>
      <c r="CY97" t="s">
        <v>59</v>
      </c>
      <c r="CZ97" t="s">
        <v>59</v>
      </c>
      <c r="DA97" t="s">
        <v>59</v>
      </c>
      <c r="DB97" t="s">
        <v>59</v>
      </c>
      <c r="DC97" t="s">
        <v>59</v>
      </c>
      <c r="DD97" t="s">
        <v>59</v>
      </c>
      <c r="DE97" t="s">
        <v>59</v>
      </c>
      <c r="DF97" t="s">
        <v>59</v>
      </c>
      <c r="DG97" t="s">
        <v>59</v>
      </c>
      <c r="DH97" t="s">
        <v>59</v>
      </c>
      <c r="DI97" t="s">
        <v>59</v>
      </c>
      <c r="DJ97" t="s">
        <v>59</v>
      </c>
      <c r="DK97" t="s">
        <v>59</v>
      </c>
      <c r="DL97" t="s">
        <v>59</v>
      </c>
      <c r="DM97" t="s">
        <v>59</v>
      </c>
      <c r="DN97" t="s">
        <v>59</v>
      </c>
      <c r="DO97" t="s">
        <v>191</v>
      </c>
      <c r="DP97" t="s">
        <v>59</v>
      </c>
      <c r="DQ97" t="s">
        <v>59</v>
      </c>
      <c r="DR97" t="s">
        <v>59</v>
      </c>
      <c r="DS97" t="s">
        <v>59</v>
      </c>
      <c r="DT97" t="s">
        <v>59</v>
      </c>
      <c r="DU97" t="s">
        <v>59</v>
      </c>
      <c r="DV97" t="s">
        <v>59</v>
      </c>
      <c r="DW97" t="s">
        <v>59</v>
      </c>
      <c r="DX97" t="s">
        <v>59</v>
      </c>
      <c r="DY97" t="s">
        <v>59</v>
      </c>
      <c r="DZ97" t="s">
        <v>59</v>
      </c>
      <c r="EA97" t="s">
        <v>59</v>
      </c>
      <c r="EB97" t="s">
        <v>59</v>
      </c>
      <c r="EC97" t="s">
        <v>191</v>
      </c>
      <c r="ED97" t="s">
        <v>59</v>
      </c>
      <c r="EE97" t="s">
        <v>59</v>
      </c>
      <c r="EF97" t="s">
        <v>59</v>
      </c>
      <c r="EG97" t="s">
        <v>59</v>
      </c>
      <c r="EH97" t="s">
        <v>59</v>
      </c>
      <c r="EI97" t="s">
        <v>59</v>
      </c>
      <c r="EJ97" t="s">
        <v>59</v>
      </c>
      <c r="EK97" t="s">
        <v>59</v>
      </c>
      <c r="EL97" t="s">
        <v>59</v>
      </c>
      <c r="EM97" t="s">
        <v>59</v>
      </c>
      <c r="EN97" t="s">
        <v>59</v>
      </c>
      <c r="EO97" t="s">
        <v>59</v>
      </c>
      <c r="EP97" t="s">
        <v>59</v>
      </c>
      <c r="EQ97" t="s">
        <v>59</v>
      </c>
      <c r="ER97" t="s">
        <v>59</v>
      </c>
      <c r="ES97" t="s">
        <v>59</v>
      </c>
      <c r="ET97" t="s">
        <v>59</v>
      </c>
      <c r="EU97" t="s">
        <v>59</v>
      </c>
      <c r="EV97" t="s">
        <v>59</v>
      </c>
      <c r="EW97" t="s">
        <v>59</v>
      </c>
      <c r="EX97" t="s">
        <v>59</v>
      </c>
      <c r="EY97" t="s">
        <v>59</v>
      </c>
      <c r="EZ97" t="s">
        <v>59</v>
      </c>
      <c r="FA97" t="s">
        <v>59</v>
      </c>
      <c r="FB97" t="s">
        <v>59</v>
      </c>
      <c r="FC97" t="s">
        <v>59</v>
      </c>
      <c r="FD97" t="s">
        <v>59</v>
      </c>
      <c r="FE97" t="s">
        <v>59</v>
      </c>
      <c r="FF97" t="s">
        <v>59</v>
      </c>
      <c r="FG97" t="s">
        <v>59</v>
      </c>
      <c r="FH97" t="s">
        <v>59</v>
      </c>
      <c r="FI97" t="s">
        <v>59</v>
      </c>
      <c r="FJ97" t="s">
        <v>59</v>
      </c>
      <c r="FK97" t="s">
        <v>59</v>
      </c>
      <c r="FL97" t="s">
        <v>59</v>
      </c>
      <c r="FM97" t="s">
        <v>59</v>
      </c>
      <c r="FN97" t="s">
        <v>59</v>
      </c>
      <c r="FO97" t="s">
        <v>191</v>
      </c>
      <c r="FP97" t="s">
        <v>59</v>
      </c>
      <c r="FQ97" t="s">
        <v>59</v>
      </c>
      <c r="FR97" t="s">
        <v>59</v>
      </c>
      <c r="FS97" t="s">
        <v>191</v>
      </c>
      <c r="FT97" t="s">
        <v>59</v>
      </c>
      <c r="FU97" t="s">
        <v>59</v>
      </c>
      <c r="FV97" t="s">
        <v>59</v>
      </c>
      <c r="FW97" t="s">
        <v>59</v>
      </c>
      <c r="FX97" t="s">
        <v>59</v>
      </c>
      <c r="FY97" t="s">
        <v>59</v>
      </c>
      <c r="FZ97" t="s">
        <v>59</v>
      </c>
      <c r="GA97" t="s">
        <v>59</v>
      </c>
      <c r="GB97" t="s">
        <v>59</v>
      </c>
      <c r="GC97" t="s">
        <v>59</v>
      </c>
      <c r="GD97" t="s">
        <v>59</v>
      </c>
      <c r="GE97" t="s">
        <v>59</v>
      </c>
      <c r="GF97" t="s">
        <v>59</v>
      </c>
      <c r="GG97" t="s">
        <v>59</v>
      </c>
      <c r="GH97" t="s">
        <v>59</v>
      </c>
      <c r="GI97" t="s">
        <v>59</v>
      </c>
      <c r="GJ97" t="s">
        <v>59</v>
      </c>
      <c r="GK97" t="s">
        <v>191</v>
      </c>
      <c r="GL97" t="s">
        <v>59</v>
      </c>
      <c r="GM97" t="s">
        <v>59</v>
      </c>
      <c r="GN97" t="s">
        <v>59</v>
      </c>
      <c r="GO97" t="s">
        <v>59</v>
      </c>
      <c r="GP97" t="s">
        <v>59</v>
      </c>
      <c r="GQ97" t="s">
        <v>191</v>
      </c>
      <c r="GR97" t="s">
        <v>59</v>
      </c>
      <c r="GS97" t="s">
        <v>59</v>
      </c>
      <c r="GT97" t="s">
        <v>191</v>
      </c>
      <c r="GU97" t="s">
        <v>59</v>
      </c>
      <c r="GV97" t="s">
        <v>59</v>
      </c>
      <c r="GW97" t="s">
        <v>59</v>
      </c>
      <c r="GX97" t="s">
        <v>59</v>
      </c>
      <c r="GY97" t="s">
        <v>59</v>
      </c>
      <c r="GZ97" t="s">
        <v>59</v>
      </c>
      <c r="HA97" t="s">
        <v>191</v>
      </c>
      <c r="HB97" t="s">
        <v>191</v>
      </c>
      <c r="HC97" t="s">
        <v>59</v>
      </c>
      <c r="HD97" t="s">
        <v>59</v>
      </c>
      <c r="HE97" t="s">
        <v>59</v>
      </c>
      <c r="HF97" t="s">
        <v>59</v>
      </c>
      <c r="HG97" t="s">
        <v>59</v>
      </c>
      <c r="HH97" t="s">
        <v>59</v>
      </c>
      <c r="HI97" t="s">
        <v>59</v>
      </c>
      <c r="HJ97" t="s">
        <v>59</v>
      </c>
      <c r="HK97" t="s">
        <v>59</v>
      </c>
      <c r="HL97" t="s">
        <v>59</v>
      </c>
      <c r="HM97" t="s">
        <v>59</v>
      </c>
      <c r="HN97" t="s">
        <v>59</v>
      </c>
      <c r="HO97" t="s">
        <v>59</v>
      </c>
      <c r="HP97" t="s">
        <v>59</v>
      </c>
      <c r="HQ97" t="s">
        <v>59</v>
      </c>
      <c r="HR97" t="s">
        <v>59</v>
      </c>
      <c r="HS97" t="s">
        <v>59</v>
      </c>
      <c r="HT97" t="s">
        <v>59</v>
      </c>
      <c r="HU97" t="s">
        <v>59</v>
      </c>
      <c r="HV97" t="s">
        <v>59</v>
      </c>
      <c r="HW97" t="s">
        <v>59</v>
      </c>
      <c r="HX97" t="s">
        <v>59</v>
      </c>
      <c r="HY97" t="s">
        <v>59</v>
      </c>
      <c r="HZ97" t="s">
        <v>59</v>
      </c>
      <c r="IA97" t="s">
        <v>59</v>
      </c>
      <c r="IB97" t="s">
        <v>59</v>
      </c>
      <c r="IC97" t="s">
        <v>59</v>
      </c>
      <c r="ID97" t="s">
        <v>59</v>
      </c>
      <c r="IE97" t="s">
        <v>59</v>
      </c>
      <c r="IF97" t="s">
        <v>59</v>
      </c>
      <c r="IG97" t="s">
        <v>59</v>
      </c>
      <c r="IH97" t="s">
        <v>59</v>
      </c>
      <c r="II97" t="s">
        <v>59</v>
      </c>
      <c r="IJ97" t="s">
        <v>129</v>
      </c>
      <c r="IK97" t="s">
        <v>198</v>
      </c>
      <c r="IL97" t="s">
        <v>128</v>
      </c>
      <c r="IM97" t="s">
        <v>199</v>
      </c>
      <c r="IN97">
        <v>26</v>
      </c>
      <c r="IO97" t="s">
        <v>2730</v>
      </c>
      <c r="IP97">
        <v>6</v>
      </c>
      <c r="IQ97" t="s">
        <v>2730</v>
      </c>
      <c r="IR97">
        <v>15</v>
      </c>
      <c r="IS97" t="s">
        <v>2730</v>
      </c>
      <c r="IT97" t="s">
        <v>2730</v>
      </c>
      <c r="IU97" t="s">
        <v>2730</v>
      </c>
      <c r="IV97">
        <v>16</v>
      </c>
      <c r="IW97" t="s">
        <v>2730</v>
      </c>
      <c r="IX97">
        <v>3</v>
      </c>
      <c r="IY97" t="s">
        <v>2730</v>
      </c>
      <c r="IZ97">
        <v>57</v>
      </c>
      <c r="JA97" t="s">
        <v>2730</v>
      </c>
      <c r="JB97">
        <v>2</v>
      </c>
      <c r="JC97" t="s">
        <v>2730</v>
      </c>
      <c r="JD97">
        <v>23</v>
      </c>
      <c r="JE97" t="s">
        <v>2730</v>
      </c>
      <c r="JF97">
        <v>3</v>
      </c>
      <c r="JG97" t="s">
        <v>2730</v>
      </c>
      <c r="JH97">
        <v>26</v>
      </c>
      <c r="JI97" t="s">
        <v>2730</v>
      </c>
      <c r="JJ97">
        <v>4</v>
      </c>
      <c r="JK97" t="s">
        <v>2730</v>
      </c>
      <c r="JL97">
        <v>16</v>
      </c>
      <c r="JM97" t="s">
        <v>2730</v>
      </c>
      <c r="JN97" t="s">
        <v>2730</v>
      </c>
      <c r="JO97">
        <v>4</v>
      </c>
      <c r="JP97" t="s">
        <v>2730</v>
      </c>
      <c r="JQ97" t="s">
        <v>2730</v>
      </c>
    </row>
    <row r="98" spans="1:277">
      <c r="A98" s="149" t="str">
        <f>HYPERLINK("http://www.ofsted.gov.uk/inspection-reports/find-inspection-report/provider/ELS/138875 ","Ofsted School Webpage")</f>
        <v>Ofsted School Webpage</v>
      </c>
      <c r="B98">
        <v>1131931</v>
      </c>
      <c r="C98">
        <v>138875</v>
      </c>
      <c r="D98">
        <v>8936030</v>
      </c>
      <c r="E98" t="s">
        <v>192</v>
      </c>
      <c r="F98" t="s">
        <v>38</v>
      </c>
      <c r="G98" t="s">
        <v>180</v>
      </c>
      <c r="H98" t="s">
        <v>193</v>
      </c>
      <c r="I98" t="s">
        <v>193</v>
      </c>
      <c r="J98" t="s">
        <v>194</v>
      </c>
      <c r="K98" t="s">
        <v>195</v>
      </c>
      <c r="L98" t="s">
        <v>184</v>
      </c>
      <c r="M98" t="s">
        <v>185</v>
      </c>
      <c r="N98" t="s">
        <v>184</v>
      </c>
      <c r="O98" t="s">
        <v>2730</v>
      </c>
      <c r="P98" t="s">
        <v>186</v>
      </c>
      <c r="Q98">
        <v>10012924</v>
      </c>
      <c r="R98" s="120">
        <v>43011</v>
      </c>
      <c r="S98" s="120">
        <v>43013</v>
      </c>
      <c r="T98" s="120">
        <v>43060</v>
      </c>
      <c r="U98" t="s">
        <v>2730</v>
      </c>
      <c r="V98" t="s">
        <v>196</v>
      </c>
      <c r="W98" t="s">
        <v>2730</v>
      </c>
      <c r="X98" t="s">
        <v>197</v>
      </c>
      <c r="Y98">
        <v>4</v>
      </c>
      <c r="Z98">
        <v>4</v>
      </c>
      <c r="AA98">
        <v>3</v>
      </c>
      <c r="AB98">
        <v>3</v>
      </c>
      <c r="AC98">
        <v>3</v>
      </c>
      <c r="AD98" t="s">
        <v>2730</v>
      </c>
      <c r="AE98" t="s">
        <v>2730</v>
      </c>
      <c r="AF98" t="s">
        <v>128</v>
      </c>
      <c r="AG98" t="s">
        <v>2730</v>
      </c>
      <c r="AH98" t="s">
        <v>2733</v>
      </c>
      <c r="AI98" t="s">
        <v>59</v>
      </c>
      <c r="AJ98" t="s">
        <v>60</v>
      </c>
      <c r="AK98" t="s">
        <v>59</v>
      </c>
      <c r="AL98" t="s">
        <v>59</v>
      </c>
      <c r="AM98" t="s">
        <v>59</v>
      </c>
      <c r="AN98" t="s">
        <v>60</v>
      </c>
      <c r="AO98" t="s">
        <v>59</v>
      </c>
      <c r="AP98" t="s">
        <v>60</v>
      </c>
      <c r="AQ98" t="s">
        <v>59</v>
      </c>
      <c r="AR98" t="s">
        <v>59</v>
      </c>
      <c r="AS98" t="s">
        <v>59</v>
      </c>
      <c r="AT98" t="s">
        <v>59</v>
      </c>
      <c r="AU98" t="s">
        <v>59</v>
      </c>
      <c r="AV98" t="s">
        <v>59</v>
      </c>
      <c r="AW98" t="s">
        <v>59</v>
      </c>
      <c r="AX98" t="s">
        <v>59</v>
      </c>
      <c r="AY98" t="s">
        <v>191</v>
      </c>
      <c r="AZ98" t="s">
        <v>59</v>
      </c>
      <c r="BA98" t="s">
        <v>59</v>
      </c>
      <c r="BB98" t="s">
        <v>59</v>
      </c>
      <c r="BC98" t="s">
        <v>59</v>
      </c>
      <c r="BD98" t="s">
        <v>59</v>
      </c>
      <c r="BE98" t="s">
        <v>59</v>
      </c>
      <c r="BF98" t="s">
        <v>59</v>
      </c>
      <c r="BG98" t="s">
        <v>191</v>
      </c>
      <c r="BH98" t="s">
        <v>59</v>
      </c>
      <c r="BI98" t="s">
        <v>59</v>
      </c>
      <c r="BJ98" t="s">
        <v>59</v>
      </c>
      <c r="BK98" t="s">
        <v>60</v>
      </c>
      <c r="BL98" t="s">
        <v>60</v>
      </c>
      <c r="BM98" t="s">
        <v>59</v>
      </c>
      <c r="BN98" t="s">
        <v>60</v>
      </c>
      <c r="BO98" t="s">
        <v>60</v>
      </c>
      <c r="BP98" t="s">
        <v>59</v>
      </c>
      <c r="BQ98" t="s">
        <v>59</v>
      </c>
      <c r="BR98" t="s">
        <v>60</v>
      </c>
      <c r="BS98" t="s">
        <v>59</v>
      </c>
      <c r="BT98" t="s">
        <v>59</v>
      </c>
      <c r="BU98" t="s">
        <v>59</v>
      </c>
      <c r="BV98" t="s">
        <v>59</v>
      </c>
      <c r="BW98" t="s">
        <v>60</v>
      </c>
      <c r="BX98" t="s">
        <v>59</v>
      </c>
      <c r="BY98" t="s">
        <v>60</v>
      </c>
      <c r="BZ98" t="s">
        <v>59</v>
      </c>
      <c r="CA98" t="s">
        <v>59</v>
      </c>
      <c r="CB98" t="s">
        <v>59</v>
      </c>
      <c r="CC98" t="s">
        <v>59</v>
      </c>
      <c r="CD98" t="s">
        <v>60</v>
      </c>
      <c r="CE98" t="s">
        <v>59</v>
      </c>
      <c r="CF98" t="s">
        <v>59</v>
      </c>
      <c r="CG98" t="s">
        <v>59</v>
      </c>
      <c r="CH98" t="s">
        <v>59</v>
      </c>
      <c r="CI98" t="s">
        <v>59</v>
      </c>
      <c r="CJ98" t="s">
        <v>59</v>
      </c>
      <c r="CK98" t="s">
        <v>59</v>
      </c>
      <c r="CL98" t="s">
        <v>59</v>
      </c>
      <c r="CM98" t="s">
        <v>59</v>
      </c>
      <c r="CN98" t="s">
        <v>59</v>
      </c>
      <c r="CO98" t="s">
        <v>191</v>
      </c>
      <c r="CP98" t="s">
        <v>191</v>
      </c>
      <c r="CQ98" t="s">
        <v>191</v>
      </c>
      <c r="CR98" t="s">
        <v>59</v>
      </c>
      <c r="CS98" t="s">
        <v>59</v>
      </c>
      <c r="CT98" t="s">
        <v>59</v>
      </c>
      <c r="CU98" t="s">
        <v>59</v>
      </c>
      <c r="CV98" t="s">
        <v>59</v>
      </c>
      <c r="CW98" t="s">
        <v>59</v>
      </c>
      <c r="CX98" t="s">
        <v>59</v>
      </c>
      <c r="CY98" t="s">
        <v>59</v>
      </c>
      <c r="CZ98" t="s">
        <v>59</v>
      </c>
      <c r="DA98" t="s">
        <v>60</v>
      </c>
      <c r="DB98" t="s">
        <v>59</v>
      </c>
      <c r="DC98" t="s">
        <v>59</v>
      </c>
      <c r="DD98" t="s">
        <v>59</v>
      </c>
      <c r="DE98" t="s">
        <v>59</v>
      </c>
      <c r="DF98" t="s">
        <v>59</v>
      </c>
      <c r="DG98" t="s">
        <v>59</v>
      </c>
      <c r="DH98" t="s">
        <v>59</v>
      </c>
      <c r="DI98" t="s">
        <v>59</v>
      </c>
      <c r="DJ98" t="s">
        <v>59</v>
      </c>
      <c r="DK98" t="s">
        <v>59</v>
      </c>
      <c r="DL98" t="s">
        <v>59</v>
      </c>
      <c r="DM98" t="s">
        <v>59</v>
      </c>
      <c r="DN98" t="s">
        <v>191</v>
      </c>
      <c r="DO98" t="s">
        <v>191</v>
      </c>
      <c r="DP98" t="s">
        <v>59</v>
      </c>
      <c r="DQ98" t="s">
        <v>191</v>
      </c>
      <c r="DR98" t="s">
        <v>191</v>
      </c>
      <c r="DS98" t="s">
        <v>191</v>
      </c>
      <c r="DT98" t="s">
        <v>191</v>
      </c>
      <c r="DU98" t="s">
        <v>191</v>
      </c>
      <c r="DV98" t="s">
        <v>191</v>
      </c>
      <c r="DW98" t="s">
        <v>191</v>
      </c>
      <c r="DX98" t="s">
        <v>191</v>
      </c>
      <c r="DY98" t="s">
        <v>191</v>
      </c>
      <c r="DZ98" t="s">
        <v>191</v>
      </c>
      <c r="EA98" t="s">
        <v>191</v>
      </c>
      <c r="EB98" t="s">
        <v>191</v>
      </c>
      <c r="EC98" t="s">
        <v>191</v>
      </c>
      <c r="ED98" t="s">
        <v>59</v>
      </c>
      <c r="EE98" t="s">
        <v>191</v>
      </c>
      <c r="EF98" t="s">
        <v>191</v>
      </c>
      <c r="EG98" t="s">
        <v>191</v>
      </c>
      <c r="EH98" t="s">
        <v>191</v>
      </c>
      <c r="EI98" t="s">
        <v>191</v>
      </c>
      <c r="EJ98" t="s">
        <v>191</v>
      </c>
      <c r="EK98" t="s">
        <v>191</v>
      </c>
      <c r="EL98" t="s">
        <v>191</v>
      </c>
      <c r="EM98" t="s">
        <v>59</v>
      </c>
      <c r="EN98" t="s">
        <v>59</v>
      </c>
      <c r="EO98" t="s">
        <v>59</v>
      </c>
      <c r="EP98" t="s">
        <v>59</v>
      </c>
      <c r="EQ98" t="s">
        <v>59</v>
      </c>
      <c r="ER98" t="s">
        <v>59</v>
      </c>
      <c r="ES98" t="s">
        <v>59</v>
      </c>
      <c r="ET98" t="s">
        <v>59</v>
      </c>
      <c r="EU98" t="s">
        <v>59</v>
      </c>
      <c r="EV98" t="s">
        <v>59</v>
      </c>
      <c r="EW98" t="s">
        <v>59</v>
      </c>
      <c r="EX98" t="s">
        <v>59</v>
      </c>
      <c r="EY98" t="s">
        <v>59</v>
      </c>
      <c r="EZ98" t="s">
        <v>59</v>
      </c>
      <c r="FA98" t="s">
        <v>191</v>
      </c>
      <c r="FB98" t="s">
        <v>191</v>
      </c>
      <c r="FC98" t="s">
        <v>191</v>
      </c>
      <c r="FD98" t="s">
        <v>191</v>
      </c>
      <c r="FE98" t="s">
        <v>191</v>
      </c>
      <c r="FF98" t="s">
        <v>191</v>
      </c>
      <c r="FG98" t="s">
        <v>191</v>
      </c>
      <c r="FH98" t="s">
        <v>191</v>
      </c>
      <c r="FI98" t="s">
        <v>191</v>
      </c>
      <c r="FJ98" t="s">
        <v>191</v>
      </c>
      <c r="FK98" t="s">
        <v>191</v>
      </c>
      <c r="FL98" t="s">
        <v>59</v>
      </c>
      <c r="FM98" t="s">
        <v>59</v>
      </c>
      <c r="FN98" t="s">
        <v>59</v>
      </c>
      <c r="FO98" t="s">
        <v>59</v>
      </c>
      <c r="FP98" t="s">
        <v>59</v>
      </c>
      <c r="FQ98" t="s">
        <v>59</v>
      </c>
      <c r="FR98" t="s">
        <v>59</v>
      </c>
      <c r="FS98" t="s">
        <v>191</v>
      </c>
      <c r="FT98" t="s">
        <v>59</v>
      </c>
      <c r="FU98" t="s">
        <v>59</v>
      </c>
      <c r="FV98" t="s">
        <v>59</v>
      </c>
      <c r="FW98" t="s">
        <v>59</v>
      </c>
      <c r="FX98" t="s">
        <v>59</v>
      </c>
      <c r="FY98" t="s">
        <v>59</v>
      </c>
      <c r="FZ98" t="s">
        <v>59</v>
      </c>
      <c r="GA98" t="s">
        <v>59</v>
      </c>
      <c r="GB98" t="s">
        <v>59</v>
      </c>
      <c r="GC98" t="s">
        <v>59</v>
      </c>
      <c r="GD98" t="s">
        <v>59</v>
      </c>
      <c r="GE98" t="s">
        <v>59</v>
      </c>
      <c r="GF98" t="s">
        <v>59</v>
      </c>
      <c r="GG98" t="s">
        <v>59</v>
      </c>
      <c r="GH98" t="s">
        <v>59</v>
      </c>
      <c r="GI98" t="s">
        <v>59</v>
      </c>
      <c r="GJ98" t="s">
        <v>59</v>
      </c>
      <c r="GK98" t="s">
        <v>191</v>
      </c>
      <c r="GL98" t="s">
        <v>60</v>
      </c>
      <c r="GM98" t="s">
        <v>59</v>
      </c>
      <c r="GN98" t="s">
        <v>60</v>
      </c>
      <c r="GO98" t="s">
        <v>59</v>
      </c>
      <c r="GP98" t="s">
        <v>60</v>
      </c>
      <c r="GQ98" t="s">
        <v>191</v>
      </c>
      <c r="GR98" t="s">
        <v>59</v>
      </c>
      <c r="GS98" t="s">
        <v>59</v>
      </c>
      <c r="GT98" t="s">
        <v>191</v>
      </c>
      <c r="GU98" t="s">
        <v>59</v>
      </c>
      <c r="GV98" t="s">
        <v>59</v>
      </c>
      <c r="GW98" t="s">
        <v>59</v>
      </c>
      <c r="GX98" t="s">
        <v>59</v>
      </c>
      <c r="GY98" t="s">
        <v>59</v>
      </c>
      <c r="GZ98" t="s">
        <v>59</v>
      </c>
      <c r="HA98" t="s">
        <v>191</v>
      </c>
      <c r="HB98" t="s">
        <v>59</v>
      </c>
      <c r="HC98" t="s">
        <v>59</v>
      </c>
      <c r="HD98" t="s">
        <v>60</v>
      </c>
      <c r="HE98" t="s">
        <v>59</v>
      </c>
      <c r="HF98" t="s">
        <v>60</v>
      </c>
      <c r="HG98" t="s">
        <v>59</v>
      </c>
      <c r="HH98" t="s">
        <v>59</v>
      </c>
      <c r="HI98" t="s">
        <v>59</v>
      </c>
      <c r="HJ98" t="s">
        <v>59</v>
      </c>
      <c r="HK98" t="s">
        <v>59</v>
      </c>
      <c r="HL98" t="s">
        <v>191</v>
      </c>
      <c r="HM98" t="s">
        <v>191</v>
      </c>
      <c r="HN98" t="s">
        <v>191</v>
      </c>
      <c r="HO98" t="s">
        <v>191</v>
      </c>
      <c r="HP98" t="s">
        <v>59</v>
      </c>
      <c r="HQ98" t="s">
        <v>59</v>
      </c>
      <c r="HR98" t="s">
        <v>59</v>
      </c>
      <c r="HS98" t="s">
        <v>59</v>
      </c>
      <c r="HT98" t="s">
        <v>59</v>
      </c>
      <c r="HU98" t="s">
        <v>59</v>
      </c>
      <c r="HV98" t="s">
        <v>59</v>
      </c>
      <c r="HW98" t="s">
        <v>59</v>
      </c>
      <c r="HX98" t="s">
        <v>59</v>
      </c>
      <c r="HY98" t="s">
        <v>59</v>
      </c>
      <c r="HZ98" t="s">
        <v>59</v>
      </c>
      <c r="IA98" t="s">
        <v>59</v>
      </c>
      <c r="IB98" t="s">
        <v>59</v>
      </c>
      <c r="IC98" t="s">
        <v>59</v>
      </c>
      <c r="ID98" t="s">
        <v>59</v>
      </c>
      <c r="IE98" t="s">
        <v>59</v>
      </c>
      <c r="IF98" t="s">
        <v>60</v>
      </c>
      <c r="IG98" t="s">
        <v>60</v>
      </c>
      <c r="IH98" t="s">
        <v>60</v>
      </c>
      <c r="II98" t="s">
        <v>60</v>
      </c>
      <c r="IJ98" t="s">
        <v>129</v>
      </c>
      <c r="IK98" t="s">
        <v>198</v>
      </c>
      <c r="IL98" t="s">
        <v>128</v>
      </c>
      <c r="IM98" t="s">
        <v>199</v>
      </c>
      <c r="IN98">
        <v>25</v>
      </c>
      <c r="IO98" t="s">
        <v>2730</v>
      </c>
      <c r="IP98">
        <v>2</v>
      </c>
      <c r="IQ98">
        <v>5</v>
      </c>
      <c r="IR98">
        <v>12</v>
      </c>
      <c r="IS98" t="s">
        <v>2730</v>
      </c>
      <c r="IT98" t="s">
        <v>2730</v>
      </c>
      <c r="IU98">
        <v>3</v>
      </c>
      <c r="IV98">
        <v>15</v>
      </c>
      <c r="IW98" t="s">
        <v>2730</v>
      </c>
      <c r="IX98">
        <v>3</v>
      </c>
      <c r="IY98">
        <v>1</v>
      </c>
      <c r="IZ98">
        <v>25</v>
      </c>
      <c r="JA98" t="s">
        <v>2730</v>
      </c>
      <c r="JB98">
        <v>34</v>
      </c>
      <c r="JC98" t="s">
        <v>2730</v>
      </c>
      <c r="JD98">
        <v>24</v>
      </c>
      <c r="JE98" t="s">
        <v>2730</v>
      </c>
      <c r="JF98">
        <v>2</v>
      </c>
      <c r="JG98" t="s">
        <v>2730</v>
      </c>
      <c r="JH98">
        <v>18</v>
      </c>
      <c r="JI98" t="s">
        <v>2730</v>
      </c>
      <c r="JJ98">
        <v>7</v>
      </c>
      <c r="JK98">
        <v>5</v>
      </c>
      <c r="JL98">
        <v>16</v>
      </c>
      <c r="JM98" t="s">
        <v>2730</v>
      </c>
      <c r="JN98" t="s">
        <v>2730</v>
      </c>
      <c r="JO98" t="s">
        <v>2730</v>
      </c>
      <c r="JP98" t="s">
        <v>2730</v>
      </c>
      <c r="JQ98">
        <v>4</v>
      </c>
    </row>
    <row r="99" spans="1:277">
      <c r="A99" s="149" t="str">
        <f>HYPERLINK("http://www.ofsted.gov.uk/inspection-reports/find-inspection-report/provider/ELS/138884 ","Ofsted School Webpage")</f>
        <v>Ofsted School Webpage</v>
      </c>
      <c r="B99">
        <v>1131989</v>
      </c>
      <c r="C99">
        <v>138884</v>
      </c>
      <c r="D99">
        <v>8896013</v>
      </c>
      <c r="E99" t="s">
        <v>484</v>
      </c>
      <c r="F99" t="s">
        <v>38</v>
      </c>
      <c r="G99" t="s">
        <v>180</v>
      </c>
      <c r="H99" t="s">
        <v>205</v>
      </c>
      <c r="I99" t="s">
        <v>205</v>
      </c>
      <c r="J99" t="s">
        <v>485</v>
      </c>
      <c r="K99" t="s">
        <v>486</v>
      </c>
      <c r="L99" t="s">
        <v>184</v>
      </c>
      <c r="M99" t="s">
        <v>185</v>
      </c>
      <c r="N99" t="s">
        <v>184</v>
      </c>
      <c r="O99" t="s">
        <v>2730</v>
      </c>
      <c r="P99" t="s">
        <v>186</v>
      </c>
      <c r="Q99">
        <v>10020807</v>
      </c>
      <c r="R99" s="120">
        <v>43011</v>
      </c>
      <c r="S99" s="120">
        <v>43013</v>
      </c>
      <c r="T99" s="120">
        <v>43033</v>
      </c>
      <c r="U99" t="s">
        <v>2730</v>
      </c>
      <c r="V99" t="s">
        <v>196</v>
      </c>
      <c r="W99" t="s">
        <v>2730</v>
      </c>
      <c r="X99" t="s">
        <v>197</v>
      </c>
      <c r="Y99">
        <v>2</v>
      </c>
      <c r="Z99">
        <v>2</v>
      </c>
      <c r="AA99">
        <v>2</v>
      </c>
      <c r="AB99">
        <v>2</v>
      </c>
      <c r="AC99">
        <v>2</v>
      </c>
      <c r="AD99" t="s">
        <v>2730</v>
      </c>
      <c r="AE99" t="s">
        <v>2730</v>
      </c>
      <c r="AF99" t="s">
        <v>128</v>
      </c>
      <c r="AG99" t="s">
        <v>2730</v>
      </c>
      <c r="AH99" t="s">
        <v>2732</v>
      </c>
      <c r="AI99" t="s">
        <v>59</v>
      </c>
      <c r="AJ99" t="s">
        <v>59</v>
      </c>
      <c r="AK99" t="s">
        <v>59</v>
      </c>
      <c r="AL99" t="s">
        <v>59</v>
      </c>
      <c r="AM99" t="s">
        <v>59</v>
      </c>
      <c r="AN99" t="s">
        <v>59</v>
      </c>
      <c r="AO99" t="s">
        <v>59</v>
      </c>
      <c r="AP99" t="s">
        <v>59</v>
      </c>
      <c r="AQ99" t="s">
        <v>59</v>
      </c>
      <c r="AR99" t="s">
        <v>59</v>
      </c>
      <c r="AS99" t="s">
        <v>59</v>
      </c>
      <c r="AT99" t="s">
        <v>59</v>
      </c>
      <c r="AU99" t="s">
        <v>59</v>
      </c>
      <c r="AV99" t="s">
        <v>59</v>
      </c>
      <c r="AW99" t="s">
        <v>59</v>
      </c>
      <c r="AX99" t="s">
        <v>59</v>
      </c>
      <c r="AY99" t="s">
        <v>191</v>
      </c>
      <c r="AZ99" t="s">
        <v>59</v>
      </c>
      <c r="BA99" t="s">
        <v>59</v>
      </c>
      <c r="BB99" t="s">
        <v>59</v>
      </c>
      <c r="BC99" t="s">
        <v>59</v>
      </c>
      <c r="BD99" t="s">
        <v>59</v>
      </c>
      <c r="BE99" t="s">
        <v>59</v>
      </c>
      <c r="BF99" t="s">
        <v>59</v>
      </c>
      <c r="BG99" t="s">
        <v>191</v>
      </c>
      <c r="BH99" t="s">
        <v>191</v>
      </c>
      <c r="BI99" t="s">
        <v>59</v>
      </c>
      <c r="BJ99" t="s">
        <v>59</v>
      </c>
      <c r="BK99" t="s">
        <v>59</v>
      </c>
      <c r="BL99" t="s">
        <v>59</v>
      </c>
      <c r="BM99" t="s">
        <v>59</v>
      </c>
      <c r="BN99" t="s">
        <v>59</v>
      </c>
      <c r="BO99" t="s">
        <v>59</v>
      </c>
      <c r="BP99" t="s">
        <v>59</v>
      </c>
      <c r="BQ99" t="s">
        <v>59</v>
      </c>
      <c r="BR99" t="s">
        <v>59</v>
      </c>
      <c r="BS99" t="s">
        <v>59</v>
      </c>
      <c r="BT99" t="s">
        <v>59</v>
      </c>
      <c r="BU99" t="s">
        <v>59</v>
      </c>
      <c r="BV99" t="s">
        <v>59</v>
      </c>
      <c r="BW99" t="s">
        <v>59</v>
      </c>
      <c r="BX99" t="s">
        <v>59</v>
      </c>
      <c r="BY99" t="s">
        <v>59</v>
      </c>
      <c r="BZ99" t="s">
        <v>59</v>
      </c>
      <c r="CA99" t="s">
        <v>59</v>
      </c>
      <c r="CB99" t="s">
        <v>59</v>
      </c>
      <c r="CC99" t="s">
        <v>59</v>
      </c>
      <c r="CD99" t="s">
        <v>59</v>
      </c>
      <c r="CE99" t="s">
        <v>59</v>
      </c>
      <c r="CF99" t="s">
        <v>59</v>
      </c>
      <c r="CG99" t="s">
        <v>59</v>
      </c>
      <c r="CH99" t="s">
        <v>59</v>
      </c>
      <c r="CI99" t="s">
        <v>59</v>
      </c>
      <c r="CJ99" t="s">
        <v>59</v>
      </c>
      <c r="CK99" t="s">
        <v>59</v>
      </c>
      <c r="CL99" t="s">
        <v>59</v>
      </c>
      <c r="CM99" t="s">
        <v>59</v>
      </c>
      <c r="CN99" t="s">
        <v>59</v>
      </c>
      <c r="CO99" t="s">
        <v>191</v>
      </c>
      <c r="CP99" t="s">
        <v>191</v>
      </c>
      <c r="CQ99" t="s">
        <v>191</v>
      </c>
      <c r="CR99" t="s">
        <v>59</v>
      </c>
      <c r="CS99" t="s">
        <v>59</v>
      </c>
      <c r="CT99" t="s">
        <v>59</v>
      </c>
      <c r="CU99" t="s">
        <v>59</v>
      </c>
      <c r="CV99" t="s">
        <v>59</v>
      </c>
      <c r="CW99" t="s">
        <v>59</v>
      </c>
      <c r="CX99" t="s">
        <v>59</v>
      </c>
      <c r="CY99" t="s">
        <v>59</v>
      </c>
      <c r="CZ99" t="s">
        <v>59</v>
      </c>
      <c r="DA99" t="s">
        <v>59</v>
      </c>
      <c r="DB99" t="s">
        <v>59</v>
      </c>
      <c r="DC99" t="s">
        <v>59</v>
      </c>
      <c r="DD99" t="s">
        <v>59</v>
      </c>
      <c r="DE99" t="s">
        <v>59</v>
      </c>
      <c r="DF99" t="s">
        <v>59</v>
      </c>
      <c r="DG99" t="s">
        <v>59</v>
      </c>
      <c r="DH99" t="s">
        <v>59</v>
      </c>
      <c r="DI99" t="s">
        <v>59</v>
      </c>
      <c r="DJ99" t="s">
        <v>59</v>
      </c>
      <c r="DK99" t="s">
        <v>59</v>
      </c>
      <c r="DL99" t="s">
        <v>59</v>
      </c>
      <c r="DM99" t="s">
        <v>59</v>
      </c>
      <c r="DN99" t="s">
        <v>59</v>
      </c>
      <c r="DO99" t="s">
        <v>191</v>
      </c>
      <c r="DP99" t="s">
        <v>59</v>
      </c>
      <c r="DQ99" t="s">
        <v>59</v>
      </c>
      <c r="DR99" t="s">
        <v>59</v>
      </c>
      <c r="DS99" t="s">
        <v>59</v>
      </c>
      <c r="DT99" t="s">
        <v>59</v>
      </c>
      <c r="DU99" t="s">
        <v>59</v>
      </c>
      <c r="DV99" t="s">
        <v>59</v>
      </c>
      <c r="DW99" t="s">
        <v>59</v>
      </c>
      <c r="DX99" t="s">
        <v>59</v>
      </c>
      <c r="DY99" t="s">
        <v>59</v>
      </c>
      <c r="DZ99" t="s">
        <v>59</v>
      </c>
      <c r="EA99" t="s">
        <v>59</v>
      </c>
      <c r="EB99" t="s">
        <v>59</v>
      </c>
      <c r="EC99" t="s">
        <v>191</v>
      </c>
      <c r="ED99" t="s">
        <v>59</v>
      </c>
      <c r="EE99" t="s">
        <v>59</v>
      </c>
      <c r="EF99" t="s">
        <v>59</v>
      </c>
      <c r="EG99" t="s">
        <v>59</v>
      </c>
      <c r="EH99" t="s">
        <v>59</v>
      </c>
      <c r="EI99" t="s">
        <v>59</v>
      </c>
      <c r="EJ99" t="s">
        <v>59</v>
      </c>
      <c r="EK99" t="s">
        <v>59</v>
      </c>
      <c r="EL99" t="s">
        <v>59</v>
      </c>
      <c r="EM99" t="s">
        <v>59</v>
      </c>
      <c r="EN99" t="s">
        <v>59</v>
      </c>
      <c r="EO99" t="s">
        <v>59</v>
      </c>
      <c r="EP99" t="s">
        <v>59</v>
      </c>
      <c r="EQ99" t="s">
        <v>59</v>
      </c>
      <c r="ER99" t="s">
        <v>59</v>
      </c>
      <c r="ES99" t="s">
        <v>59</v>
      </c>
      <c r="ET99" t="s">
        <v>59</v>
      </c>
      <c r="EU99" t="s">
        <v>59</v>
      </c>
      <c r="EV99" t="s">
        <v>59</v>
      </c>
      <c r="EW99" t="s">
        <v>59</v>
      </c>
      <c r="EX99" t="s">
        <v>59</v>
      </c>
      <c r="EY99" t="s">
        <v>59</v>
      </c>
      <c r="EZ99" t="s">
        <v>59</v>
      </c>
      <c r="FA99" t="s">
        <v>59</v>
      </c>
      <c r="FB99" t="s">
        <v>59</v>
      </c>
      <c r="FC99" t="s">
        <v>59</v>
      </c>
      <c r="FD99" t="s">
        <v>59</v>
      </c>
      <c r="FE99" t="s">
        <v>59</v>
      </c>
      <c r="FF99" t="s">
        <v>59</v>
      </c>
      <c r="FG99" t="s">
        <v>59</v>
      </c>
      <c r="FH99" t="s">
        <v>59</v>
      </c>
      <c r="FI99" t="s">
        <v>59</v>
      </c>
      <c r="FJ99" t="s">
        <v>59</v>
      </c>
      <c r="FK99" t="s">
        <v>59</v>
      </c>
      <c r="FL99" t="s">
        <v>59</v>
      </c>
      <c r="FM99" t="s">
        <v>59</v>
      </c>
      <c r="FN99" t="s">
        <v>59</v>
      </c>
      <c r="FO99" t="s">
        <v>59</v>
      </c>
      <c r="FP99" t="s">
        <v>59</v>
      </c>
      <c r="FQ99" t="s">
        <v>59</v>
      </c>
      <c r="FR99" t="s">
        <v>59</v>
      </c>
      <c r="FS99" t="s">
        <v>191</v>
      </c>
      <c r="FT99" t="s">
        <v>59</v>
      </c>
      <c r="FU99" t="s">
        <v>59</v>
      </c>
      <c r="FV99" t="s">
        <v>59</v>
      </c>
      <c r="FW99" t="s">
        <v>59</v>
      </c>
      <c r="FX99" t="s">
        <v>59</v>
      </c>
      <c r="FY99" t="s">
        <v>59</v>
      </c>
      <c r="FZ99" t="s">
        <v>59</v>
      </c>
      <c r="GA99" t="s">
        <v>59</v>
      </c>
      <c r="GB99" t="s">
        <v>59</v>
      </c>
      <c r="GC99" t="s">
        <v>59</v>
      </c>
      <c r="GD99" t="s">
        <v>59</v>
      </c>
      <c r="GE99" t="s">
        <v>59</v>
      </c>
      <c r="GF99" t="s">
        <v>59</v>
      </c>
      <c r="GG99" t="s">
        <v>59</v>
      </c>
      <c r="GH99" t="s">
        <v>59</v>
      </c>
      <c r="GI99" t="s">
        <v>59</v>
      </c>
      <c r="GJ99" t="s">
        <v>59</v>
      </c>
      <c r="GK99" t="s">
        <v>191</v>
      </c>
      <c r="GL99" t="s">
        <v>59</v>
      </c>
      <c r="GM99" t="s">
        <v>59</v>
      </c>
      <c r="GN99" t="s">
        <v>59</v>
      </c>
      <c r="GO99" t="s">
        <v>59</v>
      </c>
      <c r="GP99" t="s">
        <v>59</v>
      </c>
      <c r="GQ99" t="s">
        <v>191</v>
      </c>
      <c r="GR99" t="s">
        <v>59</v>
      </c>
      <c r="GS99" t="s">
        <v>59</v>
      </c>
      <c r="GT99" t="s">
        <v>59</v>
      </c>
      <c r="GU99" t="s">
        <v>59</v>
      </c>
      <c r="GV99" t="s">
        <v>59</v>
      </c>
      <c r="GW99" t="s">
        <v>59</v>
      </c>
      <c r="GX99" t="s">
        <v>59</v>
      </c>
      <c r="GY99" t="s">
        <v>59</v>
      </c>
      <c r="GZ99" t="s">
        <v>59</v>
      </c>
      <c r="HA99" t="s">
        <v>191</v>
      </c>
      <c r="HB99" t="s">
        <v>59</v>
      </c>
      <c r="HC99" t="s">
        <v>59</v>
      </c>
      <c r="HD99" t="s">
        <v>59</v>
      </c>
      <c r="HE99" t="s">
        <v>59</v>
      </c>
      <c r="HF99" t="s">
        <v>59</v>
      </c>
      <c r="HG99" t="s">
        <v>59</v>
      </c>
      <c r="HH99" t="s">
        <v>59</v>
      </c>
      <c r="HI99" t="s">
        <v>59</v>
      </c>
      <c r="HJ99" t="s">
        <v>59</v>
      </c>
      <c r="HK99" t="s">
        <v>59</v>
      </c>
      <c r="HL99" t="s">
        <v>59</v>
      </c>
      <c r="HM99" t="s">
        <v>191</v>
      </c>
      <c r="HN99" t="s">
        <v>191</v>
      </c>
      <c r="HO99" t="s">
        <v>191</v>
      </c>
      <c r="HP99" t="s">
        <v>59</v>
      </c>
      <c r="HQ99" t="s">
        <v>59</v>
      </c>
      <c r="HR99" t="s">
        <v>59</v>
      </c>
      <c r="HS99" t="s">
        <v>59</v>
      </c>
      <c r="HT99" t="s">
        <v>59</v>
      </c>
      <c r="HU99" t="s">
        <v>59</v>
      </c>
      <c r="HV99" t="s">
        <v>59</v>
      </c>
      <c r="HW99" t="s">
        <v>59</v>
      </c>
      <c r="HX99" t="s">
        <v>59</v>
      </c>
      <c r="HY99" t="s">
        <v>59</v>
      </c>
      <c r="HZ99" t="s">
        <v>59</v>
      </c>
      <c r="IA99" t="s">
        <v>59</v>
      </c>
      <c r="IB99" t="s">
        <v>59</v>
      </c>
      <c r="IC99" t="s">
        <v>59</v>
      </c>
      <c r="ID99" t="s">
        <v>59</v>
      </c>
      <c r="IE99" t="s">
        <v>59</v>
      </c>
      <c r="IF99" t="s">
        <v>59</v>
      </c>
      <c r="IG99" t="s">
        <v>59</v>
      </c>
      <c r="IH99" t="s">
        <v>59</v>
      </c>
      <c r="II99" t="s">
        <v>59</v>
      </c>
      <c r="IJ99" t="s">
        <v>128</v>
      </c>
      <c r="IK99" t="s">
        <v>128</v>
      </c>
      <c r="IL99" t="s">
        <v>128</v>
      </c>
      <c r="IM99" t="s">
        <v>199</v>
      </c>
      <c r="IN99">
        <v>29</v>
      </c>
      <c r="IO99" t="s">
        <v>2730</v>
      </c>
      <c r="IP99">
        <v>3</v>
      </c>
      <c r="IQ99" t="s">
        <v>2730</v>
      </c>
      <c r="IR99">
        <v>15</v>
      </c>
      <c r="IS99" t="s">
        <v>2730</v>
      </c>
      <c r="IT99" t="s">
        <v>2730</v>
      </c>
      <c r="IU99" t="s">
        <v>2730</v>
      </c>
      <c r="IV99">
        <v>16</v>
      </c>
      <c r="IW99" t="s">
        <v>2730</v>
      </c>
      <c r="IX99">
        <v>3</v>
      </c>
      <c r="IY99" t="s">
        <v>2730</v>
      </c>
      <c r="IZ99">
        <v>57</v>
      </c>
      <c r="JA99" t="s">
        <v>2730</v>
      </c>
      <c r="JB99">
        <v>2</v>
      </c>
      <c r="JC99" t="s">
        <v>2730</v>
      </c>
      <c r="JD99">
        <v>24</v>
      </c>
      <c r="JE99" t="s">
        <v>2730</v>
      </c>
      <c r="JF99">
        <v>2</v>
      </c>
      <c r="JG99" t="s">
        <v>2730</v>
      </c>
      <c r="JH99">
        <v>25</v>
      </c>
      <c r="JI99" t="s">
        <v>2730</v>
      </c>
      <c r="JJ99">
        <v>5</v>
      </c>
      <c r="JK99" t="s">
        <v>2730</v>
      </c>
      <c r="JL99">
        <v>16</v>
      </c>
      <c r="JM99" t="s">
        <v>2730</v>
      </c>
      <c r="JN99" t="s">
        <v>2730</v>
      </c>
      <c r="JO99">
        <v>4</v>
      </c>
      <c r="JP99" t="s">
        <v>2730</v>
      </c>
      <c r="JQ99" t="s">
        <v>2730</v>
      </c>
    </row>
    <row r="100" spans="1:277">
      <c r="A100" s="149" t="str">
        <f>HYPERLINK("http://www.ofsted.gov.uk/inspection-reports/find-inspection-report/provider/ELS/136050 ","Ofsted School Webpage")</f>
        <v>Ofsted School Webpage</v>
      </c>
      <c r="B100">
        <v>1131987</v>
      </c>
      <c r="C100">
        <v>136050</v>
      </c>
      <c r="D100">
        <v>8886112</v>
      </c>
      <c r="E100" t="s">
        <v>341</v>
      </c>
      <c r="F100" t="s">
        <v>38</v>
      </c>
      <c r="G100" t="s">
        <v>180</v>
      </c>
      <c r="H100" t="s">
        <v>205</v>
      </c>
      <c r="I100" t="s">
        <v>205</v>
      </c>
      <c r="J100" t="s">
        <v>206</v>
      </c>
      <c r="K100" t="s">
        <v>342</v>
      </c>
      <c r="L100" t="s">
        <v>184</v>
      </c>
      <c r="M100" t="s">
        <v>185</v>
      </c>
      <c r="N100" t="s">
        <v>184</v>
      </c>
      <c r="O100" t="s">
        <v>2730</v>
      </c>
      <c r="P100" t="s">
        <v>186</v>
      </c>
      <c r="Q100">
        <v>10026015</v>
      </c>
      <c r="R100" s="120">
        <v>43011</v>
      </c>
      <c r="S100" s="120">
        <v>43012</v>
      </c>
      <c r="T100" s="120">
        <v>43031</v>
      </c>
      <c r="U100" t="s">
        <v>2730</v>
      </c>
      <c r="V100" t="s">
        <v>196</v>
      </c>
      <c r="W100" t="s">
        <v>2730</v>
      </c>
      <c r="X100" t="s">
        <v>197</v>
      </c>
      <c r="Y100">
        <v>2</v>
      </c>
      <c r="Z100">
        <v>2</v>
      </c>
      <c r="AA100">
        <v>1</v>
      </c>
      <c r="AB100">
        <v>2</v>
      </c>
      <c r="AC100">
        <v>2</v>
      </c>
      <c r="AD100" t="s">
        <v>2730</v>
      </c>
      <c r="AE100" t="s">
        <v>2730</v>
      </c>
      <c r="AF100" t="s">
        <v>128</v>
      </c>
      <c r="AG100" t="s">
        <v>2730</v>
      </c>
      <c r="AH100" t="s">
        <v>2732</v>
      </c>
      <c r="AI100" t="s">
        <v>59</v>
      </c>
      <c r="AJ100" t="s">
        <v>59</v>
      </c>
      <c r="AK100" t="s">
        <v>59</v>
      </c>
      <c r="AL100" t="s">
        <v>59</v>
      </c>
      <c r="AM100" t="s">
        <v>59</v>
      </c>
      <c r="AN100" t="s">
        <v>59</v>
      </c>
      <c r="AO100" t="s">
        <v>59</v>
      </c>
      <c r="AP100" t="s">
        <v>59</v>
      </c>
      <c r="AQ100" t="s">
        <v>59</v>
      </c>
      <c r="AR100" t="s">
        <v>59</v>
      </c>
      <c r="AS100" t="s">
        <v>59</v>
      </c>
      <c r="AT100" t="s">
        <v>59</v>
      </c>
      <c r="AU100" t="s">
        <v>59</v>
      </c>
      <c r="AV100" t="s">
        <v>59</v>
      </c>
      <c r="AW100" t="s">
        <v>59</v>
      </c>
      <c r="AX100" t="s">
        <v>59</v>
      </c>
      <c r="AY100" t="s">
        <v>191</v>
      </c>
      <c r="AZ100" t="s">
        <v>59</v>
      </c>
      <c r="BA100" t="s">
        <v>59</v>
      </c>
      <c r="BB100" t="s">
        <v>59</v>
      </c>
      <c r="BC100" t="s">
        <v>59</v>
      </c>
      <c r="BD100" t="s">
        <v>59</v>
      </c>
      <c r="BE100" t="s">
        <v>59</v>
      </c>
      <c r="BF100" t="s">
        <v>59</v>
      </c>
      <c r="BG100" t="s">
        <v>191</v>
      </c>
      <c r="BH100" t="s">
        <v>191</v>
      </c>
      <c r="BI100" t="s">
        <v>59</v>
      </c>
      <c r="BJ100" t="s">
        <v>59</v>
      </c>
      <c r="BK100" t="s">
        <v>59</v>
      </c>
      <c r="BL100" t="s">
        <v>59</v>
      </c>
      <c r="BM100" t="s">
        <v>59</v>
      </c>
      <c r="BN100" t="s">
        <v>59</v>
      </c>
      <c r="BO100" t="s">
        <v>59</v>
      </c>
      <c r="BP100" t="s">
        <v>59</v>
      </c>
      <c r="BQ100" t="s">
        <v>59</v>
      </c>
      <c r="BR100" t="s">
        <v>59</v>
      </c>
      <c r="BS100" t="s">
        <v>59</v>
      </c>
      <c r="BT100" t="s">
        <v>59</v>
      </c>
      <c r="BU100" t="s">
        <v>59</v>
      </c>
      <c r="BV100" t="s">
        <v>59</v>
      </c>
      <c r="BW100" t="s">
        <v>59</v>
      </c>
      <c r="BX100" t="s">
        <v>59</v>
      </c>
      <c r="BY100" t="s">
        <v>59</v>
      </c>
      <c r="BZ100" t="s">
        <v>59</v>
      </c>
      <c r="CA100" t="s">
        <v>59</v>
      </c>
      <c r="CB100" t="s">
        <v>59</v>
      </c>
      <c r="CC100" t="s">
        <v>59</v>
      </c>
      <c r="CD100" t="s">
        <v>59</v>
      </c>
      <c r="CE100" t="s">
        <v>59</v>
      </c>
      <c r="CF100" t="s">
        <v>59</v>
      </c>
      <c r="CG100" t="s">
        <v>59</v>
      </c>
      <c r="CH100" t="s">
        <v>59</v>
      </c>
      <c r="CI100" t="s">
        <v>59</v>
      </c>
      <c r="CJ100" t="s">
        <v>59</v>
      </c>
      <c r="CK100" t="s">
        <v>59</v>
      </c>
      <c r="CL100" t="s">
        <v>59</v>
      </c>
      <c r="CM100" t="s">
        <v>59</v>
      </c>
      <c r="CN100" t="s">
        <v>59</v>
      </c>
      <c r="CO100" t="s">
        <v>191</v>
      </c>
      <c r="CP100" t="s">
        <v>191</v>
      </c>
      <c r="CQ100" t="s">
        <v>191</v>
      </c>
      <c r="CR100" t="s">
        <v>59</v>
      </c>
      <c r="CS100" t="s">
        <v>59</v>
      </c>
      <c r="CT100" t="s">
        <v>59</v>
      </c>
      <c r="CU100" t="s">
        <v>59</v>
      </c>
      <c r="CV100" t="s">
        <v>59</v>
      </c>
      <c r="CW100" t="s">
        <v>59</v>
      </c>
      <c r="CX100" t="s">
        <v>59</v>
      </c>
      <c r="CY100" t="s">
        <v>59</v>
      </c>
      <c r="CZ100" t="s">
        <v>59</v>
      </c>
      <c r="DA100" t="s">
        <v>59</v>
      </c>
      <c r="DB100" t="s">
        <v>59</v>
      </c>
      <c r="DC100" t="s">
        <v>59</v>
      </c>
      <c r="DD100" t="s">
        <v>59</v>
      </c>
      <c r="DE100" t="s">
        <v>59</v>
      </c>
      <c r="DF100" t="s">
        <v>59</v>
      </c>
      <c r="DG100" t="s">
        <v>59</v>
      </c>
      <c r="DH100" t="s">
        <v>59</v>
      </c>
      <c r="DI100" t="s">
        <v>59</v>
      </c>
      <c r="DJ100" t="s">
        <v>59</v>
      </c>
      <c r="DK100" t="s">
        <v>59</v>
      </c>
      <c r="DL100" t="s">
        <v>59</v>
      </c>
      <c r="DM100" t="s">
        <v>59</v>
      </c>
      <c r="DN100" t="s">
        <v>59</v>
      </c>
      <c r="DO100" t="s">
        <v>59</v>
      </c>
      <c r="DP100" t="s">
        <v>59</v>
      </c>
      <c r="DQ100" t="s">
        <v>59</v>
      </c>
      <c r="DR100" t="s">
        <v>59</v>
      </c>
      <c r="DS100" t="s">
        <v>59</v>
      </c>
      <c r="DT100" t="s">
        <v>59</v>
      </c>
      <c r="DU100" t="s">
        <v>59</v>
      </c>
      <c r="DV100" t="s">
        <v>59</v>
      </c>
      <c r="DW100" t="s">
        <v>59</v>
      </c>
      <c r="DX100" t="s">
        <v>59</v>
      </c>
      <c r="DY100" t="s">
        <v>59</v>
      </c>
      <c r="DZ100" t="s">
        <v>59</v>
      </c>
      <c r="EA100" t="s">
        <v>59</v>
      </c>
      <c r="EB100" t="s">
        <v>59</v>
      </c>
      <c r="EC100" t="s">
        <v>59</v>
      </c>
      <c r="ED100" t="s">
        <v>59</v>
      </c>
      <c r="EE100" t="s">
        <v>59</v>
      </c>
      <c r="EF100" t="s">
        <v>59</v>
      </c>
      <c r="EG100" t="s">
        <v>59</v>
      </c>
      <c r="EH100" t="s">
        <v>59</v>
      </c>
      <c r="EI100" t="s">
        <v>59</v>
      </c>
      <c r="EJ100" t="s">
        <v>59</v>
      </c>
      <c r="EK100" t="s">
        <v>59</v>
      </c>
      <c r="EL100" t="s">
        <v>59</v>
      </c>
      <c r="EM100" t="s">
        <v>59</v>
      </c>
      <c r="EN100" t="s">
        <v>59</v>
      </c>
      <c r="EO100" t="s">
        <v>59</v>
      </c>
      <c r="EP100" t="s">
        <v>59</v>
      </c>
      <c r="EQ100" t="s">
        <v>59</v>
      </c>
      <c r="ER100" t="s">
        <v>59</v>
      </c>
      <c r="ES100" t="s">
        <v>59</v>
      </c>
      <c r="ET100" t="s">
        <v>59</v>
      </c>
      <c r="EU100" t="s">
        <v>59</v>
      </c>
      <c r="EV100" t="s">
        <v>59</v>
      </c>
      <c r="EW100" t="s">
        <v>59</v>
      </c>
      <c r="EX100" t="s">
        <v>59</v>
      </c>
      <c r="EY100" t="s">
        <v>59</v>
      </c>
      <c r="EZ100" t="s">
        <v>59</v>
      </c>
      <c r="FA100" t="s">
        <v>59</v>
      </c>
      <c r="FB100" t="s">
        <v>59</v>
      </c>
      <c r="FC100" t="s">
        <v>59</v>
      </c>
      <c r="FD100" t="s">
        <v>59</v>
      </c>
      <c r="FE100" t="s">
        <v>59</v>
      </c>
      <c r="FF100" t="s">
        <v>59</v>
      </c>
      <c r="FG100" t="s">
        <v>59</v>
      </c>
      <c r="FH100" t="s">
        <v>59</v>
      </c>
      <c r="FI100" t="s">
        <v>59</v>
      </c>
      <c r="FJ100" t="s">
        <v>59</v>
      </c>
      <c r="FK100" t="s">
        <v>59</v>
      </c>
      <c r="FL100" t="s">
        <v>59</v>
      </c>
      <c r="FM100" t="s">
        <v>59</v>
      </c>
      <c r="FN100" t="s">
        <v>59</v>
      </c>
      <c r="FO100" t="s">
        <v>59</v>
      </c>
      <c r="FP100" t="s">
        <v>59</v>
      </c>
      <c r="FQ100" t="s">
        <v>59</v>
      </c>
      <c r="FR100" t="s">
        <v>59</v>
      </c>
      <c r="FS100" t="s">
        <v>59</v>
      </c>
      <c r="FT100" t="s">
        <v>59</v>
      </c>
      <c r="FU100" t="s">
        <v>59</v>
      </c>
      <c r="FV100" t="s">
        <v>59</v>
      </c>
      <c r="FW100" t="s">
        <v>59</v>
      </c>
      <c r="FX100" t="s">
        <v>59</v>
      </c>
      <c r="FY100" t="s">
        <v>59</v>
      </c>
      <c r="FZ100" t="s">
        <v>59</v>
      </c>
      <c r="GA100" t="s">
        <v>59</v>
      </c>
      <c r="GB100" t="s">
        <v>59</v>
      </c>
      <c r="GC100" t="s">
        <v>59</v>
      </c>
      <c r="GD100" t="s">
        <v>59</v>
      </c>
      <c r="GE100" t="s">
        <v>59</v>
      </c>
      <c r="GF100" t="s">
        <v>59</v>
      </c>
      <c r="GG100" t="s">
        <v>59</v>
      </c>
      <c r="GH100" t="s">
        <v>59</v>
      </c>
      <c r="GI100" t="s">
        <v>59</v>
      </c>
      <c r="GJ100" t="s">
        <v>59</v>
      </c>
      <c r="GK100" t="s">
        <v>191</v>
      </c>
      <c r="GL100" t="s">
        <v>59</v>
      </c>
      <c r="GM100" t="s">
        <v>59</v>
      </c>
      <c r="GN100" t="s">
        <v>59</v>
      </c>
      <c r="GO100" t="s">
        <v>59</v>
      </c>
      <c r="GP100" t="s">
        <v>59</v>
      </c>
      <c r="GQ100" t="s">
        <v>59</v>
      </c>
      <c r="GR100" t="s">
        <v>59</v>
      </c>
      <c r="GS100" t="s">
        <v>59</v>
      </c>
      <c r="GT100" t="s">
        <v>59</v>
      </c>
      <c r="GU100" t="s">
        <v>59</v>
      </c>
      <c r="GV100" t="s">
        <v>59</v>
      </c>
      <c r="GW100" t="s">
        <v>59</v>
      </c>
      <c r="GX100" t="s">
        <v>59</v>
      </c>
      <c r="GY100" t="s">
        <v>59</v>
      </c>
      <c r="GZ100" t="s">
        <v>59</v>
      </c>
      <c r="HA100" t="s">
        <v>59</v>
      </c>
      <c r="HB100" t="s">
        <v>59</v>
      </c>
      <c r="HC100" t="s">
        <v>59</v>
      </c>
      <c r="HD100" t="s">
        <v>59</v>
      </c>
      <c r="HE100" t="s">
        <v>59</v>
      </c>
      <c r="HF100" t="s">
        <v>59</v>
      </c>
      <c r="HG100" t="s">
        <v>59</v>
      </c>
      <c r="HH100" t="s">
        <v>59</v>
      </c>
      <c r="HI100" t="s">
        <v>59</v>
      </c>
      <c r="HJ100" t="s">
        <v>59</v>
      </c>
      <c r="HK100" t="s">
        <v>59</v>
      </c>
      <c r="HL100" t="s">
        <v>59</v>
      </c>
      <c r="HM100" t="s">
        <v>59</v>
      </c>
      <c r="HN100" t="s">
        <v>59</v>
      </c>
      <c r="HO100" t="s">
        <v>59</v>
      </c>
      <c r="HP100" t="s">
        <v>59</v>
      </c>
      <c r="HQ100" t="s">
        <v>59</v>
      </c>
      <c r="HR100" t="s">
        <v>59</v>
      </c>
      <c r="HS100" t="s">
        <v>59</v>
      </c>
      <c r="HT100" t="s">
        <v>59</v>
      </c>
      <c r="HU100" t="s">
        <v>59</v>
      </c>
      <c r="HV100" t="s">
        <v>59</v>
      </c>
      <c r="HW100" t="s">
        <v>59</v>
      </c>
      <c r="HX100" t="s">
        <v>59</v>
      </c>
      <c r="HY100" t="s">
        <v>59</v>
      </c>
      <c r="HZ100" t="s">
        <v>59</v>
      </c>
      <c r="IA100" t="s">
        <v>59</v>
      </c>
      <c r="IB100" t="s">
        <v>59</v>
      </c>
      <c r="IC100" t="s">
        <v>59</v>
      </c>
      <c r="ID100" t="s">
        <v>59</v>
      </c>
      <c r="IE100" t="s">
        <v>59</v>
      </c>
      <c r="IF100" t="s">
        <v>59</v>
      </c>
      <c r="IG100" t="s">
        <v>59</v>
      </c>
      <c r="IH100" t="s">
        <v>59</v>
      </c>
      <c r="II100" t="s">
        <v>59</v>
      </c>
      <c r="IJ100" t="s">
        <v>129</v>
      </c>
      <c r="IK100" t="s">
        <v>198</v>
      </c>
      <c r="IL100" t="s">
        <v>128</v>
      </c>
      <c r="IM100" t="s">
        <v>199</v>
      </c>
      <c r="IN100">
        <v>29</v>
      </c>
      <c r="IO100" t="s">
        <v>2730</v>
      </c>
      <c r="IP100">
        <v>3</v>
      </c>
      <c r="IQ100" t="s">
        <v>2730</v>
      </c>
      <c r="IR100">
        <v>15</v>
      </c>
      <c r="IS100" t="s">
        <v>2730</v>
      </c>
      <c r="IT100" t="s">
        <v>2730</v>
      </c>
      <c r="IU100" t="s">
        <v>2730</v>
      </c>
      <c r="IV100">
        <v>16</v>
      </c>
      <c r="IW100" t="s">
        <v>2730</v>
      </c>
      <c r="IX100">
        <v>3</v>
      </c>
      <c r="IY100" t="s">
        <v>2730</v>
      </c>
      <c r="IZ100">
        <v>59</v>
      </c>
      <c r="JA100" t="s">
        <v>2730</v>
      </c>
      <c r="JB100" t="s">
        <v>2730</v>
      </c>
      <c r="JC100" t="s">
        <v>2730</v>
      </c>
      <c r="JD100">
        <v>25</v>
      </c>
      <c r="JE100" t="s">
        <v>2730</v>
      </c>
      <c r="JF100">
        <v>1</v>
      </c>
      <c r="JG100" t="s">
        <v>2730</v>
      </c>
      <c r="JH100">
        <v>30</v>
      </c>
      <c r="JI100" t="s">
        <v>2730</v>
      </c>
      <c r="JJ100" t="s">
        <v>2730</v>
      </c>
      <c r="JK100" t="s">
        <v>2730</v>
      </c>
      <c r="JL100">
        <v>16</v>
      </c>
      <c r="JM100" t="s">
        <v>2730</v>
      </c>
      <c r="JN100" t="s">
        <v>2730</v>
      </c>
      <c r="JO100">
        <v>4</v>
      </c>
      <c r="JP100" t="s">
        <v>2730</v>
      </c>
      <c r="JQ100" t="s">
        <v>2730</v>
      </c>
    </row>
    <row r="101" spans="1:277">
      <c r="A101" s="149" t="str">
        <f>HYPERLINK("http://www.ofsted.gov.uk/inspection-reports/find-inspection-report/provider/ELS/140619 ","Ofsted School Webpage")</f>
        <v>Ofsted School Webpage</v>
      </c>
      <c r="B101">
        <v>1132229</v>
      </c>
      <c r="C101">
        <v>140619</v>
      </c>
      <c r="D101">
        <v>8066003</v>
      </c>
      <c r="E101" t="s">
        <v>1089</v>
      </c>
      <c r="F101" t="s">
        <v>38</v>
      </c>
      <c r="G101" t="s">
        <v>180</v>
      </c>
      <c r="H101" t="s">
        <v>245</v>
      </c>
      <c r="I101" t="s">
        <v>277</v>
      </c>
      <c r="J101" t="s">
        <v>1090</v>
      </c>
      <c r="K101" t="s">
        <v>1091</v>
      </c>
      <c r="L101" t="s">
        <v>184</v>
      </c>
      <c r="M101" t="s">
        <v>185</v>
      </c>
      <c r="N101" t="s">
        <v>184</v>
      </c>
      <c r="O101" t="s">
        <v>2730</v>
      </c>
      <c r="P101" t="s">
        <v>186</v>
      </c>
      <c r="Q101">
        <v>10025963</v>
      </c>
      <c r="R101" s="120">
        <v>43046</v>
      </c>
      <c r="S101" s="120">
        <v>43047</v>
      </c>
      <c r="T101" s="120">
        <v>43076</v>
      </c>
      <c r="U101" t="s">
        <v>2730</v>
      </c>
      <c r="V101" t="s">
        <v>196</v>
      </c>
      <c r="W101" t="s">
        <v>2730</v>
      </c>
      <c r="X101" t="s">
        <v>197</v>
      </c>
      <c r="Y101">
        <v>0</v>
      </c>
      <c r="Z101">
        <v>0</v>
      </c>
      <c r="AA101">
        <v>0</v>
      </c>
      <c r="AB101">
        <v>0</v>
      </c>
      <c r="AC101">
        <v>0</v>
      </c>
      <c r="AD101" t="s">
        <v>2730</v>
      </c>
      <c r="AE101" t="s">
        <v>2730</v>
      </c>
      <c r="AF101" t="s">
        <v>128</v>
      </c>
      <c r="AG101" t="s">
        <v>2730</v>
      </c>
      <c r="AH101" t="s">
        <v>2733</v>
      </c>
      <c r="AI101" t="s">
        <v>203</v>
      </c>
      <c r="AJ101" t="s">
        <v>203</v>
      </c>
      <c r="AK101" t="s">
        <v>59</v>
      </c>
      <c r="AL101" t="s">
        <v>59</v>
      </c>
      <c r="AM101" t="s">
        <v>59</v>
      </c>
      <c r="AN101" t="s">
        <v>60</v>
      </c>
      <c r="AO101" t="s">
        <v>59</v>
      </c>
      <c r="AP101" t="s">
        <v>60</v>
      </c>
      <c r="AQ101" t="s">
        <v>203</v>
      </c>
      <c r="AR101" t="s">
        <v>203</v>
      </c>
      <c r="AS101" t="s">
        <v>59</v>
      </c>
      <c r="AT101" t="s">
        <v>59</v>
      </c>
      <c r="AU101" t="s">
        <v>59</v>
      </c>
      <c r="AV101" t="s">
        <v>203</v>
      </c>
      <c r="AW101" t="s">
        <v>203</v>
      </c>
      <c r="AX101" t="s">
        <v>203</v>
      </c>
      <c r="AY101" t="s">
        <v>191</v>
      </c>
      <c r="AZ101" t="s">
        <v>203</v>
      </c>
      <c r="BA101" t="s">
        <v>203</v>
      </c>
      <c r="BB101" t="s">
        <v>203</v>
      </c>
      <c r="BC101" t="s">
        <v>203</v>
      </c>
      <c r="BD101" t="s">
        <v>203</v>
      </c>
      <c r="BE101" t="s">
        <v>203</v>
      </c>
      <c r="BF101" t="s">
        <v>203</v>
      </c>
      <c r="BG101" t="s">
        <v>191</v>
      </c>
      <c r="BH101" t="s">
        <v>203</v>
      </c>
      <c r="BI101" t="s">
        <v>203</v>
      </c>
      <c r="BJ101" t="s">
        <v>203</v>
      </c>
      <c r="BK101" t="s">
        <v>203</v>
      </c>
      <c r="BL101" t="s">
        <v>203</v>
      </c>
      <c r="BM101" t="s">
        <v>203</v>
      </c>
      <c r="BN101" t="s">
        <v>203</v>
      </c>
      <c r="BO101" t="s">
        <v>203</v>
      </c>
      <c r="BP101" t="s">
        <v>203</v>
      </c>
      <c r="BQ101" t="s">
        <v>203</v>
      </c>
      <c r="BR101" t="s">
        <v>203</v>
      </c>
      <c r="BS101" t="s">
        <v>203</v>
      </c>
      <c r="BT101" t="s">
        <v>203</v>
      </c>
      <c r="BU101" t="s">
        <v>203</v>
      </c>
      <c r="BV101" t="s">
        <v>59</v>
      </c>
      <c r="BW101" t="s">
        <v>203</v>
      </c>
      <c r="BX101" t="s">
        <v>203</v>
      </c>
      <c r="BY101" t="s">
        <v>203</v>
      </c>
      <c r="BZ101" t="s">
        <v>203</v>
      </c>
      <c r="CA101" t="s">
        <v>203</v>
      </c>
      <c r="CB101" t="s">
        <v>203</v>
      </c>
      <c r="CC101" t="s">
        <v>203</v>
      </c>
      <c r="CD101" t="s">
        <v>203</v>
      </c>
      <c r="CE101" t="s">
        <v>203</v>
      </c>
      <c r="CF101" t="s">
        <v>203</v>
      </c>
      <c r="CG101" t="s">
        <v>203</v>
      </c>
      <c r="CH101" t="s">
        <v>203</v>
      </c>
      <c r="CI101" t="s">
        <v>203</v>
      </c>
      <c r="CJ101" t="s">
        <v>203</v>
      </c>
      <c r="CK101" t="s">
        <v>203</v>
      </c>
      <c r="CL101" t="s">
        <v>59</v>
      </c>
      <c r="CM101" t="s">
        <v>59</v>
      </c>
      <c r="CN101" t="s">
        <v>59</v>
      </c>
      <c r="CO101" t="s">
        <v>191</v>
      </c>
      <c r="CP101" t="s">
        <v>191</v>
      </c>
      <c r="CQ101" t="s">
        <v>191</v>
      </c>
      <c r="CR101" t="s">
        <v>203</v>
      </c>
      <c r="CS101" t="s">
        <v>59</v>
      </c>
      <c r="CT101" t="s">
        <v>203</v>
      </c>
      <c r="CU101" t="s">
        <v>59</v>
      </c>
      <c r="CV101" t="s">
        <v>203</v>
      </c>
      <c r="CW101" t="s">
        <v>203</v>
      </c>
      <c r="CX101" t="s">
        <v>59</v>
      </c>
      <c r="CY101" t="s">
        <v>203</v>
      </c>
      <c r="CZ101" t="s">
        <v>203</v>
      </c>
      <c r="DA101" t="s">
        <v>60</v>
      </c>
      <c r="DB101" t="s">
        <v>203</v>
      </c>
      <c r="DC101" t="s">
        <v>203</v>
      </c>
      <c r="DD101" t="s">
        <v>203</v>
      </c>
      <c r="DE101" t="s">
        <v>59</v>
      </c>
      <c r="DF101" t="s">
        <v>59</v>
      </c>
      <c r="DG101" t="s">
        <v>59</v>
      </c>
      <c r="DH101" t="s">
        <v>59</v>
      </c>
      <c r="DI101" t="s">
        <v>203</v>
      </c>
      <c r="DJ101" t="s">
        <v>59</v>
      </c>
      <c r="DK101" t="s">
        <v>59</v>
      </c>
      <c r="DL101" t="s">
        <v>59</v>
      </c>
      <c r="DM101" t="s">
        <v>59</v>
      </c>
      <c r="DN101" t="s">
        <v>59</v>
      </c>
      <c r="DO101" t="s">
        <v>191</v>
      </c>
      <c r="DP101" t="s">
        <v>59</v>
      </c>
      <c r="DQ101" t="s">
        <v>59</v>
      </c>
      <c r="DR101" t="s">
        <v>59</v>
      </c>
      <c r="DS101" t="s">
        <v>59</v>
      </c>
      <c r="DT101" t="s">
        <v>59</v>
      </c>
      <c r="DU101" t="s">
        <v>59</v>
      </c>
      <c r="DV101" t="s">
        <v>59</v>
      </c>
      <c r="DW101" t="s">
        <v>59</v>
      </c>
      <c r="DX101" t="s">
        <v>59</v>
      </c>
      <c r="DY101" t="s">
        <v>59</v>
      </c>
      <c r="DZ101" t="s">
        <v>59</v>
      </c>
      <c r="EA101" t="s">
        <v>59</v>
      </c>
      <c r="EB101" t="s">
        <v>59</v>
      </c>
      <c r="EC101" t="s">
        <v>191</v>
      </c>
      <c r="ED101" t="s">
        <v>59</v>
      </c>
      <c r="EE101" t="s">
        <v>59</v>
      </c>
      <c r="EF101" t="s">
        <v>59</v>
      </c>
      <c r="EG101" t="s">
        <v>59</v>
      </c>
      <c r="EH101" t="s">
        <v>59</v>
      </c>
      <c r="EI101" t="s">
        <v>59</v>
      </c>
      <c r="EJ101" t="s">
        <v>59</v>
      </c>
      <c r="EK101" t="s">
        <v>59</v>
      </c>
      <c r="EL101" t="s">
        <v>59</v>
      </c>
      <c r="EM101" t="s">
        <v>59</v>
      </c>
      <c r="EN101" t="s">
        <v>59</v>
      </c>
      <c r="EO101" t="s">
        <v>59</v>
      </c>
      <c r="EP101" t="s">
        <v>59</v>
      </c>
      <c r="EQ101" t="s">
        <v>59</v>
      </c>
      <c r="ER101" t="s">
        <v>59</v>
      </c>
      <c r="ES101" t="s">
        <v>59</v>
      </c>
      <c r="ET101" t="s">
        <v>59</v>
      </c>
      <c r="EU101" t="s">
        <v>59</v>
      </c>
      <c r="EV101" t="s">
        <v>59</v>
      </c>
      <c r="EW101" t="s">
        <v>59</v>
      </c>
      <c r="EX101" t="s">
        <v>59</v>
      </c>
      <c r="EY101" t="s">
        <v>59</v>
      </c>
      <c r="EZ101" t="s">
        <v>59</v>
      </c>
      <c r="FA101" t="s">
        <v>59</v>
      </c>
      <c r="FB101" t="s">
        <v>59</v>
      </c>
      <c r="FC101" t="s">
        <v>59</v>
      </c>
      <c r="FD101" t="s">
        <v>59</v>
      </c>
      <c r="FE101" t="s">
        <v>59</v>
      </c>
      <c r="FF101" t="s">
        <v>59</v>
      </c>
      <c r="FG101" t="s">
        <v>59</v>
      </c>
      <c r="FH101" t="s">
        <v>59</v>
      </c>
      <c r="FI101" t="s">
        <v>59</v>
      </c>
      <c r="FJ101" t="s">
        <v>59</v>
      </c>
      <c r="FK101" t="s">
        <v>59</v>
      </c>
      <c r="FL101" t="s">
        <v>59</v>
      </c>
      <c r="FM101" t="s">
        <v>59</v>
      </c>
      <c r="FN101" t="s">
        <v>59</v>
      </c>
      <c r="FO101" t="s">
        <v>59</v>
      </c>
      <c r="FP101" t="s">
        <v>59</v>
      </c>
      <c r="FQ101" t="s">
        <v>59</v>
      </c>
      <c r="FR101" t="s">
        <v>59</v>
      </c>
      <c r="FS101" t="s">
        <v>191</v>
      </c>
      <c r="FT101" t="s">
        <v>59</v>
      </c>
      <c r="FU101" t="s">
        <v>59</v>
      </c>
      <c r="FV101" t="s">
        <v>59</v>
      </c>
      <c r="FW101" t="s">
        <v>59</v>
      </c>
      <c r="FX101" t="s">
        <v>59</v>
      </c>
      <c r="FY101" t="s">
        <v>59</v>
      </c>
      <c r="FZ101" t="s">
        <v>59</v>
      </c>
      <c r="GA101" t="s">
        <v>59</v>
      </c>
      <c r="GB101" t="s">
        <v>59</v>
      </c>
      <c r="GC101" t="s">
        <v>59</v>
      </c>
      <c r="GD101" t="s">
        <v>59</v>
      </c>
      <c r="GE101" t="s">
        <v>59</v>
      </c>
      <c r="GF101" t="s">
        <v>59</v>
      </c>
      <c r="GG101" t="s">
        <v>59</v>
      </c>
      <c r="GH101" t="s">
        <v>59</v>
      </c>
      <c r="GI101" t="s">
        <v>59</v>
      </c>
      <c r="GJ101" t="s">
        <v>59</v>
      </c>
      <c r="GK101" t="s">
        <v>191</v>
      </c>
      <c r="GL101" t="s">
        <v>60</v>
      </c>
      <c r="GM101" t="s">
        <v>59</v>
      </c>
      <c r="GN101" t="s">
        <v>60</v>
      </c>
      <c r="GO101" t="s">
        <v>59</v>
      </c>
      <c r="GP101" t="s">
        <v>59</v>
      </c>
      <c r="GQ101" t="s">
        <v>191</v>
      </c>
      <c r="GR101" t="s">
        <v>59</v>
      </c>
      <c r="GS101" t="s">
        <v>59</v>
      </c>
      <c r="GT101" t="s">
        <v>60</v>
      </c>
      <c r="GU101" t="s">
        <v>59</v>
      </c>
      <c r="GV101" t="s">
        <v>191</v>
      </c>
      <c r="GW101" t="s">
        <v>59</v>
      </c>
      <c r="GX101" t="s">
        <v>59</v>
      </c>
      <c r="GY101" t="s">
        <v>59</v>
      </c>
      <c r="GZ101" t="s">
        <v>191</v>
      </c>
      <c r="HA101" t="s">
        <v>59</v>
      </c>
      <c r="HB101" t="s">
        <v>191</v>
      </c>
      <c r="HC101" t="s">
        <v>59</v>
      </c>
      <c r="HD101" t="s">
        <v>60</v>
      </c>
      <c r="HE101" t="s">
        <v>59</v>
      </c>
      <c r="HF101" t="s">
        <v>60</v>
      </c>
      <c r="HG101" t="s">
        <v>59</v>
      </c>
      <c r="HH101" t="s">
        <v>59</v>
      </c>
      <c r="HI101" t="s">
        <v>60</v>
      </c>
      <c r="HJ101" t="s">
        <v>60</v>
      </c>
      <c r="HK101" t="s">
        <v>59</v>
      </c>
      <c r="HL101" t="s">
        <v>191</v>
      </c>
      <c r="HM101" t="s">
        <v>191</v>
      </c>
      <c r="HN101" t="s">
        <v>191</v>
      </c>
      <c r="HO101" t="s">
        <v>191</v>
      </c>
      <c r="HP101" t="s">
        <v>59</v>
      </c>
      <c r="HQ101" t="s">
        <v>59</v>
      </c>
      <c r="HR101" t="s">
        <v>59</v>
      </c>
      <c r="HS101" t="s">
        <v>59</v>
      </c>
      <c r="HT101" t="s">
        <v>59</v>
      </c>
      <c r="HU101" t="s">
        <v>59</v>
      </c>
      <c r="HV101" t="s">
        <v>59</v>
      </c>
      <c r="HW101" t="s">
        <v>59</v>
      </c>
      <c r="HX101" t="s">
        <v>59</v>
      </c>
      <c r="HY101" t="s">
        <v>59</v>
      </c>
      <c r="HZ101" t="s">
        <v>59</v>
      </c>
      <c r="IA101" t="s">
        <v>59</v>
      </c>
      <c r="IB101" t="s">
        <v>59</v>
      </c>
      <c r="IC101" t="s">
        <v>59</v>
      </c>
      <c r="ID101" t="s">
        <v>59</v>
      </c>
      <c r="IE101" t="s">
        <v>59</v>
      </c>
      <c r="IF101" t="s">
        <v>60</v>
      </c>
      <c r="IG101" t="s">
        <v>60</v>
      </c>
      <c r="IH101" t="s">
        <v>60</v>
      </c>
      <c r="II101" t="s">
        <v>59</v>
      </c>
      <c r="IJ101" t="s">
        <v>129</v>
      </c>
      <c r="IK101" t="s">
        <v>198</v>
      </c>
      <c r="IL101" t="s">
        <v>128</v>
      </c>
      <c r="IM101" t="s">
        <v>407</v>
      </c>
      <c r="IN101">
        <v>4</v>
      </c>
      <c r="IO101">
        <v>26</v>
      </c>
      <c r="IP101">
        <v>2</v>
      </c>
      <c r="IQ101" t="s">
        <v>2730</v>
      </c>
      <c r="IR101" t="s">
        <v>2730</v>
      </c>
      <c r="IS101">
        <v>15</v>
      </c>
      <c r="IT101" t="s">
        <v>2730</v>
      </c>
      <c r="IU101" t="s">
        <v>2730</v>
      </c>
      <c r="IV101">
        <v>6</v>
      </c>
      <c r="IW101">
        <v>9</v>
      </c>
      <c r="IX101">
        <v>3</v>
      </c>
      <c r="IY101">
        <v>1</v>
      </c>
      <c r="IZ101">
        <v>56</v>
      </c>
      <c r="JA101">
        <v>1</v>
      </c>
      <c r="JB101">
        <v>2</v>
      </c>
      <c r="JC101" t="s">
        <v>2730</v>
      </c>
      <c r="JD101">
        <v>24</v>
      </c>
      <c r="JE101" t="s">
        <v>2730</v>
      </c>
      <c r="JF101">
        <v>2</v>
      </c>
      <c r="JG101" t="s">
        <v>2730</v>
      </c>
      <c r="JH101">
        <v>15</v>
      </c>
      <c r="JI101" t="s">
        <v>2730</v>
      </c>
      <c r="JJ101">
        <v>8</v>
      </c>
      <c r="JK101">
        <v>7</v>
      </c>
      <c r="JL101">
        <v>16</v>
      </c>
      <c r="JM101" t="s">
        <v>2730</v>
      </c>
      <c r="JN101" t="s">
        <v>2730</v>
      </c>
      <c r="JO101">
        <v>1</v>
      </c>
      <c r="JP101" t="s">
        <v>2730</v>
      </c>
      <c r="JQ101">
        <v>3</v>
      </c>
    </row>
    <row r="102" spans="1:277">
      <c r="A102" s="149" t="str">
        <f>HYPERLINK("http://www.ofsted.gov.uk/inspection-reports/find-inspection-report/provider/ELS/136122 ","Ofsted School Webpage")</f>
        <v>Ofsted School Webpage</v>
      </c>
      <c r="B102">
        <v>1134339</v>
      </c>
      <c r="C102">
        <v>136122</v>
      </c>
      <c r="D102">
        <v>8226015</v>
      </c>
      <c r="E102" t="s">
        <v>332</v>
      </c>
      <c r="F102" t="s">
        <v>37</v>
      </c>
      <c r="G102" t="s">
        <v>209</v>
      </c>
      <c r="H102" t="s">
        <v>220</v>
      </c>
      <c r="I102" t="s">
        <v>220</v>
      </c>
      <c r="J102" t="s">
        <v>333</v>
      </c>
      <c r="K102" t="s">
        <v>334</v>
      </c>
      <c r="L102" t="s">
        <v>184</v>
      </c>
      <c r="M102" t="s">
        <v>185</v>
      </c>
      <c r="N102" t="s">
        <v>184</v>
      </c>
      <c r="O102" t="s">
        <v>2730</v>
      </c>
      <c r="P102" t="s">
        <v>186</v>
      </c>
      <c r="Q102">
        <v>10038907</v>
      </c>
      <c r="R102" s="120">
        <v>43004</v>
      </c>
      <c r="S102" s="120">
        <v>43006</v>
      </c>
      <c r="T102" s="120">
        <v>43046</v>
      </c>
      <c r="U102" t="s">
        <v>2730</v>
      </c>
      <c r="V102" t="s">
        <v>196</v>
      </c>
      <c r="W102" t="s">
        <v>2730</v>
      </c>
      <c r="X102" t="s">
        <v>197</v>
      </c>
      <c r="Y102">
        <v>3</v>
      </c>
      <c r="Z102">
        <v>3</v>
      </c>
      <c r="AA102">
        <v>2</v>
      </c>
      <c r="AB102">
        <v>3</v>
      </c>
      <c r="AC102">
        <v>3</v>
      </c>
      <c r="AD102" t="s">
        <v>2730</v>
      </c>
      <c r="AE102" t="s">
        <v>2730</v>
      </c>
      <c r="AF102" t="s">
        <v>128</v>
      </c>
      <c r="AG102" t="s">
        <v>2730</v>
      </c>
      <c r="AH102" t="s">
        <v>2732</v>
      </c>
      <c r="AI102" t="s">
        <v>59</v>
      </c>
      <c r="AJ102" t="s">
        <v>59</v>
      </c>
      <c r="AK102" t="s">
        <v>59</v>
      </c>
      <c r="AL102" t="s">
        <v>59</v>
      </c>
      <c r="AM102" t="s">
        <v>59</v>
      </c>
      <c r="AN102" t="s">
        <v>59</v>
      </c>
      <c r="AO102" t="s">
        <v>59</v>
      </c>
      <c r="AP102" t="s">
        <v>59</v>
      </c>
      <c r="AQ102" t="s">
        <v>59</v>
      </c>
      <c r="AR102" t="s">
        <v>59</v>
      </c>
      <c r="AS102" t="s">
        <v>59</v>
      </c>
      <c r="AT102" t="s">
        <v>59</v>
      </c>
      <c r="AU102" t="s">
        <v>59</v>
      </c>
      <c r="AV102" t="s">
        <v>59</v>
      </c>
      <c r="AW102" t="s">
        <v>59</v>
      </c>
      <c r="AX102" t="s">
        <v>59</v>
      </c>
      <c r="AY102" t="s">
        <v>218</v>
      </c>
      <c r="AZ102" t="s">
        <v>59</v>
      </c>
      <c r="BA102" t="s">
        <v>59</v>
      </c>
      <c r="BB102" t="s">
        <v>59</v>
      </c>
      <c r="BC102" t="s">
        <v>59</v>
      </c>
      <c r="BD102" t="s">
        <v>59</v>
      </c>
      <c r="BE102" t="s">
        <v>59</v>
      </c>
      <c r="BF102" t="s">
        <v>59</v>
      </c>
      <c r="BG102" t="s">
        <v>218</v>
      </c>
      <c r="BH102" t="s">
        <v>59</v>
      </c>
      <c r="BI102" t="s">
        <v>59</v>
      </c>
      <c r="BJ102" t="s">
        <v>59</v>
      </c>
      <c r="BK102" t="s">
        <v>59</v>
      </c>
      <c r="BL102" t="s">
        <v>59</v>
      </c>
      <c r="BM102" t="s">
        <v>59</v>
      </c>
      <c r="BN102" t="s">
        <v>59</v>
      </c>
      <c r="BO102" t="s">
        <v>59</v>
      </c>
      <c r="BP102" t="s">
        <v>59</v>
      </c>
      <c r="BQ102" t="s">
        <v>59</v>
      </c>
      <c r="BR102" t="s">
        <v>59</v>
      </c>
      <c r="BS102" t="s">
        <v>59</v>
      </c>
      <c r="BT102" t="s">
        <v>59</v>
      </c>
      <c r="BU102" t="s">
        <v>59</v>
      </c>
      <c r="BV102" t="s">
        <v>59</v>
      </c>
      <c r="BW102" t="s">
        <v>59</v>
      </c>
      <c r="BX102" t="s">
        <v>59</v>
      </c>
      <c r="BY102" t="s">
        <v>59</v>
      </c>
      <c r="BZ102" t="s">
        <v>59</v>
      </c>
      <c r="CA102" t="s">
        <v>59</v>
      </c>
      <c r="CB102" t="s">
        <v>59</v>
      </c>
      <c r="CC102" t="s">
        <v>59</v>
      </c>
      <c r="CD102" t="s">
        <v>59</v>
      </c>
      <c r="CE102" t="s">
        <v>59</v>
      </c>
      <c r="CF102" t="s">
        <v>59</v>
      </c>
      <c r="CG102" t="s">
        <v>59</v>
      </c>
      <c r="CH102" t="s">
        <v>59</v>
      </c>
      <c r="CI102" t="s">
        <v>59</v>
      </c>
      <c r="CJ102" t="s">
        <v>59</v>
      </c>
      <c r="CK102" t="s">
        <v>59</v>
      </c>
      <c r="CL102" t="s">
        <v>59</v>
      </c>
      <c r="CM102" t="s">
        <v>59</v>
      </c>
      <c r="CN102" t="s">
        <v>59</v>
      </c>
      <c r="CO102" t="s">
        <v>218</v>
      </c>
      <c r="CP102" t="s">
        <v>218</v>
      </c>
      <c r="CQ102" t="s">
        <v>218</v>
      </c>
      <c r="CR102" t="s">
        <v>59</v>
      </c>
      <c r="CS102" t="s">
        <v>59</v>
      </c>
      <c r="CT102" t="s">
        <v>59</v>
      </c>
      <c r="CU102" t="s">
        <v>59</v>
      </c>
      <c r="CV102" t="s">
        <v>59</v>
      </c>
      <c r="CW102" t="s">
        <v>59</v>
      </c>
      <c r="CX102" t="s">
        <v>59</v>
      </c>
      <c r="CY102" t="s">
        <v>59</v>
      </c>
      <c r="CZ102" t="s">
        <v>59</v>
      </c>
      <c r="DA102" t="s">
        <v>59</v>
      </c>
      <c r="DB102" t="s">
        <v>59</v>
      </c>
      <c r="DC102" t="s">
        <v>59</v>
      </c>
      <c r="DD102" t="s">
        <v>59</v>
      </c>
      <c r="DE102" t="s">
        <v>59</v>
      </c>
      <c r="DF102" t="s">
        <v>59</v>
      </c>
      <c r="DG102" t="s">
        <v>59</v>
      </c>
      <c r="DH102" t="s">
        <v>59</v>
      </c>
      <c r="DI102" t="s">
        <v>59</v>
      </c>
      <c r="DJ102" t="s">
        <v>59</v>
      </c>
      <c r="DK102" t="s">
        <v>59</v>
      </c>
      <c r="DL102" t="s">
        <v>59</v>
      </c>
      <c r="DM102" t="s">
        <v>59</v>
      </c>
      <c r="DN102" t="s">
        <v>59</v>
      </c>
      <c r="DO102" t="s">
        <v>218</v>
      </c>
      <c r="DP102" t="s">
        <v>59</v>
      </c>
      <c r="DQ102" t="s">
        <v>218</v>
      </c>
      <c r="DR102" t="s">
        <v>218</v>
      </c>
      <c r="DS102" t="s">
        <v>218</v>
      </c>
      <c r="DT102" t="s">
        <v>218</v>
      </c>
      <c r="DU102" t="s">
        <v>218</v>
      </c>
      <c r="DV102" t="s">
        <v>218</v>
      </c>
      <c r="DW102" t="s">
        <v>218</v>
      </c>
      <c r="DX102" t="s">
        <v>218</v>
      </c>
      <c r="DY102" t="s">
        <v>218</v>
      </c>
      <c r="DZ102" t="s">
        <v>218</v>
      </c>
      <c r="EA102" t="s">
        <v>218</v>
      </c>
      <c r="EB102" t="s">
        <v>218</v>
      </c>
      <c r="EC102" t="s">
        <v>218</v>
      </c>
      <c r="ED102" t="s">
        <v>59</v>
      </c>
      <c r="EE102" t="s">
        <v>59</v>
      </c>
      <c r="EF102" t="s">
        <v>59</v>
      </c>
      <c r="EG102" t="s">
        <v>59</v>
      </c>
      <c r="EH102" t="s">
        <v>59</v>
      </c>
      <c r="EI102" t="s">
        <v>59</v>
      </c>
      <c r="EJ102" t="s">
        <v>59</v>
      </c>
      <c r="EK102" t="s">
        <v>59</v>
      </c>
      <c r="EL102" t="s">
        <v>59</v>
      </c>
      <c r="EM102" t="s">
        <v>59</v>
      </c>
      <c r="EN102" t="s">
        <v>59</v>
      </c>
      <c r="EO102" t="s">
        <v>59</v>
      </c>
      <c r="EP102" t="s">
        <v>59</v>
      </c>
      <c r="EQ102" t="s">
        <v>59</v>
      </c>
      <c r="ER102" t="s">
        <v>59</v>
      </c>
      <c r="ES102" t="s">
        <v>59</v>
      </c>
      <c r="ET102" t="s">
        <v>59</v>
      </c>
      <c r="EU102" t="s">
        <v>59</v>
      </c>
      <c r="EV102" t="s">
        <v>59</v>
      </c>
      <c r="EW102" t="s">
        <v>59</v>
      </c>
      <c r="EX102" t="s">
        <v>59</v>
      </c>
      <c r="EY102" t="s">
        <v>59</v>
      </c>
      <c r="EZ102" t="s">
        <v>59</v>
      </c>
      <c r="FA102" t="s">
        <v>59</v>
      </c>
      <c r="FB102" t="s">
        <v>218</v>
      </c>
      <c r="FC102" t="s">
        <v>218</v>
      </c>
      <c r="FD102" t="s">
        <v>218</v>
      </c>
      <c r="FE102" t="s">
        <v>218</v>
      </c>
      <c r="FF102" t="s">
        <v>218</v>
      </c>
      <c r="FG102" t="s">
        <v>218</v>
      </c>
      <c r="FH102" t="s">
        <v>59</v>
      </c>
      <c r="FI102" t="s">
        <v>59</v>
      </c>
      <c r="FJ102" t="s">
        <v>59</v>
      </c>
      <c r="FK102" t="s">
        <v>59</v>
      </c>
      <c r="FL102" t="s">
        <v>59</v>
      </c>
      <c r="FM102" t="s">
        <v>59</v>
      </c>
      <c r="FN102" t="s">
        <v>59</v>
      </c>
      <c r="FO102" t="s">
        <v>59</v>
      </c>
      <c r="FP102" t="s">
        <v>59</v>
      </c>
      <c r="FQ102" t="s">
        <v>59</v>
      </c>
      <c r="FR102" t="s">
        <v>59</v>
      </c>
      <c r="FS102" t="s">
        <v>218</v>
      </c>
      <c r="FT102" t="s">
        <v>59</v>
      </c>
      <c r="FU102" t="s">
        <v>59</v>
      </c>
      <c r="FV102" t="s">
        <v>59</v>
      </c>
      <c r="FW102" t="s">
        <v>59</v>
      </c>
      <c r="FX102" t="s">
        <v>59</v>
      </c>
      <c r="FY102" t="s">
        <v>59</v>
      </c>
      <c r="FZ102" t="s">
        <v>59</v>
      </c>
      <c r="GA102" t="s">
        <v>59</v>
      </c>
      <c r="GB102" t="s">
        <v>59</v>
      </c>
      <c r="GC102" t="s">
        <v>59</v>
      </c>
      <c r="GD102" t="s">
        <v>59</v>
      </c>
      <c r="GE102" t="s">
        <v>59</v>
      </c>
      <c r="GF102" t="s">
        <v>59</v>
      </c>
      <c r="GG102" t="s">
        <v>59</v>
      </c>
      <c r="GH102" t="s">
        <v>59</v>
      </c>
      <c r="GI102" t="s">
        <v>59</v>
      </c>
      <c r="GJ102" t="s">
        <v>59</v>
      </c>
      <c r="GK102" t="s">
        <v>218</v>
      </c>
      <c r="GL102" t="s">
        <v>59</v>
      </c>
      <c r="GM102" t="s">
        <v>59</v>
      </c>
      <c r="GN102" t="s">
        <v>59</v>
      </c>
      <c r="GO102" t="s">
        <v>59</v>
      </c>
      <c r="GP102" t="s">
        <v>59</v>
      </c>
      <c r="GQ102" t="s">
        <v>218</v>
      </c>
      <c r="GR102" t="s">
        <v>59</v>
      </c>
      <c r="GS102" t="s">
        <v>59</v>
      </c>
      <c r="GT102" t="s">
        <v>59</v>
      </c>
      <c r="GU102" t="s">
        <v>59</v>
      </c>
      <c r="GV102" t="s">
        <v>59</v>
      </c>
      <c r="GW102" t="s">
        <v>59</v>
      </c>
      <c r="GX102" t="s">
        <v>59</v>
      </c>
      <c r="GY102" t="s">
        <v>59</v>
      </c>
      <c r="GZ102" t="s">
        <v>59</v>
      </c>
      <c r="HA102" t="s">
        <v>218</v>
      </c>
      <c r="HB102" t="s">
        <v>59</v>
      </c>
      <c r="HC102" t="s">
        <v>59</v>
      </c>
      <c r="HD102" t="s">
        <v>59</v>
      </c>
      <c r="HE102" t="s">
        <v>59</v>
      </c>
      <c r="HF102" t="s">
        <v>59</v>
      </c>
      <c r="HG102" t="s">
        <v>59</v>
      </c>
      <c r="HH102" t="s">
        <v>59</v>
      </c>
      <c r="HI102" t="s">
        <v>59</v>
      </c>
      <c r="HJ102" t="s">
        <v>59</v>
      </c>
      <c r="HK102" t="s">
        <v>59</v>
      </c>
      <c r="HL102" t="s">
        <v>59</v>
      </c>
      <c r="HM102" t="s">
        <v>59</v>
      </c>
      <c r="HN102" t="s">
        <v>59</v>
      </c>
      <c r="HO102" t="s">
        <v>59</v>
      </c>
      <c r="HP102" t="s">
        <v>59</v>
      </c>
      <c r="HQ102" t="s">
        <v>59</v>
      </c>
      <c r="HR102" t="s">
        <v>59</v>
      </c>
      <c r="HS102" t="s">
        <v>59</v>
      </c>
      <c r="HT102" t="s">
        <v>59</v>
      </c>
      <c r="HU102" t="s">
        <v>59</v>
      </c>
      <c r="HV102" t="s">
        <v>59</v>
      </c>
      <c r="HW102" t="s">
        <v>59</v>
      </c>
      <c r="HX102" t="s">
        <v>59</v>
      </c>
      <c r="HY102" t="s">
        <v>59</v>
      </c>
      <c r="HZ102" t="s">
        <v>59</v>
      </c>
      <c r="IA102" t="s">
        <v>59</v>
      </c>
      <c r="IB102" t="s">
        <v>59</v>
      </c>
      <c r="IC102" t="s">
        <v>59</v>
      </c>
      <c r="ID102" t="s">
        <v>59</v>
      </c>
      <c r="IE102" t="s">
        <v>59</v>
      </c>
      <c r="IF102" t="s">
        <v>59</v>
      </c>
      <c r="IG102" t="s">
        <v>59</v>
      </c>
      <c r="IH102" t="s">
        <v>59</v>
      </c>
      <c r="II102" t="s">
        <v>59</v>
      </c>
      <c r="IJ102" t="s">
        <v>129</v>
      </c>
      <c r="IK102" t="s">
        <v>191</v>
      </c>
      <c r="IL102" t="s">
        <v>128</v>
      </c>
      <c r="IM102" t="s">
        <v>199</v>
      </c>
      <c r="IN102">
        <v>30</v>
      </c>
      <c r="IO102" t="s">
        <v>2730</v>
      </c>
      <c r="IP102" t="s">
        <v>2730</v>
      </c>
      <c r="IQ102" t="s">
        <v>2730</v>
      </c>
      <c r="IR102">
        <v>15</v>
      </c>
      <c r="IS102" t="s">
        <v>2730</v>
      </c>
      <c r="IT102" t="s">
        <v>2730</v>
      </c>
      <c r="IU102" t="s">
        <v>2730</v>
      </c>
      <c r="IV102">
        <v>16</v>
      </c>
      <c r="IW102" t="s">
        <v>2730</v>
      </c>
      <c r="IX102" t="s">
        <v>2730</v>
      </c>
      <c r="IY102" t="s">
        <v>2730</v>
      </c>
      <c r="IZ102">
        <v>39</v>
      </c>
      <c r="JA102" t="s">
        <v>2730</v>
      </c>
      <c r="JB102" t="s">
        <v>2730</v>
      </c>
      <c r="JC102" t="s">
        <v>2730</v>
      </c>
      <c r="JD102">
        <v>24</v>
      </c>
      <c r="JE102" t="s">
        <v>2730</v>
      </c>
      <c r="JF102" t="s">
        <v>2730</v>
      </c>
      <c r="JG102" t="s">
        <v>2730</v>
      </c>
      <c r="JH102">
        <v>28</v>
      </c>
      <c r="JI102" t="s">
        <v>2730</v>
      </c>
      <c r="JJ102" t="s">
        <v>2730</v>
      </c>
      <c r="JK102" t="s">
        <v>2730</v>
      </c>
      <c r="JL102">
        <v>16</v>
      </c>
      <c r="JM102" t="s">
        <v>2730</v>
      </c>
      <c r="JN102" t="s">
        <v>2730</v>
      </c>
      <c r="JO102">
        <v>4</v>
      </c>
      <c r="JP102" t="s">
        <v>2730</v>
      </c>
      <c r="JQ102" t="s">
        <v>2730</v>
      </c>
    </row>
    <row r="103" spans="1:277">
      <c r="A103" s="149" t="str">
        <f>HYPERLINK("http://www.ofsted.gov.uk/inspection-reports/find-inspection-report/provider/ELS/139779 ","Ofsted School Webpage")</f>
        <v>Ofsted School Webpage</v>
      </c>
      <c r="B103">
        <v>1134876</v>
      </c>
      <c r="C103">
        <v>139779</v>
      </c>
      <c r="D103">
        <v>9316012</v>
      </c>
      <c r="E103" t="s">
        <v>374</v>
      </c>
      <c r="F103" t="s">
        <v>37</v>
      </c>
      <c r="G103" t="s">
        <v>209</v>
      </c>
      <c r="H103" t="s">
        <v>181</v>
      </c>
      <c r="I103" t="s">
        <v>181</v>
      </c>
      <c r="J103" t="s">
        <v>242</v>
      </c>
      <c r="K103" t="s">
        <v>375</v>
      </c>
      <c r="L103" t="s">
        <v>184</v>
      </c>
      <c r="M103" t="s">
        <v>185</v>
      </c>
      <c r="N103" t="s">
        <v>184</v>
      </c>
      <c r="O103" t="s">
        <v>2730</v>
      </c>
      <c r="P103" t="s">
        <v>186</v>
      </c>
      <c r="Q103">
        <v>10039166</v>
      </c>
      <c r="R103" s="120">
        <v>42990</v>
      </c>
      <c r="S103" s="120">
        <v>42992</v>
      </c>
      <c r="T103" s="120">
        <v>43018</v>
      </c>
      <c r="U103" t="s">
        <v>2730</v>
      </c>
      <c r="V103" t="s">
        <v>196</v>
      </c>
      <c r="W103" t="s">
        <v>2730</v>
      </c>
      <c r="X103" t="s">
        <v>197</v>
      </c>
      <c r="Y103">
        <v>2</v>
      </c>
      <c r="Z103">
        <v>2</v>
      </c>
      <c r="AA103">
        <v>2</v>
      </c>
      <c r="AB103">
        <v>2</v>
      </c>
      <c r="AC103">
        <v>2</v>
      </c>
      <c r="AD103" t="s">
        <v>2730</v>
      </c>
      <c r="AE103" t="s">
        <v>2730</v>
      </c>
      <c r="AF103" t="s">
        <v>128</v>
      </c>
      <c r="AG103" t="s">
        <v>2730</v>
      </c>
      <c r="AH103" t="s">
        <v>2732</v>
      </c>
      <c r="AI103" t="s">
        <v>59</v>
      </c>
      <c r="AJ103" t="s">
        <v>59</v>
      </c>
      <c r="AK103" t="s">
        <v>59</v>
      </c>
      <c r="AL103" t="s">
        <v>59</v>
      </c>
      <c r="AM103" t="s">
        <v>59</v>
      </c>
      <c r="AN103" t="s">
        <v>59</v>
      </c>
      <c r="AO103" t="s">
        <v>59</v>
      </c>
      <c r="AP103" t="s">
        <v>59</v>
      </c>
      <c r="AQ103" t="s">
        <v>59</v>
      </c>
      <c r="AR103" t="s">
        <v>59</v>
      </c>
      <c r="AS103" t="s">
        <v>59</v>
      </c>
      <c r="AT103" t="s">
        <v>59</v>
      </c>
      <c r="AU103" t="s">
        <v>59</v>
      </c>
      <c r="AV103" t="s">
        <v>59</v>
      </c>
      <c r="AW103" t="s">
        <v>59</v>
      </c>
      <c r="AX103" t="s">
        <v>59</v>
      </c>
      <c r="AY103" t="s">
        <v>191</v>
      </c>
      <c r="AZ103" t="s">
        <v>59</v>
      </c>
      <c r="BA103" t="s">
        <v>59</v>
      </c>
      <c r="BB103" t="s">
        <v>59</v>
      </c>
      <c r="BC103" t="s">
        <v>59</v>
      </c>
      <c r="BD103" t="s">
        <v>59</v>
      </c>
      <c r="BE103" t="s">
        <v>59</v>
      </c>
      <c r="BF103" t="s">
        <v>59</v>
      </c>
      <c r="BG103" t="s">
        <v>59</v>
      </c>
      <c r="BH103" t="s">
        <v>191</v>
      </c>
      <c r="BI103" t="s">
        <v>59</v>
      </c>
      <c r="BJ103" t="s">
        <v>59</v>
      </c>
      <c r="BK103" t="s">
        <v>59</v>
      </c>
      <c r="BL103" t="s">
        <v>59</v>
      </c>
      <c r="BM103" t="s">
        <v>59</v>
      </c>
      <c r="BN103" t="s">
        <v>59</v>
      </c>
      <c r="BO103" t="s">
        <v>59</v>
      </c>
      <c r="BP103" t="s">
        <v>59</v>
      </c>
      <c r="BQ103" t="s">
        <v>59</v>
      </c>
      <c r="BR103" t="s">
        <v>59</v>
      </c>
      <c r="BS103" t="s">
        <v>59</v>
      </c>
      <c r="BT103" t="s">
        <v>59</v>
      </c>
      <c r="BU103" t="s">
        <v>59</v>
      </c>
      <c r="BV103" t="s">
        <v>59</v>
      </c>
      <c r="BW103" t="s">
        <v>59</v>
      </c>
      <c r="BX103" t="s">
        <v>59</v>
      </c>
      <c r="BY103" t="s">
        <v>59</v>
      </c>
      <c r="BZ103" t="s">
        <v>59</v>
      </c>
      <c r="CA103" t="s">
        <v>59</v>
      </c>
      <c r="CB103" t="s">
        <v>59</v>
      </c>
      <c r="CC103" t="s">
        <v>59</v>
      </c>
      <c r="CD103" t="s">
        <v>59</v>
      </c>
      <c r="CE103" t="s">
        <v>59</v>
      </c>
      <c r="CF103" t="s">
        <v>59</v>
      </c>
      <c r="CG103" t="s">
        <v>59</v>
      </c>
      <c r="CH103" t="s">
        <v>59</v>
      </c>
      <c r="CI103" t="s">
        <v>59</v>
      </c>
      <c r="CJ103" t="s">
        <v>59</v>
      </c>
      <c r="CK103" t="s">
        <v>59</v>
      </c>
      <c r="CL103" t="s">
        <v>59</v>
      </c>
      <c r="CM103" t="s">
        <v>59</v>
      </c>
      <c r="CN103" t="s">
        <v>59</v>
      </c>
      <c r="CO103" t="s">
        <v>191</v>
      </c>
      <c r="CP103" t="s">
        <v>191</v>
      </c>
      <c r="CQ103" t="s">
        <v>191</v>
      </c>
      <c r="CR103" t="s">
        <v>59</v>
      </c>
      <c r="CS103" t="s">
        <v>59</v>
      </c>
      <c r="CT103" t="s">
        <v>59</v>
      </c>
      <c r="CU103" t="s">
        <v>59</v>
      </c>
      <c r="CV103" t="s">
        <v>59</v>
      </c>
      <c r="CW103" t="s">
        <v>59</v>
      </c>
      <c r="CX103" t="s">
        <v>59</v>
      </c>
      <c r="CY103" t="s">
        <v>59</v>
      </c>
      <c r="CZ103" t="s">
        <v>59</v>
      </c>
      <c r="DA103" t="s">
        <v>59</v>
      </c>
      <c r="DB103" t="s">
        <v>59</v>
      </c>
      <c r="DC103" t="s">
        <v>59</v>
      </c>
      <c r="DD103" t="s">
        <v>59</v>
      </c>
      <c r="DE103" t="s">
        <v>59</v>
      </c>
      <c r="DF103" t="s">
        <v>59</v>
      </c>
      <c r="DG103" t="s">
        <v>59</v>
      </c>
      <c r="DH103" t="s">
        <v>59</v>
      </c>
      <c r="DI103" t="s">
        <v>59</v>
      </c>
      <c r="DJ103" t="s">
        <v>59</v>
      </c>
      <c r="DK103" t="s">
        <v>59</v>
      </c>
      <c r="DL103" t="s">
        <v>59</v>
      </c>
      <c r="DM103" t="s">
        <v>59</v>
      </c>
      <c r="DN103" t="s">
        <v>59</v>
      </c>
      <c r="DO103" t="s">
        <v>191</v>
      </c>
      <c r="DP103" t="s">
        <v>59</v>
      </c>
      <c r="DQ103" t="s">
        <v>191</v>
      </c>
      <c r="DR103" t="s">
        <v>191</v>
      </c>
      <c r="DS103" t="s">
        <v>191</v>
      </c>
      <c r="DT103" t="s">
        <v>191</v>
      </c>
      <c r="DU103" t="s">
        <v>191</v>
      </c>
      <c r="DV103" t="s">
        <v>191</v>
      </c>
      <c r="DW103" t="s">
        <v>191</v>
      </c>
      <c r="DX103" t="s">
        <v>191</v>
      </c>
      <c r="DY103" t="s">
        <v>191</v>
      </c>
      <c r="DZ103" t="s">
        <v>191</v>
      </c>
      <c r="EA103" t="s">
        <v>191</v>
      </c>
      <c r="EB103" t="s">
        <v>191</v>
      </c>
      <c r="EC103" t="s">
        <v>191</v>
      </c>
      <c r="ED103" t="s">
        <v>191</v>
      </c>
      <c r="EE103" t="s">
        <v>59</v>
      </c>
      <c r="EF103" t="s">
        <v>59</v>
      </c>
      <c r="EG103" t="s">
        <v>59</v>
      </c>
      <c r="EH103" t="s">
        <v>59</v>
      </c>
      <c r="EI103" t="s">
        <v>59</v>
      </c>
      <c r="EJ103" t="s">
        <v>59</v>
      </c>
      <c r="EK103" t="s">
        <v>59</v>
      </c>
      <c r="EL103" t="s">
        <v>191</v>
      </c>
      <c r="EM103" t="s">
        <v>59</v>
      </c>
      <c r="EN103" t="s">
        <v>59</v>
      </c>
      <c r="EO103" t="s">
        <v>59</v>
      </c>
      <c r="EP103" t="s">
        <v>59</v>
      </c>
      <c r="EQ103" t="s">
        <v>59</v>
      </c>
      <c r="ER103" t="s">
        <v>59</v>
      </c>
      <c r="ES103" t="s">
        <v>59</v>
      </c>
      <c r="ET103" t="s">
        <v>59</v>
      </c>
      <c r="EU103" t="s">
        <v>59</v>
      </c>
      <c r="EV103" t="s">
        <v>59</v>
      </c>
      <c r="EW103" t="s">
        <v>59</v>
      </c>
      <c r="EX103" t="s">
        <v>59</v>
      </c>
      <c r="EY103" t="s">
        <v>59</v>
      </c>
      <c r="EZ103" t="s">
        <v>59</v>
      </c>
      <c r="FA103" t="s">
        <v>191</v>
      </c>
      <c r="FB103" t="s">
        <v>191</v>
      </c>
      <c r="FC103" t="s">
        <v>59</v>
      </c>
      <c r="FD103" t="s">
        <v>59</v>
      </c>
      <c r="FE103" t="s">
        <v>59</v>
      </c>
      <c r="FF103" t="s">
        <v>59</v>
      </c>
      <c r="FG103" t="s">
        <v>59</v>
      </c>
      <c r="FH103" t="s">
        <v>59</v>
      </c>
      <c r="FI103" t="s">
        <v>191</v>
      </c>
      <c r="FJ103" t="s">
        <v>191</v>
      </c>
      <c r="FK103" t="s">
        <v>191</v>
      </c>
      <c r="FL103" t="s">
        <v>59</v>
      </c>
      <c r="FM103" t="s">
        <v>59</v>
      </c>
      <c r="FN103" t="s">
        <v>59</v>
      </c>
      <c r="FO103" t="s">
        <v>59</v>
      </c>
      <c r="FP103" t="s">
        <v>59</v>
      </c>
      <c r="FQ103" t="s">
        <v>59</v>
      </c>
      <c r="FR103" t="s">
        <v>59</v>
      </c>
      <c r="FS103" t="s">
        <v>191</v>
      </c>
      <c r="FT103" t="s">
        <v>59</v>
      </c>
      <c r="FU103" t="s">
        <v>59</v>
      </c>
      <c r="FV103" t="s">
        <v>59</v>
      </c>
      <c r="FW103" t="s">
        <v>59</v>
      </c>
      <c r="FX103" t="s">
        <v>59</v>
      </c>
      <c r="FY103" t="s">
        <v>59</v>
      </c>
      <c r="FZ103" t="s">
        <v>59</v>
      </c>
      <c r="GA103" t="s">
        <v>59</v>
      </c>
      <c r="GB103" t="s">
        <v>59</v>
      </c>
      <c r="GC103" t="s">
        <v>59</v>
      </c>
      <c r="GD103" t="s">
        <v>59</v>
      </c>
      <c r="GE103" t="s">
        <v>59</v>
      </c>
      <c r="GF103" t="s">
        <v>59</v>
      </c>
      <c r="GG103" t="s">
        <v>59</v>
      </c>
      <c r="GH103" t="s">
        <v>59</v>
      </c>
      <c r="GI103" t="s">
        <v>59</v>
      </c>
      <c r="GJ103" t="s">
        <v>59</v>
      </c>
      <c r="GK103" t="s">
        <v>191</v>
      </c>
      <c r="GL103" t="s">
        <v>59</v>
      </c>
      <c r="GM103" t="s">
        <v>59</v>
      </c>
      <c r="GN103" t="s">
        <v>59</v>
      </c>
      <c r="GO103" t="s">
        <v>59</v>
      </c>
      <c r="GP103" t="s">
        <v>59</v>
      </c>
      <c r="GQ103" t="s">
        <v>59</v>
      </c>
      <c r="GR103" t="s">
        <v>59</v>
      </c>
      <c r="GS103" t="s">
        <v>59</v>
      </c>
      <c r="GT103" t="s">
        <v>59</v>
      </c>
      <c r="GU103" t="s">
        <v>191</v>
      </c>
      <c r="GV103" t="s">
        <v>59</v>
      </c>
      <c r="GW103" t="s">
        <v>59</v>
      </c>
      <c r="GX103" t="s">
        <v>59</v>
      </c>
      <c r="GY103" t="s">
        <v>59</v>
      </c>
      <c r="GZ103" t="s">
        <v>59</v>
      </c>
      <c r="HA103" t="s">
        <v>59</v>
      </c>
      <c r="HB103" t="s">
        <v>59</v>
      </c>
      <c r="HC103" t="s">
        <v>59</v>
      </c>
      <c r="HD103" t="s">
        <v>59</v>
      </c>
      <c r="HE103" t="s">
        <v>59</v>
      </c>
      <c r="HF103" t="s">
        <v>59</v>
      </c>
      <c r="HG103" t="s">
        <v>59</v>
      </c>
      <c r="HH103" t="s">
        <v>59</v>
      </c>
      <c r="HI103" t="s">
        <v>59</v>
      </c>
      <c r="HJ103" t="s">
        <v>59</v>
      </c>
      <c r="HK103" t="s">
        <v>59</v>
      </c>
      <c r="HL103" t="s">
        <v>59</v>
      </c>
      <c r="HM103" t="s">
        <v>191</v>
      </c>
      <c r="HN103" t="s">
        <v>191</v>
      </c>
      <c r="HO103" t="s">
        <v>191</v>
      </c>
      <c r="HP103" t="s">
        <v>59</v>
      </c>
      <c r="HQ103" t="s">
        <v>59</v>
      </c>
      <c r="HR103" t="s">
        <v>59</v>
      </c>
      <c r="HS103" t="s">
        <v>59</v>
      </c>
      <c r="HT103" t="s">
        <v>59</v>
      </c>
      <c r="HU103" t="s">
        <v>59</v>
      </c>
      <c r="HV103" t="s">
        <v>59</v>
      </c>
      <c r="HW103" t="s">
        <v>59</v>
      </c>
      <c r="HX103" t="s">
        <v>59</v>
      </c>
      <c r="HY103" t="s">
        <v>59</v>
      </c>
      <c r="HZ103" t="s">
        <v>59</v>
      </c>
      <c r="IA103" t="s">
        <v>59</v>
      </c>
      <c r="IB103" t="s">
        <v>59</v>
      </c>
      <c r="IC103" t="s">
        <v>59</v>
      </c>
      <c r="ID103" t="s">
        <v>59</v>
      </c>
      <c r="IE103" t="s">
        <v>59</v>
      </c>
      <c r="IF103" t="s">
        <v>59</v>
      </c>
      <c r="IG103" t="s">
        <v>59</v>
      </c>
      <c r="IH103" t="s">
        <v>59</v>
      </c>
      <c r="II103" t="s">
        <v>59</v>
      </c>
      <c r="IJ103" t="s">
        <v>129</v>
      </c>
      <c r="IK103" t="s">
        <v>198</v>
      </c>
      <c r="IL103" t="s">
        <v>128</v>
      </c>
      <c r="IM103" t="s">
        <v>199</v>
      </c>
      <c r="IN103">
        <v>30</v>
      </c>
      <c r="IO103" t="s">
        <v>2730</v>
      </c>
      <c r="IP103">
        <v>2</v>
      </c>
      <c r="IQ103" t="s">
        <v>2730</v>
      </c>
      <c r="IR103">
        <v>15</v>
      </c>
      <c r="IS103" t="s">
        <v>2730</v>
      </c>
      <c r="IT103" t="s">
        <v>2730</v>
      </c>
      <c r="IU103" t="s">
        <v>2730</v>
      </c>
      <c r="IV103">
        <v>16</v>
      </c>
      <c r="IW103" t="s">
        <v>2730</v>
      </c>
      <c r="IX103">
        <v>3</v>
      </c>
      <c r="IY103" t="s">
        <v>2730</v>
      </c>
      <c r="IZ103">
        <v>38</v>
      </c>
      <c r="JA103" t="s">
        <v>2730</v>
      </c>
      <c r="JB103">
        <v>21</v>
      </c>
      <c r="JC103" t="s">
        <v>2730</v>
      </c>
      <c r="JD103">
        <v>24</v>
      </c>
      <c r="JE103" t="s">
        <v>2730</v>
      </c>
      <c r="JF103">
        <v>2</v>
      </c>
      <c r="JG103" t="s">
        <v>2730</v>
      </c>
      <c r="JH103">
        <v>26</v>
      </c>
      <c r="JI103" t="s">
        <v>2730</v>
      </c>
      <c r="JJ103">
        <v>4</v>
      </c>
      <c r="JK103" t="s">
        <v>2730</v>
      </c>
      <c r="JL103">
        <v>16</v>
      </c>
      <c r="JM103" t="s">
        <v>2730</v>
      </c>
      <c r="JN103" t="s">
        <v>2730</v>
      </c>
      <c r="JO103">
        <v>4</v>
      </c>
      <c r="JP103" t="s">
        <v>2730</v>
      </c>
      <c r="JQ103" t="s">
        <v>2730</v>
      </c>
    </row>
    <row r="104" spans="1:277">
      <c r="A104" s="149" t="str">
        <f>HYPERLINK("http://www.ofsted.gov.uk/inspection-reports/find-inspection-report/provider/ELS/137571 ","Ofsted School Webpage")</f>
        <v>Ofsted School Webpage</v>
      </c>
      <c r="B104">
        <v>1133068</v>
      </c>
      <c r="C104">
        <v>137571</v>
      </c>
      <c r="D104">
        <v>3326007</v>
      </c>
      <c r="E104" t="s">
        <v>348</v>
      </c>
      <c r="F104" t="s">
        <v>37</v>
      </c>
      <c r="G104" t="s">
        <v>209</v>
      </c>
      <c r="H104" t="s">
        <v>193</v>
      </c>
      <c r="I104" t="s">
        <v>193</v>
      </c>
      <c r="J104" t="s">
        <v>349</v>
      </c>
      <c r="K104" t="s">
        <v>350</v>
      </c>
      <c r="L104" t="s">
        <v>184</v>
      </c>
      <c r="M104" t="s">
        <v>185</v>
      </c>
      <c r="N104" t="s">
        <v>184</v>
      </c>
      <c r="O104" t="s">
        <v>2730</v>
      </c>
      <c r="P104" t="s">
        <v>186</v>
      </c>
      <c r="Q104">
        <v>10006094</v>
      </c>
      <c r="R104" s="120">
        <v>43046</v>
      </c>
      <c r="S104" s="120">
        <v>43048</v>
      </c>
      <c r="T104" s="120">
        <v>43069</v>
      </c>
      <c r="U104" t="s">
        <v>2730</v>
      </c>
      <c r="V104" t="s">
        <v>196</v>
      </c>
      <c r="W104" t="s">
        <v>2730</v>
      </c>
      <c r="X104" t="s">
        <v>197</v>
      </c>
      <c r="Y104">
        <v>2</v>
      </c>
      <c r="Z104">
        <v>2</v>
      </c>
      <c r="AA104">
        <v>2</v>
      </c>
      <c r="AB104">
        <v>2</v>
      </c>
      <c r="AC104">
        <v>1</v>
      </c>
      <c r="AD104" t="s">
        <v>2730</v>
      </c>
      <c r="AE104" t="s">
        <v>2730</v>
      </c>
      <c r="AF104" t="s">
        <v>128</v>
      </c>
      <c r="AG104" t="s">
        <v>2730</v>
      </c>
      <c r="AH104" t="s">
        <v>2732</v>
      </c>
      <c r="AI104" t="s">
        <v>59</v>
      </c>
      <c r="AJ104" t="s">
        <v>59</v>
      </c>
      <c r="AK104" t="s">
        <v>59</v>
      </c>
      <c r="AL104" t="s">
        <v>59</v>
      </c>
      <c r="AM104" t="s">
        <v>59</v>
      </c>
      <c r="AN104" t="s">
        <v>59</v>
      </c>
      <c r="AO104" t="s">
        <v>59</v>
      </c>
      <c r="AP104" t="s">
        <v>59</v>
      </c>
      <c r="AQ104" t="s">
        <v>59</v>
      </c>
      <c r="AR104" t="s">
        <v>59</v>
      </c>
      <c r="AS104" t="s">
        <v>59</v>
      </c>
      <c r="AT104" t="s">
        <v>59</v>
      </c>
      <c r="AU104" t="s">
        <v>59</v>
      </c>
      <c r="AV104" t="s">
        <v>59</v>
      </c>
      <c r="AW104" t="s">
        <v>59</v>
      </c>
      <c r="AX104" t="s">
        <v>59</v>
      </c>
      <c r="AY104" t="s">
        <v>59</v>
      </c>
      <c r="AZ104" t="s">
        <v>59</v>
      </c>
      <c r="BA104" t="s">
        <v>59</v>
      </c>
      <c r="BB104" t="s">
        <v>59</v>
      </c>
      <c r="BC104" t="s">
        <v>59</v>
      </c>
      <c r="BD104" t="s">
        <v>59</v>
      </c>
      <c r="BE104" t="s">
        <v>59</v>
      </c>
      <c r="BF104" t="s">
        <v>59</v>
      </c>
      <c r="BG104" t="s">
        <v>59</v>
      </c>
      <c r="BH104" t="s">
        <v>59</v>
      </c>
      <c r="BI104" t="s">
        <v>59</v>
      </c>
      <c r="BJ104" t="s">
        <v>59</v>
      </c>
      <c r="BK104" t="s">
        <v>59</v>
      </c>
      <c r="BL104" t="s">
        <v>59</v>
      </c>
      <c r="BM104" t="s">
        <v>59</v>
      </c>
      <c r="BN104" t="s">
        <v>59</v>
      </c>
      <c r="BO104" t="s">
        <v>59</v>
      </c>
      <c r="BP104" t="s">
        <v>59</v>
      </c>
      <c r="BQ104" t="s">
        <v>59</v>
      </c>
      <c r="BR104" t="s">
        <v>59</v>
      </c>
      <c r="BS104" t="s">
        <v>59</v>
      </c>
      <c r="BT104" t="s">
        <v>59</v>
      </c>
      <c r="BU104" t="s">
        <v>59</v>
      </c>
      <c r="BV104" t="s">
        <v>59</v>
      </c>
      <c r="BW104" t="s">
        <v>59</v>
      </c>
      <c r="BX104" t="s">
        <v>59</v>
      </c>
      <c r="BY104" t="s">
        <v>59</v>
      </c>
      <c r="BZ104" t="s">
        <v>59</v>
      </c>
      <c r="CA104" t="s">
        <v>59</v>
      </c>
      <c r="CB104" t="s">
        <v>59</v>
      </c>
      <c r="CC104" t="s">
        <v>59</v>
      </c>
      <c r="CD104" t="s">
        <v>59</v>
      </c>
      <c r="CE104" t="s">
        <v>59</v>
      </c>
      <c r="CF104" t="s">
        <v>59</v>
      </c>
      <c r="CG104" t="s">
        <v>59</v>
      </c>
      <c r="CH104" t="s">
        <v>59</v>
      </c>
      <c r="CI104" t="s">
        <v>59</v>
      </c>
      <c r="CJ104" t="s">
        <v>59</v>
      </c>
      <c r="CK104" t="s">
        <v>59</v>
      </c>
      <c r="CL104" t="s">
        <v>59</v>
      </c>
      <c r="CM104" t="s">
        <v>59</v>
      </c>
      <c r="CN104" t="s">
        <v>59</v>
      </c>
      <c r="CO104" t="s">
        <v>191</v>
      </c>
      <c r="CP104" t="s">
        <v>191</v>
      </c>
      <c r="CQ104" t="s">
        <v>191</v>
      </c>
      <c r="CR104" t="s">
        <v>59</v>
      </c>
      <c r="CS104" t="s">
        <v>59</v>
      </c>
      <c r="CT104" t="s">
        <v>59</v>
      </c>
      <c r="CU104" t="s">
        <v>59</v>
      </c>
      <c r="CV104" t="s">
        <v>59</v>
      </c>
      <c r="CW104" t="s">
        <v>59</v>
      </c>
      <c r="CX104" t="s">
        <v>59</v>
      </c>
      <c r="CY104" t="s">
        <v>59</v>
      </c>
      <c r="CZ104" t="s">
        <v>59</v>
      </c>
      <c r="DA104" t="s">
        <v>59</v>
      </c>
      <c r="DB104" t="s">
        <v>59</v>
      </c>
      <c r="DC104" t="s">
        <v>59</v>
      </c>
      <c r="DD104" t="s">
        <v>59</v>
      </c>
      <c r="DE104" t="s">
        <v>59</v>
      </c>
      <c r="DF104" t="s">
        <v>59</v>
      </c>
      <c r="DG104" t="s">
        <v>59</v>
      </c>
      <c r="DH104" t="s">
        <v>59</v>
      </c>
      <c r="DI104" t="s">
        <v>59</v>
      </c>
      <c r="DJ104" t="s">
        <v>59</v>
      </c>
      <c r="DK104" t="s">
        <v>59</v>
      </c>
      <c r="DL104" t="s">
        <v>59</v>
      </c>
      <c r="DM104" t="s">
        <v>59</v>
      </c>
      <c r="DN104" t="s">
        <v>59</v>
      </c>
      <c r="DO104" t="s">
        <v>191</v>
      </c>
      <c r="DP104" t="s">
        <v>59</v>
      </c>
      <c r="DQ104" t="s">
        <v>59</v>
      </c>
      <c r="DR104" t="s">
        <v>59</v>
      </c>
      <c r="DS104" t="s">
        <v>59</v>
      </c>
      <c r="DT104" t="s">
        <v>59</v>
      </c>
      <c r="DU104" t="s">
        <v>59</v>
      </c>
      <c r="DV104" t="s">
        <v>59</v>
      </c>
      <c r="DW104" t="s">
        <v>59</v>
      </c>
      <c r="DX104" t="s">
        <v>59</v>
      </c>
      <c r="DY104" t="s">
        <v>59</v>
      </c>
      <c r="DZ104" t="s">
        <v>59</v>
      </c>
      <c r="EA104" t="s">
        <v>59</v>
      </c>
      <c r="EB104" t="s">
        <v>59</v>
      </c>
      <c r="EC104" t="s">
        <v>59</v>
      </c>
      <c r="ED104" t="s">
        <v>59</v>
      </c>
      <c r="EE104" t="s">
        <v>59</v>
      </c>
      <c r="EF104" t="s">
        <v>59</v>
      </c>
      <c r="EG104" t="s">
        <v>59</v>
      </c>
      <c r="EH104" t="s">
        <v>59</v>
      </c>
      <c r="EI104" t="s">
        <v>59</v>
      </c>
      <c r="EJ104" t="s">
        <v>59</v>
      </c>
      <c r="EK104" t="s">
        <v>59</v>
      </c>
      <c r="EL104" t="s">
        <v>59</v>
      </c>
      <c r="EM104" t="s">
        <v>59</v>
      </c>
      <c r="EN104" t="s">
        <v>59</v>
      </c>
      <c r="EO104" t="s">
        <v>59</v>
      </c>
      <c r="EP104" t="s">
        <v>59</v>
      </c>
      <c r="EQ104" t="s">
        <v>59</v>
      </c>
      <c r="ER104" t="s">
        <v>59</v>
      </c>
      <c r="ES104" t="s">
        <v>59</v>
      </c>
      <c r="ET104" t="s">
        <v>59</v>
      </c>
      <c r="EU104" t="s">
        <v>59</v>
      </c>
      <c r="EV104" t="s">
        <v>59</v>
      </c>
      <c r="EW104" t="s">
        <v>59</v>
      </c>
      <c r="EX104" t="s">
        <v>59</v>
      </c>
      <c r="EY104" t="s">
        <v>59</v>
      </c>
      <c r="EZ104" t="s">
        <v>59</v>
      </c>
      <c r="FA104" t="s">
        <v>59</v>
      </c>
      <c r="FB104" t="s">
        <v>59</v>
      </c>
      <c r="FC104" t="s">
        <v>59</v>
      </c>
      <c r="FD104" t="s">
        <v>59</v>
      </c>
      <c r="FE104" t="s">
        <v>59</v>
      </c>
      <c r="FF104" t="s">
        <v>59</v>
      </c>
      <c r="FG104" t="s">
        <v>59</v>
      </c>
      <c r="FH104" t="s">
        <v>59</v>
      </c>
      <c r="FI104" t="s">
        <v>59</v>
      </c>
      <c r="FJ104" t="s">
        <v>59</v>
      </c>
      <c r="FK104" t="s">
        <v>59</v>
      </c>
      <c r="FL104" t="s">
        <v>59</v>
      </c>
      <c r="FM104" t="s">
        <v>59</v>
      </c>
      <c r="FN104" t="s">
        <v>59</v>
      </c>
      <c r="FO104" t="s">
        <v>59</v>
      </c>
      <c r="FP104" t="s">
        <v>59</v>
      </c>
      <c r="FQ104" t="s">
        <v>59</v>
      </c>
      <c r="FR104" t="s">
        <v>59</v>
      </c>
      <c r="FS104" t="s">
        <v>59</v>
      </c>
      <c r="FT104" t="s">
        <v>59</v>
      </c>
      <c r="FU104" t="s">
        <v>59</v>
      </c>
      <c r="FV104" t="s">
        <v>59</v>
      </c>
      <c r="FW104" t="s">
        <v>59</v>
      </c>
      <c r="FX104" t="s">
        <v>59</v>
      </c>
      <c r="FY104" t="s">
        <v>59</v>
      </c>
      <c r="FZ104" t="s">
        <v>59</v>
      </c>
      <c r="GA104" t="s">
        <v>59</v>
      </c>
      <c r="GB104" t="s">
        <v>59</v>
      </c>
      <c r="GC104" t="s">
        <v>59</v>
      </c>
      <c r="GD104" t="s">
        <v>59</v>
      </c>
      <c r="GE104" t="s">
        <v>59</v>
      </c>
      <c r="GF104" t="s">
        <v>59</v>
      </c>
      <c r="GG104" t="s">
        <v>59</v>
      </c>
      <c r="GH104" t="s">
        <v>59</v>
      </c>
      <c r="GI104" t="s">
        <v>59</v>
      </c>
      <c r="GJ104" t="s">
        <v>59</v>
      </c>
      <c r="GK104" t="s">
        <v>191</v>
      </c>
      <c r="GL104" t="s">
        <v>59</v>
      </c>
      <c r="GM104" t="s">
        <v>59</v>
      </c>
      <c r="GN104" t="s">
        <v>59</v>
      </c>
      <c r="GO104" t="s">
        <v>59</v>
      </c>
      <c r="GP104" t="s">
        <v>59</v>
      </c>
      <c r="GQ104" t="s">
        <v>59</v>
      </c>
      <c r="GR104" t="s">
        <v>59</v>
      </c>
      <c r="GS104" t="s">
        <v>59</v>
      </c>
      <c r="GT104" t="s">
        <v>59</v>
      </c>
      <c r="GU104" t="s">
        <v>59</v>
      </c>
      <c r="GV104" t="s">
        <v>59</v>
      </c>
      <c r="GW104" t="s">
        <v>59</v>
      </c>
      <c r="GX104" t="s">
        <v>59</v>
      </c>
      <c r="GY104" t="s">
        <v>59</v>
      </c>
      <c r="GZ104" t="s">
        <v>59</v>
      </c>
      <c r="HA104" t="s">
        <v>191</v>
      </c>
      <c r="HB104" t="s">
        <v>59</v>
      </c>
      <c r="HC104" t="s">
        <v>59</v>
      </c>
      <c r="HD104" t="s">
        <v>59</v>
      </c>
      <c r="HE104" t="s">
        <v>59</v>
      </c>
      <c r="HF104" t="s">
        <v>59</v>
      </c>
      <c r="HG104" t="s">
        <v>59</v>
      </c>
      <c r="HH104" t="s">
        <v>59</v>
      </c>
      <c r="HI104" t="s">
        <v>59</v>
      </c>
      <c r="HJ104" t="s">
        <v>59</v>
      </c>
      <c r="HK104" t="s">
        <v>59</v>
      </c>
      <c r="HL104" t="s">
        <v>59</v>
      </c>
      <c r="HM104" t="s">
        <v>59</v>
      </c>
      <c r="HN104" t="s">
        <v>59</v>
      </c>
      <c r="HO104" t="s">
        <v>59</v>
      </c>
      <c r="HP104" t="s">
        <v>59</v>
      </c>
      <c r="HQ104" t="s">
        <v>59</v>
      </c>
      <c r="HR104" t="s">
        <v>59</v>
      </c>
      <c r="HS104" t="s">
        <v>59</v>
      </c>
      <c r="HT104" t="s">
        <v>59</v>
      </c>
      <c r="HU104" t="s">
        <v>59</v>
      </c>
      <c r="HV104" t="s">
        <v>59</v>
      </c>
      <c r="HW104" t="s">
        <v>59</v>
      </c>
      <c r="HX104" t="s">
        <v>59</v>
      </c>
      <c r="HY104" t="s">
        <v>59</v>
      </c>
      <c r="HZ104" t="s">
        <v>59</v>
      </c>
      <c r="IA104" t="s">
        <v>59</v>
      </c>
      <c r="IB104" t="s">
        <v>59</v>
      </c>
      <c r="IC104" t="s">
        <v>59</v>
      </c>
      <c r="ID104" t="s">
        <v>59</v>
      </c>
      <c r="IE104" t="s">
        <v>59</v>
      </c>
      <c r="IF104" t="s">
        <v>59</v>
      </c>
      <c r="IG104" t="s">
        <v>59</v>
      </c>
      <c r="IH104" t="s">
        <v>59</v>
      </c>
      <c r="II104" t="s">
        <v>59</v>
      </c>
      <c r="IJ104" t="s">
        <v>129</v>
      </c>
      <c r="IK104" t="s">
        <v>198</v>
      </c>
      <c r="IL104" t="s">
        <v>128</v>
      </c>
      <c r="IM104" t="s">
        <v>199</v>
      </c>
      <c r="IN104">
        <v>32</v>
      </c>
      <c r="IO104" t="s">
        <v>2730</v>
      </c>
      <c r="IP104" t="s">
        <v>2730</v>
      </c>
      <c r="IQ104" t="s">
        <v>2730</v>
      </c>
      <c r="IR104">
        <v>15</v>
      </c>
      <c r="IS104" t="s">
        <v>2730</v>
      </c>
      <c r="IT104" t="s">
        <v>2730</v>
      </c>
      <c r="IU104" t="s">
        <v>2730</v>
      </c>
      <c r="IV104">
        <v>16</v>
      </c>
      <c r="IW104" t="s">
        <v>2730</v>
      </c>
      <c r="IX104">
        <v>3</v>
      </c>
      <c r="IY104" t="s">
        <v>2730</v>
      </c>
      <c r="IZ104">
        <v>58</v>
      </c>
      <c r="JA104" t="s">
        <v>2730</v>
      </c>
      <c r="JB104">
        <v>1</v>
      </c>
      <c r="JC104" t="s">
        <v>2730</v>
      </c>
      <c r="JD104">
        <v>25</v>
      </c>
      <c r="JE104" t="s">
        <v>2730</v>
      </c>
      <c r="JF104">
        <v>1</v>
      </c>
      <c r="JG104" t="s">
        <v>2730</v>
      </c>
      <c r="JH104">
        <v>29</v>
      </c>
      <c r="JI104" t="s">
        <v>2730</v>
      </c>
      <c r="JJ104">
        <v>1</v>
      </c>
      <c r="JK104" t="s">
        <v>2730</v>
      </c>
      <c r="JL104">
        <v>16</v>
      </c>
      <c r="JM104" t="s">
        <v>2730</v>
      </c>
      <c r="JN104" t="s">
        <v>2730</v>
      </c>
      <c r="JO104">
        <v>4</v>
      </c>
      <c r="JP104" t="s">
        <v>2730</v>
      </c>
      <c r="JQ104" t="s">
        <v>2730</v>
      </c>
    </row>
    <row r="105" spans="1:277">
      <c r="A105" s="149" t="str">
        <f>HYPERLINK("http://www.ofsted.gov.uk/inspection-reports/find-inspection-report/provider/ELS/134085 ","Ofsted School Webpage")</f>
        <v>Ofsted School Webpage</v>
      </c>
      <c r="B105">
        <v>1134210</v>
      </c>
      <c r="C105">
        <v>134085</v>
      </c>
      <c r="D105">
        <v>8716003</v>
      </c>
      <c r="E105" t="s">
        <v>228</v>
      </c>
      <c r="F105" t="s">
        <v>37</v>
      </c>
      <c r="G105" t="s">
        <v>209</v>
      </c>
      <c r="H105" t="s">
        <v>181</v>
      </c>
      <c r="I105" t="s">
        <v>181</v>
      </c>
      <c r="J105" t="s">
        <v>229</v>
      </c>
      <c r="K105" t="s">
        <v>230</v>
      </c>
      <c r="L105" t="s">
        <v>184</v>
      </c>
      <c r="M105" t="s">
        <v>185</v>
      </c>
      <c r="N105" t="s">
        <v>223</v>
      </c>
      <c r="O105" t="s">
        <v>2730</v>
      </c>
      <c r="P105" t="s">
        <v>186</v>
      </c>
      <c r="Q105">
        <v>10039160</v>
      </c>
      <c r="R105" s="120">
        <v>43018</v>
      </c>
      <c r="S105" s="120">
        <v>43020</v>
      </c>
      <c r="T105" s="120">
        <v>43045</v>
      </c>
      <c r="U105" t="s">
        <v>2730</v>
      </c>
      <c r="V105" t="s">
        <v>196</v>
      </c>
      <c r="W105" t="s">
        <v>2730</v>
      </c>
      <c r="X105" t="s">
        <v>197</v>
      </c>
      <c r="Y105">
        <v>2</v>
      </c>
      <c r="Z105">
        <v>1</v>
      </c>
      <c r="AA105">
        <v>1</v>
      </c>
      <c r="AB105">
        <v>2</v>
      </c>
      <c r="AC105">
        <v>2</v>
      </c>
      <c r="AD105">
        <v>1</v>
      </c>
      <c r="AE105" t="s">
        <v>2730</v>
      </c>
      <c r="AF105" t="s">
        <v>128</v>
      </c>
      <c r="AG105" t="s">
        <v>2730</v>
      </c>
      <c r="AH105" t="s">
        <v>2732</v>
      </c>
      <c r="AI105" t="s">
        <v>59</v>
      </c>
      <c r="AJ105" t="s">
        <v>59</v>
      </c>
      <c r="AK105" t="s">
        <v>59</v>
      </c>
      <c r="AL105" t="s">
        <v>59</v>
      </c>
      <c r="AM105" t="s">
        <v>59</v>
      </c>
      <c r="AN105" t="s">
        <v>59</v>
      </c>
      <c r="AO105" t="s">
        <v>59</v>
      </c>
      <c r="AP105" t="s">
        <v>59</v>
      </c>
      <c r="AQ105" t="s">
        <v>59</v>
      </c>
      <c r="AR105" t="s">
        <v>59</v>
      </c>
      <c r="AS105" t="s">
        <v>59</v>
      </c>
      <c r="AT105" t="s">
        <v>59</v>
      </c>
      <c r="AU105" t="s">
        <v>59</v>
      </c>
      <c r="AV105" t="s">
        <v>59</v>
      </c>
      <c r="AW105" t="s">
        <v>59</v>
      </c>
      <c r="AX105" t="s">
        <v>59</v>
      </c>
      <c r="AY105" t="s">
        <v>218</v>
      </c>
      <c r="AZ105" t="s">
        <v>59</v>
      </c>
      <c r="BA105" t="s">
        <v>59</v>
      </c>
      <c r="BB105" t="s">
        <v>59</v>
      </c>
      <c r="BC105" t="s">
        <v>218</v>
      </c>
      <c r="BD105" t="s">
        <v>218</v>
      </c>
      <c r="BE105" t="s">
        <v>218</v>
      </c>
      <c r="BF105" t="s">
        <v>218</v>
      </c>
      <c r="BG105" t="s">
        <v>59</v>
      </c>
      <c r="BH105" t="s">
        <v>218</v>
      </c>
      <c r="BI105" t="s">
        <v>59</v>
      </c>
      <c r="BJ105" t="s">
        <v>59</v>
      </c>
      <c r="BK105" t="s">
        <v>59</v>
      </c>
      <c r="BL105" t="s">
        <v>59</v>
      </c>
      <c r="BM105" t="s">
        <v>59</v>
      </c>
      <c r="BN105" t="s">
        <v>59</v>
      </c>
      <c r="BO105" t="s">
        <v>59</v>
      </c>
      <c r="BP105" t="s">
        <v>59</v>
      </c>
      <c r="BQ105" t="s">
        <v>59</v>
      </c>
      <c r="BR105" t="s">
        <v>59</v>
      </c>
      <c r="BS105" t="s">
        <v>59</v>
      </c>
      <c r="BT105" t="s">
        <v>59</v>
      </c>
      <c r="BU105" t="s">
        <v>59</v>
      </c>
      <c r="BV105" t="s">
        <v>59</v>
      </c>
      <c r="BW105" t="s">
        <v>59</v>
      </c>
      <c r="BX105" t="s">
        <v>59</v>
      </c>
      <c r="BY105" t="s">
        <v>59</v>
      </c>
      <c r="BZ105" t="s">
        <v>59</v>
      </c>
      <c r="CA105" t="s">
        <v>59</v>
      </c>
      <c r="CB105" t="s">
        <v>59</v>
      </c>
      <c r="CC105" t="s">
        <v>59</v>
      </c>
      <c r="CD105" t="s">
        <v>59</v>
      </c>
      <c r="CE105" t="s">
        <v>59</v>
      </c>
      <c r="CF105" t="s">
        <v>59</v>
      </c>
      <c r="CG105" t="s">
        <v>59</v>
      </c>
      <c r="CH105" t="s">
        <v>59</v>
      </c>
      <c r="CI105" t="s">
        <v>59</v>
      </c>
      <c r="CJ105" t="s">
        <v>59</v>
      </c>
      <c r="CK105" t="s">
        <v>59</v>
      </c>
      <c r="CL105" t="s">
        <v>59</v>
      </c>
      <c r="CM105" t="s">
        <v>59</v>
      </c>
      <c r="CN105" t="s">
        <v>59</v>
      </c>
      <c r="CO105" t="s">
        <v>218</v>
      </c>
      <c r="CP105" t="s">
        <v>218</v>
      </c>
      <c r="CQ105" t="s">
        <v>218</v>
      </c>
      <c r="CR105" t="s">
        <v>59</v>
      </c>
      <c r="CS105" t="s">
        <v>59</v>
      </c>
      <c r="CT105" t="s">
        <v>59</v>
      </c>
      <c r="CU105" t="s">
        <v>59</v>
      </c>
      <c r="CV105" t="s">
        <v>59</v>
      </c>
      <c r="CW105" t="s">
        <v>59</v>
      </c>
      <c r="CX105" t="s">
        <v>59</v>
      </c>
      <c r="CY105" t="s">
        <v>59</v>
      </c>
      <c r="CZ105" t="s">
        <v>59</v>
      </c>
      <c r="DA105" t="s">
        <v>59</v>
      </c>
      <c r="DB105" t="s">
        <v>59</v>
      </c>
      <c r="DC105" t="s">
        <v>59</v>
      </c>
      <c r="DD105" t="s">
        <v>59</v>
      </c>
      <c r="DE105" t="s">
        <v>59</v>
      </c>
      <c r="DF105" t="s">
        <v>59</v>
      </c>
      <c r="DG105" t="s">
        <v>59</v>
      </c>
      <c r="DH105" t="s">
        <v>59</v>
      </c>
      <c r="DI105" t="s">
        <v>59</v>
      </c>
      <c r="DJ105" t="s">
        <v>59</v>
      </c>
      <c r="DK105" t="s">
        <v>59</v>
      </c>
      <c r="DL105" t="s">
        <v>59</v>
      </c>
      <c r="DM105" t="s">
        <v>59</v>
      </c>
      <c r="DN105" t="s">
        <v>59</v>
      </c>
      <c r="DO105" t="s">
        <v>59</v>
      </c>
      <c r="DP105" t="s">
        <v>59</v>
      </c>
      <c r="DQ105" t="s">
        <v>59</v>
      </c>
      <c r="DR105" t="s">
        <v>59</v>
      </c>
      <c r="DS105" t="s">
        <v>59</v>
      </c>
      <c r="DT105" t="s">
        <v>59</v>
      </c>
      <c r="DU105" t="s">
        <v>59</v>
      </c>
      <c r="DV105" t="s">
        <v>59</v>
      </c>
      <c r="DW105" t="s">
        <v>59</v>
      </c>
      <c r="DX105" t="s">
        <v>59</v>
      </c>
      <c r="DY105" t="s">
        <v>59</v>
      </c>
      <c r="DZ105" t="s">
        <v>59</v>
      </c>
      <c r="EA105" t="s">
        <v>59</v>
      </c>
      <c r="EB105" t="s">
        <v>59</v>
      </c>
      <c r="EC105" t="s">
        <v>59</v>
      </c>
      <c r="ED105" t="s">
        <v>59</v>
      </c>
      <c r="EE105" t="s">
        <v>59</v>
      </c>
      <c r="EF105" t="s">
        <v>59</v>
      </c>
      <c r="EG105" t="s">
        <v>59</v>
      </c>
      <c r="EH105" t="s">
        <v>59</v>
      </c>
      <c r="EI105" t="s">
        <v>59</v>
      </c>
      <c r="EJ105" t="s">
        <v>59</v>
      </c>
      <c r="EK105" t="s">
        <v>59</v>
      </c>
      <c r="EL105" t="s">
        <v>59</v>
      </c>
      <c r="EM105" t="s">
        <v>59</v>
      </c>
      <c r="EN105" t="s">
        <v>59</v>
      </c>
      <c r="EO105" t="s">
        <v>59</v>
      </c>
      <c r="EP105" t="s">
        <v>59</v>
      </c>
      <c r="EQ105" t="s">
        <v>59</v>
      </c>
      <c r="ER105" t="s">
        <v>59</v>
      </c>
      <c r="ES105" t="s">
        <v>59</v>
      </c>
      <c r="ET105" t="s">
        <v>59</v>
      </c>
      <c r="EU105" t="s">
        <v>59</v>
      </c>
      <c r="EV105" t="s">
        <v>59</v>
      </c>
      <c r="EW105" t="s">
        <v>59</v>
      </c>
      <c r="EX105" t="s">
        <v>59</v>
      </c>
      <c r="EY105" t="s">
        <v>59</v>
      </c>
      <c r="EZ105" t="s">
        <v>59</v>
      </c>
      <c r="FA105" t="s">
        <v>59</v>
      </c>
      <c r="FB105" t="s">
        <v>59</v>
      </c>
      <c r="FC105" t="s">
        <v>59</v>
      </c>
      <c r="FD105" t="s">
        <v>59</v>
      </c>
      <c r="FE105" t="s">
        <v>59</v>
      </c>
      <c r="FF105" t="s">
        <v>59</v>
      </c>
      <c r="FG105" t="s">
        <v>59</v>
      </c>
      <c r="FH105" t="s">
        <v>59</v>
      </c>
      <c r="FI105" t="s">
        <v>59</v>
      </c>
      <c r="FJ105" t="s">
        <v>59</v>
      </c>
      <c r="FK105" t="s">
        <v>59</v>
      </c>
      <c r="FL105" t="s">
        <v>59</v>
      </c>
      <c r="FM105" t="s">
        <v>59</v>
      </c>
      <c r="FN105" t="s">
        <v>59</v>
      </c>
      <c r="FO105" t="s">
        <v>218</v>
      </c>
      <c r="FP105" t="s">
        <v>59</v>
      </c>
      <c r="FQ105" t="s">
        <v>59</v>
      </c>
      <c r="FR105" t="s">
        <v>59</v>
      </c>
      <c r="FS105" t="s">
        <v>218</v>
      </c>
      <c r="FT105" t="s">
        <v>59</v>
      </c>
      <c r="FU105" t="s">
        <v>59</v>
      </c>
      <c r="FV105" t="s">
        <v>59</v>
      </c>
      <c r="FW105" t="s">
        <v>59</v>
      </c>
      <c r="FX105" t="s">
        <v>59</v>
      </c>
      <c r="FY105" t="s">
        <v>59</v>
      </c>
      <c r="FZ105" t="s">
        <v>59</v>
      </c>
      <c r="GA105" t="s">
        <v>59</v>
      </c>
      <c r="GB105" t="s">
        <v>59</v>
      </c>
      <c r="GC105" t="s">
        <v>59</v>
      </c>
      <c r="GD105" t="s">
        <v>59</v>
      </c>
      <c r="GE105" t="s">
        <v>59</v>
      </c>
      <c r="GF105" t="s">
        <v>59</v>
      </c>
      <c r="GG105" t="s">
        <v>59</v>
      </c>
      <c r="GH105" t="s">
        <v>59</v>
      </c>
      <c r="GI105" t="s">
        <v>59</v>
      </c>
      <c r="GJ105" t="s">
        <v>59</v>
      </c>
      <c r="GK105" t="s">
        <v>218</v>
      </c>
      <c r="GL105" t="s">
        <v>59</v>
      </c>
      <c r="GM105" t="s">
        <v>59</v>
      </c>
      <c r="GN105" t="s">
        <v>59</v>
      </c>
      <c r="GO105" t="s">
        <v>59</v>
      </c>
      <c r="GP105" t="s">
        <v>59</v>
      </c>
      <c r="GQ105" t="s">
        <v>59</v>
      </c>
      <c r="GR105" t="s">
        <v>59</v>
      </c>
      <c r="GS105" t="s">
        <v>59</v>
      </c>
      <c r="GT105" t="s">
        <v>218</v>
      </c>
      <c r="GU105" t="s">
        <v>218</v>
      </c>
      <c r="GV105" t="s">
        <v>59</v>
      </c>
      <c r="GW105" t="s">
        <v>59</v>
      </c>
      <c r="GX105" t="s">
        <v>59</v>
      </c>
      <c r="GY105" t="s">
        <v>59</v>
      </c>
      <c r="GZ105" t="s">
        <v>59</v>
      </c>
      <c r="HA105" t="s">
        <v>59</v>
      </c>
      <c r="HB105" t="s">
        <v>59</v>
      </c>
      <c r="HC105" t="s">
        <v>59</v>
      </c>
      <c r="HD105" t="s">
        <v>59</v>
      </c>
      <c r="HE105" t="s">
        <v>59</v>
      </c>
      <c r="HF105" t="s">
        <v>59</v>
      </c>
      <c r="HG105" t="s">
        <v>59</v>
      </c>
      <c r="HH105" t="s">
        <v>59</v>
      </c>
      <c r="HI105" t="s">
        <v>59</v>
      </c>
      <c r="HJ105" t="s">
        <v>59</v>
      </c>
      <c r="HK105" t="s">
        <v>59</v>
      </c>
      <c r="HL105" t="s">
        <v>59</v>
      </c>
      <c r="HM105" t="s">
        <v>59</v>
      </c>
      <c r="HN105" t="s">
        <v>59</v>
      </c>
      <c r="HO105" t="s">
        <v>59</v>
      </c>
      <c r="HP105" t="s">
        <v>59</v>
      </c>
      <c r="HQ105" t="s">
        <v>59</v>
      </c>
      <c r="HR105" t="s">
        <v>59</v>
      </c>
      <c r="HS105" t="s">
        <v>59</v>
      </c>
      <c r="HT105" t="s">
        <v>59</v>
      </c>
      <c r="HU105" t="s">
        <v>59</v>
      </c>
      <c r="HV105" t="s">
        <v>59</v>
      </c>
      <c r="HW105" t="s">
        <v>59</v>
      </c>
      <c r="HX105" t="s">
        <v>59</v>
      </c>
      <c r="HY105" t="s">
        <v>59</v>
      </c>
      <c r="HZ105" t="s">
        <v>59</v>
      </c>
      <c r="IA105" t="s">
        <v>59</v>
      </c>
      <c r="IB105" t="s">
        <v>59</v>
      </c>
      <c r="IC105" t="s">
        <v>59</v>
      </c>
      <c r="ID105" t="s">
        <v>59</v>
      </c>
      <c r="IE105" t="s">
        <v>59</v>
      </c>
      <c r="IF105" t="s">
        <v>59</v>
      </c>
      <c r="IG105" t="s">
        <v>59</v>
      </c>
      <c r="IH105" t="s">
        <v>59</v>
      </c>
      <c r="II105" t="s">
        <v>59</v>
      </c>
      <c r="IJ105" t="s">
        <v>129</v>
      </c>
      <c r="IK105" t="s">
        <v>191</v>
      </c>
      <c r="IL105" t="s">
        <v>128</v>
      </c>
      <c r="IM105" t="s">
        <v>199</v>
      </c>
      <c r="IN105">
        <v>26</v>
      </c>
      <c r="IO105" t="s">
        <v>2730</v>
      </c>
      <c r="IP105" t="s">
        <v>2730</v>
      </c>
      <c r="IQ105" t="s">
        <v>2730</v>
      </c>
      <c r="IR105">
        <v>15</v>
      </c>
      <c r="IS105" t="s">
        <v>2730</v>
      </c>
      <c r="IT105" t="s">
        <v>2730</v>
      </c>
      <c r="IU105" t="s">
        <v>2730</v>
      </c>
      <c r="IV105">
        <v>16</v>
      </c>
      <c r="IW105" t="s">
        <v>2730</v>
      </c>
      <c r="IX105" t="s">
        <v>2730</v>
      </c>
      <c r="IY105" t="s">
        <v>2730</v>
      </c>
      <c r="IZ105">
        <v>59</v>
      </c>
      <c r="JA105" t="s">
        <v>2730</v>
      </c>
      <c r="JB105" t="s">
        <v>2730</v>
      </c>
      <c r="JC105" t="s">
        <v>2730</v>
      </c>
      <c r="JD105">
        <v>23</v>
      </c>
      <c r="JE105" t="s">
        <v>2730</v>
      </c>
      <c r="JF105" t="s">
        <v>2730</v>
      </c>
      <c r="JG105" t="s">
        <v>2730</v>
      </c>
      <c r="JH105">
        <v>28</v>
      </c>
      <c r="JI105" t="s">
        <v>2730</v>
      </c>
      <c r="JJ105" t="s">
        <v>2730</v>
      </c>
      <c r="JK105" t="s">
        <v>2730</v>
      </c>
      <c r="JL105">
        <v>16</v>
      </c>
      <c r="JM105" t="s">
        <v>2730</v>
      </c>
      <c r="JN105" t="s">
        <v>2730</v>
      </c>
      <c r="JO105">
        <v>4</v>
      </c>
      <c r="JP105" t="s">
        <v>2730</v>
      </c>
      <c r="JQ105" t="s">
        <v>2730</v>
      </c>
    </row>
    <row r="106" spans="1:277">
      <c r="A106" s="149" t="str">
        <f>HYPERLINK("http://www.ofsted.gov.uk/inspection-reports/find-inspection-report/provider/ELS/141316 ","Ofsted School Webpage")</f>
        <v>Ofsted School Webpage</v>
      </c>
      <c r="B106">
        <v>1132795</v>
      </c>
      <c r="C106">
        <v>141316</v>
      </c>
      <c r="D106">
        <v>3806010</v>
      </c>
      <c r="E106" t="s">
        <v>338</v>
      </c>
      <c r="F106" t="s">
        <v>37</v>
      </c>
      <c r="G106" t="s">
        <v>209</v>
      </c>
      <c r="H106" t="s">
        <v>245</v>
      </c>
      <c r="I106" t="s">
        <v>246</v>
      </c>
      <c r="J106" t="s">
        <v>339</v>
      </c>
      <c r="K106" t="s">
        <v>340</v>
      </c>
      <c r="L106" t="s">
        <v>184</v>
      </c>
      <c r="M106" t="s">
        <v>185</v>
      </c>
      <c r="N106" t="s">
        <v>223</v>
      </c>
      <c r="O106" t="s">
        <v>2730</v>
      </c>
      <c r="P106" t="s">
        <v>186</v>
      </c>
      <c r="Q106">
        <v>10040147</v>
      </c>
      <c r="R106" s="120">
        <v>42997</v>
      </c>
      <c r="S106" s="120">
        <v>42999</v>
      </c>
      <c r="T106" s="120">
        <v>43024</v>
      </c>
      <c r="U106" t="s">
        <v>2730</v>
      </c>
      <c r="V106" t="s">
        <v>196</v>
      </c>
      <c r="W106" t="s">
        <v>2730</v>
      </c>
      <c r="X106" t="s">
        <v>197</v>
      </c>
      <c r="Y106">
        <v>3</v>
      </c>
      <c r="Z106">
        <v>3</v>
      </c>
      <c r="AA106">
        <v>2</v>
      </c>
      <c r="AB106">
        <v>3</v>
      </c>
      <c r="AC106">
        <v>3</v>
      </c>
      <c r="AD106" t="s">
        <v>2730</v>
      </c>
      <c r="AE106" t="s">
        <v>2730</v>
      </c>
      <c r="AF106" t="s">
        <v>128</v>
      </c>
      <c r="AG106" t="s">
        <v>2730</v>
      </c>
      <c r="AH106" t="s">
        <v>2733</v>
      </c>
      <c r="AI106" t="s">
        <v>59</v>
      </c>
      <c r="AJ106" t="s">
        <v>59</v>
      </c>
      <c r="AK106" t="s">
        <v>59</v>
      </c>
      <c r="AL106" t="s">
        <v>59</v>
      </c>
      <c r="AM106" t="s">
        <v>59</v>
      </c>
      <c r="AN106" t="s">
        <v>59</v>
      </c>
      <c r="AO106" t="s">
        <v>59</v>
      </c>
      <c r="AP106" t="s">
        <v>60</v>
      </c>
      <c r="AQ106" t="s">
        <v>59</v>
      </c>
      <c r="AR106" t="s">
        <v>59</v>
      </c>
      <c r="AS106" t="s">
        <v>59</v>
      </c>
      <c r="AT106" t="s">
        <v>59</v>
      </c>
      <c r="AU106" t="s">
        <v>59</v>
      </c>
      <c r="AV106" t="s">
        <v>60</v>
      </c>
      <c r="AW106" t="s">
        <v>59</v>
      </c>
      <c r="AX106" t="s">
        <v>59</v>
      </c>
      <c r="AY106" t="s">
        <v>218</v>
      </c>
      <c r="AZ106" t="s">
        <v>59</v>
      </c>
      <c r="BA106" t="s">
        <v>59</v>
      </c>
      <c r="BB106" t="s">
        <v>59</v>
      </c>
      <c r="BC106" t="s">
        <v>60</v>
      </c>
      <c r="BD106" t="s">
        <v>60</v>
      </c>
      <c r="BE106" t="s">
        <v>60</v>
      </c>
      <c r="BF106" t="s">
        <v>60</v>
      </c>
      <c r="BG106" t="s">
        <v>218</v>
      </c>
      <c r="BH106" t="s">
        <v>218</v>
      </c>
      <c r="BI106" t="s">
        <v>59</v>
      </c>
      <c r="BJ106" t="s">
        <v>59</v>
      </c>
      <c r="BK106" t="s">
        <v>60</v>
      </c>
      <c r="BL106" t="s">
        <v>60</v>
      </c>
      <c r="BM106" t="s">
        <v>59</v>
      </c>
      <c r="BN106" t="s">
        <v>60</v>
      </c>
      <c r="BO106" t="s">
        <v>60</v>
      </c>
      <c r="BP106" t="s">
        <v>59</v>
      </c>
      <c r="BQ106" t="s">
        <v>59</v>
      </c>
      <c r="BR106" t="s">
        <v>59</v>
      </c>
      <c r="BS106" t="s">
        <v>59</v>
      </c>
      <c r="BT106" t="s">
        <v>59</v>
      </c>
      <c r="BU106" t="s">
        <v>59</v>
      </c>
      <c r="BV106" t="s">
        <v>59</v>
      </c>
      <c r="BW106" t="s">
        <v>59</v>
      </c>
      <c r="BX106" t="s">
        <v>59</v>
      </c>
      <c r="BY106" t="s">
        <v>59</v>
      </c>
      <c r="BZ106" t="s">
        <v>59</v>
      </c>
      <c r="CA106" t="s">
        <v>59</v>
      </c>
      <c r="CB106" t="s">
        <v>59</v>
      </c>
      <c r="CC106" t="s">
        <v>59</v>
      </c>
      <c r="CD106" t="s">
        <v>59</v>
      </c>
      <c r="CE106" t="s">
        <v>59</v>
      </c>
      <c r="CF106" t="s">
        <v>59</v>
      </c>
      <c r="CG106" t="s">
        <v>59</v>
      </c>
      <c r="CH106" t="s">
        <v>59</v>
      </c>
      <c r="CI106" t="s">
        <v>59</v>
      </c>
      <c r="CJ106" t="s">
        <v>59</v>
      </c>
      <c r="CK106" t="s">
        <v>59</v>
      </c>
      <c r="CL106" t="s">
        <v>59</v>
      </c>
      <c r="CM106" t="s">
        <v>59</v>
      </c>
      <c r="CN106" t="s">
        <v>59</v>
      </c>
      <c r="CO106" t="s">
        <v>218</v>
      </c>
      <c r="CP106" t="s">
        <v>218</v>
      </c>
      <c r="CQ106" t="s">
        <v>218</v>
      </c>
      <c r="CR106" t="s">
        <v>59</v>
      </c>
      <c r="CS106" t="s">
        <v>59</v>
      </c>
      <c r="CT106" t="s">
        <v>59</v>
      </c>
      <c r="CU106" t="s">
        <v>59</v>
      </c>
      <c r="CV106" t="s">
        <v>59</v>
      </c>
      <c r="CW106" t="s">
        <v>59</v>
      </c>
      <c r="CX106" t="s">
        <v>59</v>
      </c>
      <c r="CY106" t="s">
        <v>59</v>
      </c>
      <c r="CZ106" t="s">
        <v>59</v>
      </c>
      <c r="DA106" t="s">
        <v>59</v>
      </c>
      <c r="DB106" t="s">
        <v>59</v>
      </c>
      <c r="DC106" t="s">
        <v>59</v>
      </c>
      <c r="DD106" t="s">
        <v>59</v>
      </c>
      <c r="DE106" t="s">
        <v>59</v>
      </c>
      <c r="DF106" t="s">
        <v>59</v>
      </c>
      <c r="DG106" t="s">
        <v>59</v>
      </c>
      <c r="DH106" t="s">
        <v>59</v>
      </c>
      <c r="DI106" t="s">
        <v>59</v>
      </c>
      <c r="DJ106" t="s">
        <v>59</v>
      </c>
      <c r="DK106" t="s">
        <v>59</v>
      </c>
      <c r="DL106" t="s">
        <v>59</v>
      </c>
      <c r="DM106" t="s">
        <v>59</v>
      </c>
      <c r="DN106" t="s">
        <v>59</v>
      </c>
      <c r="DO106" t="s">
        <v>59</v>
      </c>
      <c r="DP106" t="s">
        <v>59</v>
      </c>
      <c r="DQ106" t="s">
        <v>218</v>
      </c>
      <c r="DR106" t="s">
        <v>218</v>
      </c>
      <c r="DS106" t="s">
        <v>218</v>
      </c>
      <c r="DT106" t="s">
        <v>218</v>
      </c>
      <c r="DU106" t="s">
        <v>218</v>
      </c>
      <c r="DV106" t="s">
        <v>218</v>
      </c>
      <c r="DW106" t="s">
        <v>218</v>
      </c>
      <c r="DX106" t="s">
        <v>218</v>
      </c>
      <c r="DY106" t="s">
        <v>218</v>
      </c>
      <c r="DZ106" t="s">
        <v>218</v>
      </c>
      <c r="EA106" t="s">
        <v>218</v>
      </c>
      <c r="EB106" t="s">
        <v>218</v>
      </c>
      <c r="EC106" t="s">
        <v>218</v>
      </c>
      <c r="ED106" t="s">
        <v>218</v>
      </c>
      <c r="EE106" t="s">
        <v>59</v>
      </c>
      <c r="EF106" t="s">
        <v>59</v>
      </c>
      <c r="EG106" t="s">
        <v>59</v>
      </c>
      <c r="EH106" t="s">
        <v>59</v>
      </c>
      <c r="EI106" t="s">
        <v>59</v>
      </c>
      <c r="EJ106" t="s">
        <v>59</v>
      </c>
      <c r="EK106" t="s">
        <v>59</v>
      </c>
      <c r="EL106" t="s">
        <v>59</v>
      </c>
      <c r="EM106" t="s">
        <v>59</v>
      </c>
      <c r="EN106" t="s">
        <v>59</v>
      </c>
      <c r="EO106" t="s">
        <v>59</v>
      </c>
      <c r="EP106" t="s">
        <v>59</v>
      </c>
      <c r="EQ106" t="s">
        <v>59</v>
      </c>
      <c r="ER106" t="s">
        <v>59</v>
      </c>
      <c r="ES106" t="s">
        <v>59</v>
      </c>
      <c r="ET106" t="s">
        <v>59</v>
      </c>
      <c r="EU106" t="s">
        <v>59</v>
      </c>
      <c r="EV106" t="s">
        <v>59</v>
      </c>
      <c r="EW106" t="s">
        <v>59</v>
      </c>
      <c r="EX106" t="s">
        <v>59</v>
      </c>
      <c r="EY106" t="s">
        <v>59</v>
      </c>
      <c r="EZ106" t="s">
        <v>59</v>
      </c>
      <c r="FA106" t="s">
        <v>59</v>
      </c>
      <c r="FB106" t="s">
        <v>218</v>
      </c>
      <c r="FC106" t="s">
        <v>218</v>
      </c>
      <c r="FD106" t="s">
        <v>218</v>
      </c>
      <c r="FE106" t="s">
        <v>218</v>
      </c>
      <c r="FF106" t="s">
        <v>218</v>
      </c>
      <c r="FG106" t="s">
        <v>218</v>
      </c>
      <c r="FH106" t="s">
        <v>59</v>
      </c>
      <c r="FI106" t="s">
        <v>59</v>
      </c>
      <c r="FJ106" t="s">
        <v>59</v>
      </c>
      <c r="FK106" t="s">
        <v>59</v>
      </c>
      <c r="FL106" t="s">
        <v>59</v>
      </c>
      <c r="FM106" t="s">
        <v>59</v>
      </c>
      <c r="FN106" t="s">
        <v>59</v>
      </c>
      <c r="FO106" t="s">
        <v>59</v>
      </c>
      <c r="FP106" t="s">
        <v>59</v>
      </c>
      <c r="FQ106" t="s">
        <v>59</v>
      </c>
      <c r="FR106" t="s">
        <v>59</v>
      </c>
      <c r="FS106" t="s">
        <v>218</v>
      </c>
      <c r="FT106" t="s">
        <v>59</v>
      </c>
      <c r="FU106" t="s">
        <v>59</v>
      </c>
      <c r="FV106" t="s">
        <v>59</v>
      </c>
      <c r="FW106" t="s">
        <v>59</v>
      </c>
      <c r="FX106" t="s">
        <v>59</v>
      </c>
      <c r="FY106" t="s">
        <v>59</v>
      </c>
      <c r="FZ106" t="s">
        <v>59</v>
      </c>
      <c r="GA106" t="s">
        <v>59</v>
      </c>
      <c r="GB106" t="s">
        <v>59</v>
      </c>
      <c r="GC106" t="s">
        <v>59</v>
      </c>
      <c r="GD106" t="s">
        <v>59</v>
      </c>
      <c r="GE106" t="s">
        <v>59</v>
      </c>
      <c r="GF106" t="s">
        <v>59</v>
      </c>
      <c r="GG106" t="s">
        <v>59</v>
      </c>
      <c r="GH106" t="s">
        <v>59</v>
      </c>
      <c r="GI106" t="s">
        <v>59</v>
      </c>
      <c r="GJ106" t="s">
        <v>59</v>
      </c>
      <c r="GK106" t="s">
        <v>218</v>
      </c>
      <c r="GL106" t="s">
        <v>59</v>
      </c>
      <c r="GM106" t="s">
        <v>59</v>
      </c>
      <c r="GN106" t="s">
        <v>59</v>
      </c>
      <c r="GO106" t="s">
        <v>59</v>
      </c>
      <c r="GP106" t="s">
        <v>59</v>
      </c>
      <c r="GQ106" t="s">
        <v>218</v>
      </c>
      <c r="GR106" t="s">
        <v>59</v>
      </c>
      <c r="GS106" t="s">
        <v>59</v>
      </c>
      <c r="GT106" t="s">
        <v>218</v>
      </c>
      <c r="GU106" t="s">
        <v>218</v>
      </c>
      <c r="GV106" t="s">
        <v>59</v>
      </c>
      <c r="GW106" t="s">
        <v>59</v>
      </c>
      <c r="GX106" t="s">
        <v>59</v>
      </c>
      <c r="GY106" t="s">
        <v>59</v>
      </c>
      <c r="GZ106" t="s">
        <v>59</v>
      </c>
      <c r="HA106" t="s">
        <v>59</v>
      </c>
      <c r="HB106" t="s">
        <v>218</v>
      </c>
      <c r="HC106" t="s">
        <v>59</v>
      </c>
      <c r="HD106" t="s">
        <v>59</v>
      </c>
      <c r="HE106" t="s">
        <v>59</v>
      </c>
      <c r="HF106" t="s">
        <v>218</v>
      </c>
      <c r="HG106" t="s">
        <v>59</v>
      </c>
      <c r="HH106" t="s">
        <v>59</v>
      </c>
      <c r="HI106" t="s">
        <v>59</v>
      </c>
      <c r="HJ106" t="s">
        <v>59</v>
      </c>
      <c r="HK106" t="s">
        <v>59</v>
      </c>
      <c r="HL106" t="s">
        <v>59</v>
      </c>
      <c r="HM106" t="s">
        <v>59</v>
      </c>
      <c r="HN106" t="s">
        <v>59</v>
      </c>
      <c r="HO106" t="s">
        <v>59</v>
      </c>
      <c r="HP106" t="s">
        <v>59</v>
      </c>
      <c r="HQ106" t="s">
        <v>59</v>
      </c>
      <c r="HR106" t="s">
        <v>59</v>
      </c>
      <c r="HS106" t="s">
        <v>59</v>
      </c>
      <c r="HT106" t="s">
        <v>59</v>
      </c>
      <c r="HU106" t="s">
        <v>59</v>
      </c>
      <c r="HV106" t="s">
        <v>59</v>
      </c>
      <c r="HW106" t="s">
        <v>59</v>
      </c>
      <c r="HX106" t="s">
        <v>59</v>
      </c>
      <c r="HY106" t="s">
        <v>59</v>
      </c>
      <c r="HZ106" t="s">
        <v>59</v>
      </c>
      <c r="IA106" t="s">
        <v>59</v>
      </c>
      <c r="IB106" t="s">
        <v>59</v>
      </c>
      <c r="IC106" t="s">
        <v>59</v>
      </c>
      <c r="ID106" t="s">
        <v>59</v>
      </c>
      <c r="IE106" t="s">
        <v>59</v>
      </c>
      <c r="IF106" t="s">
        <v>60</v>
      </c>
      <c r="IG106" t="s">
        <v>60</v>
      </c>
      <c r="IH106" t="s">
        <v>60</v>
      </c>
      <c r="II106" t="s">
        <v>59</v>
      </c>
      <c r="IJ106" t="s">
        <v>129</v>
      </c>
      <c r="IK106" t="s">
        <v>191</v>
      </c>
      <c r="IL106" t="s">
        <v>128</v>
      </c>
      <c r="IM106" t="s">
        <v>199</v>
      </c>
      <c r="IN106">
        <v>20</v>
      </c>
      <c r="IO106" t="s">
        <v>2730</v>
      </c>
      <c r="IP106" t="s">
        <v>2730</v>
      </c>
      <c r="IQ106">
        <v>9</v>
      </c>
      <c r="IR106">
        <v>15</v>
      </c>
      <c r="IS106" t="s">
        <v>2730</v>
      </c>
      <c r="IT106" t="s">
        <v>2730</v>
      </c>
      <c r="IU106" t="s">
        <v>2730</v>
      </c>
      <c r="IV106">
        <v>16</v>
      </c>
      <c r="IW106" t="s">
        <v>2730</v>
      </c>
      <c r="IX106" t="s">
        <v>2730</v>
      </c>
      <c r="IY106" t="s">
        <v>2730</v>
      </c>
      <c r="IZ106">
        <v>39</v>
      </c>
      <c r="JA106" t="s">
        <v>2730</v>
      </c>
      <c r="JB106" t="s">
        <v>2730</v>
      </c>
      <c r="JC106" t="s">
        <v>2730</v>
      </c>
      <c r="JD106">
        <v>24</v>
      </c>
      <c r="JE106" t="s">
        <v>2730</v>
      </c>
      <c r="JF106" t="s">
        <v>2730</v>
      </c>
      <c r="JG106" t="s">
        <v>2730</v>
      </c>
      <c r="JH106">
        <v>25</v>
      </c>
      <c r="JI106" t="s">
        <v>2730</v>
      </c>
      <c r="JJ106" t="s">
        <v>2730</v>
      </c>
      <c r="JK106" t="s">
        <v>2730</v>
      </c>
      <c r="JL106">
        <v>16</v>
      </c>
      <c r="JM106" t="s">
        <v>2730</v>
      </c>
      <c r="JN106" t="s">
        <v>2730</v>
      </c>
      <c r="JO106">
        <v>1</v>
      </c>
      <c r="JP106" t="s">
        <v>2730</v>
      </c>
      <c r="JQ106">
        <v>3</v>
      </c>
    </row>
    <row r="107" spans="1:277">
      <c r="A107" s="149" t="str">
        <f>HYPERLINK("http://www.ofsted.gov.uk/inspection-reports/find-inspection-report/provider/ELS/109774 ","Ofsted School Webpage")</f>
        <v>Ofsted School Webpage</v>
      </c>
      <c r="B107">
        <v>1133476</v>
      </c>
      <c r="C107">
        <v>109774</v>
      </c>
      <c r="D107">
        <v>3156588</v>
      </c>
      <c r="E107" t="s">
        <v>235</v>
      </c>
      <c r="F107" t="s">
        <v>37</v>
      </c>
      <c r="G107" t="s">
        <v>209</v>
      </c>
      <c r="H107" t="s">
        <v>232</v>
      </c>
      <c r="I107" t="s">
        <v>232</v>
      </c>
      <c r="J107" t="s">
        <v>236</v>
      </c>
      <c r="K107" t="s">
        <v>237</v>
      </c>
      <c r="L107" t="s">
        <v>184</v>
      </c>
      <c r="M107" t="s">
        <v>185</v>
      </c>
      <c r="N107" t="s">
        <v>304</v>
      </c>
      <c r="O107" t="s">
        <v>2730</v>
      </c>
      <c r="P107" t="s">
        <v>186</v>
      </c>
      <c r="Q107">
        <v>10034417</v>
      </c>
      <c r="R107" s="120">
        <v>42990</v>
      </c>
      <c r="S107" s="120">
        <v>42992</v>
      </c>
      <c r="T107" s="120">
        <v>43045</v>
      </c>
      <c r="U107" t="s">
        <v>2730</v>
      </c>
      <c r="V107" t="s">
        <v>196</v>
      </c>
      <c r="W107" t="s">
        <v>2730</v>
      </c>
      <c r="X107" t="s">
        <v>197</v>
      </c>
      <c r="Y107">
        <v>4</v>
      </c>
      <c r="Z107">
        <v>4</v>
      </c>
      <c r="AA107">
        <v>3</v>
      </c>
      <c r="AB107">
        <v>4</v>
      </c>
      <c r="AC107">
        <v>4</v>
      </c>
      <c r="AD107">
        <v>3</v>
      </c>
      <c r="AE107" t="s">
        <v>2730</v>
      </c>
      <c r="AF107" t="s">
        <v>128</v>
      </c>
      <c r="AG107" t="s">
        <v>2730</v>
      </c>
      <c r="AH107" t="s">
        <v>2733</v>
      </c>
      <c r="AI107" t="s">
        <v>60</v>
      </c>
      <c r="AJ107" t="s">
        <v>59</v>
      </c>
      <c r="AK107" t="s">
        <v>59</v>
      </c>
      <c r="AL107" t="s">
        <v>59</v>
      </c>
      <c r="AM107" t="s">
        <v>59</v>
      </c>
      <c r="AN107" t="s">
        <v>59</v>
      </c>
      <c r="AO107" t="s">
        <v>59</v>
      </c>
      <c r="AP107" t="s">
        <v>60</v>
      </c>
      <c r="AQ107" t="s">
        <v>60</v>
      </c>
      <c r="AR107" t="s">
        <v>59</v>
      </c>
      <c r="AS107" t="s">
        <v>60</v>
      </c>
      <c r="AT107" t="s">
        <v>60</v>
      </c>
      <c r="AU107" t="s">
        <v>59</v>
      </c>
      <c r="AV107" t="s">
        <v>59</v>
      </c>
      <c r="AW107" t="s">
        <v>59</v>
      </c>
      <c r="AX107" t="s">
        <v>59</v>
      </c>
      <c r="AY107" t="s">
        <v>191</v>
      </c>
      <c r="AZ107" t="s">
        <v>59</v>
      </c>
      <c r="BA107" t="s">
        <v>59</v>
      </c>
      <c r="BB107" t="s">
        <v>59</v>
      </c>
      <c r="BC107" t="s">
        <v>191</v>
      </c>
      <c r="BD107" t="s">
        <v>191</v>
      </c>
      <c r="BE107" t="s">
        <v>191</v>
      </c>
      <c r="BF107" t="s">
        <v>191</v>
      </c>
      <c r="BG107" t="s">
        <v>59</v>
      </c>
      <c r="BH107" t="s">
        <v>191</v>
      </c>
      <c r="BI107" t="s">
        <v>59</v>
      </c>
      <c r="BJ107" t="s">
        <v>59</v>
      </c>
      <c r="BK107" t="s">
        <v>60</v>
      </c>
      <c r="BL107" t="s">
        <v>60</v>
      </c>
      <c r="BM107" t="s">
        <v>59</v>
      </c>
      <c r="BN107" t="s">
        <v>60</v>
      </c>
      <c r="BO107" t="s">
        <v>60</v>
      </c>
      <c r="BP107" t="s">
        <v>59</v>
      </c>
      <c r="BQ107" t="s">
        <v>60</v>
      </c>
      <c r="BR107" t="s">
        <v>60</v>
      </c>
      <c r="BS107" t="s">
        <v>59</v>
      </c>
      <c r="BT107" t="s">
        <v>59</v>
      </c>
      <c r="BU107" t="s">
        <v>59</v>
      </c>
      <c r="BV107" t="s">
        <v>59</v>
      </c>
      <c r="BW107" t="s">
        <v>59</v>
      </c>
      <c r="BX107" t="s">
        <v>59</v>
      </c>
      <c r="BY107" t="s">
        <v>59</v>
      </c>
      <c r="BZ107" t="s">
        <v>59</v>
      </c>
      <c r="CA107" t="s">
        <v>59</v>
      </c>
      <c r="CB107" t="s">
        <v>59</v>
      </c>
      <c r="CC107" t="s">
        <v>59</v>
      </c>
      <c r="CD107" t="s">
        <v>59</v>
      </c>
      <c r="CE107" t="s">
        <v>59</v>
      </c>
      <c r="CF107" t="s">
        <v>59</v>
      </c>
      <c r="CG107" t="s">
        <v>59</v>
      </c>
      <c r="CH107" t="s">
        <v>59</v>
      </c>
      <c r="CI107" t="s">
        <v>203</v>
      </c>
      <c r="CJ107" t="s">
        <v>59</v>
      </c>
      <c r="CK107" t="s">
        <v>59</v>
      </c>
      <c r="CL107" t="s">
        <v>59</v>
      </c>
      <c r="CM107" t="s">
        <v>59</v>
      </c>
      <c r="CN107" t="s">
        <v>59</v>
      </c>
      <c r="CO107" t="s">
        <v>191</v>
      </c>
      <c r="CP107" t="s">
        <v>191</v>
      </c>
      <c r="CQ107" t="s">
        <v>191</v>
      </c>
      <c r="CR107" t="s">
        <v>59</v>
      </c>
      <c r="CS107" t="s">
        <v>59</v>
      </c>
      <c r="CT107" t="s">
        <v>59</v>
      </c>
      <c r="CU107" t="s">
        <v>59</v>
      </c>
      <c r="CV107" t="s">
        <v>59</v>
      </c>
      <c r="CW107" t="s">
        <v>59</v>
      </c>
      <c r="CX107" t="s">
        <v>59</v>
      </c>
      <c r="CY107" t="s">
        <v>59</v>
      </c>
      <c r="CZ107" t="s">
        <v>59</v>
      </c>
      <c r="DA107" t="s">
        <v>59</v>
      </c>
      <c r="DB107" t="s">
        <v>59</v>
      </c>
      <c r="DC107" t="s">
        <v>59</v>
      </c>
      <c r="DD107" t="s">
        <v>59</v>
      </c>
      <c r="DE107" t="s">
        <v>59</v>
      </c>
      <c r="DF107" t="s">
        <v>59</v>
      </c>
      <c r="DG107" t="s">
        <v>59</v>
      </c>
      <c r="DH107" t="s">
        <v>59</v>
      </c>
      <c r="DI107" t="s">
        <v>59</v>
      </c>
      <c r="DJ107" t="s">
        <v>59</v>
      </c>
      <c r="DK107" t="s">
        <v>59</v>
      </c>
      <c r="DL107" t="s">
        <v>59</v>
      </c>
      <c r="DM107" t="s">
        <v>59</v>
      </c>
      <c r="DN107" t="s">
        <v>59</v>
      </c>
      <c r="DO107" t="s">
        <v>191</v>
      </c>
      <c r="DP107" t="s">
        <v>59</v>
      </c>
      <c r="DQ107" t="s">
        <v>59</v>
      </c>
      <c r="DR107" t="s">
        <v>59</v>
      </c>
      <c r="DS107" t="s">
        <v>59</v>
      </c>
      <c r="DT107" t="s">
        <v>59</v>
      </c>
      <c r="DU107" t="s">
        <v>59</v>
      </c>
      <c r="DV107" t="s">
        <v>59</v>
      </c>
      <c r="DW107" t="s">
        <v>59</v>
      </c>
      <c r="DX107" t="s">
        <v>59</v>
      </c>
      <c r="DY107" t="s">
        <v>59</v>
      </c>
      <c r="DZ107" t="s">
        <v>59</v>
      </c>
      <c r="EA107" t="s">
        <v>59</v>
      </c>
      <c r="EB107" t="s">
        <v>59</v>
      </c>
      <c r="EC107" t="s">
        <v>191</v>
      </c>
      <c r="ED107" t="s">
        <v>59</v>
      </c>
      <c r="EE107" t="s">
        <v>59</v>
      </c>
      <c r="EF107" t="s">
        <v>59</v>
      </c>
      <c r="EG107" t="s">
        <v>59</v>
      </c>
      <c r="EH107" t="s">
        <v>59</v>
      </c>
      <c r="EI107" t="s">
        <v>59</v>
      </c>
      <c r="EJ107" t="s">
        <v>59</v>
      </c>
      <c r="EK107" t="s">
        <v>59</v>
      </c>
      <c r="EL107" t="s">
        <v>59</v>
      </c>
      <c r="EM107" t="s">
        <v>59</v>
      </c>
      <c r="EN107" t="s">
        <v>59</v>
      </c>
      <c r="EO107" t="s">
        <v>59</v>
      </c>
      <c r="EP107" t="s">
        <v>59</v>
      </c>
      <c r="EQ107" t="s">
        <v>59</v>
      </c>
      <c r="ER107" t="s">
        <v>59</v>
      </c>
      <c r="ES107" t="s">
        <v>59</v>
      </c>
      <c r="ET107" t="s">
        <v>59</v>
      </c>
      <c r="EU107" t="s">
        <v>59</v>
      </c>
      <c r="EV107" t="s">
        <v>59</v>
      </c>
      <c r="EW107" t="s">
        <v>59</v>
      </c>
      <c r="EX107" t="s">
        <v>59</v>
      </c>
      <c r="EY107" t="s">
        <v>59</v>
      </c>
      <c r="EZ107" t="s">
        <v>59</v>
      </c>
      <c r="FA107" t="s">
        <v>59</v>
      </c>
      <c r="FB107" t="s">
        <v>59</v>
      </c>
      <c r="FC107" t="s">
        <v>59</v>
      </c>
      <c r="FD107" t="s">
        <v>59</v>
      </c>
      <c r="FE107" t="s">
        <v>59</v>
      </c>
      <c r="FF107" t="s">
        <v>59</v>
      </c>
      <c r="FG107" t="s">
        <v>59</v>
      </c>
      <c r="FH107" t="s">
        <v>59</v>
      </c>
      <c r="FI107" t="s">
        <v>59</v>
      </c>
      <c r="FJ107" t="s">
        <v>59</v>
      </c>
      <c r="FK107" t="s">
        <v>59</v>
      </c>
      <c r="FL107" t="s">
        <v>59</v>
      </c>
      <c r="FM107" t="s">
        <v>59</v>
      </c>
      <c r="FN107" t="s">
        <v>59</v>
      </c>
      <c r="FO107" t="s">
        <v>191</v>
      </c>
      <c r="FP107" t="s">
        <v>59</v>
      </c>
      <c r="FQ107" t="s">
        <v>59</v>
      </c>
      <c r="FR107" t="s">
        <v>59</v>
      </c>
      <c r="FS107" t="s">
        <v>59</v>
      </c>
      <c r="FT107" t="s">
        <v>59</v>
      </c>
      <c r="FU107" t="s">
        <v>59</v>
      </c>
      <c r="FV107" t="s">
        <v>59</v>
      </c>
      <c r="FW107" t="s">
        <v>59</v>
      </c>
      <c r="FX107" t="s">
        <v>59</v>
      </c>
      <c r="FY107" t="s">
        <v>59</v>
      </c>
      <c r="FZ107" t="s">
        <v>59</v>
      </c>
      <c r="GA107" t="s">
        <v>59</v>
      </c>
      <c r="GB107" t="s">
        <v>59</v>
      </c>
      <c r="GC107" t="s">
        <v>59</v>
      </c>
      <c r="GD107" t="s">
        <v>59</v>
      </c>
      <c r="GE107" t="s">
        <v>59</v>
      </c>
      <c r="GF107" t="s">
        <v>59</v>
      </c>
      <c r="GG107" t="s">
        <v>59</v>
      </c>
      <c r="GH107" t="s">
        <v>59</v>
      </c>
      <c r="GI107" t="s">
        <v>59</v>
      </c>
      <c r="GJ107" t="s">
        <v>59</v>
      </c>
      <c r="GK107" t="s">
        <v>191</v>
      </c>
      <c r="GL107" t="s">
        <v>59</v>
      </c>
      <c r="GM107" t="s">
        <v>59</v>
      </c>
      <c r="GN107" t="s">
        <v>59</v>
      </c>
      <c r="GO107" t="s">
        <v>59</v>
      </c>
      <c r="GP107" t="s">
        <v>59</v>
      </c>
      <c r="GQ107" t="s">
        <v>191</v>
      </c>
      <c r="GR107" t="s">
        <v>59</v>
      </c>
      <c r="GS107" t="s">
        <v>59</v>
      </c>
      <c r="GT107" t="s">
        <v>191</v>
      </c>
      <c r="GU107" t="s">
        <v>191</v>
      </c>
      <c r="GV107" t="s">
        <v>59</v>
      </c>
      <c r="GW107" t="s">
        <v>59</v>
      </c>
      <c r="GX107" t="s">
        <v>59</v>
      </c>
      <c r="GY107" t="s">
        <v>203</v>
      </c>
      <c r="GZ107" t="s">
        <v>59</v>
      </c>
      <c r="HA107" t="s">
        <v>59</v>
      </c>
      <c r="HB107" t="s">
        <v>59</v>
      </c>
      <c r="HC107" t="s">
        <v>59</v>
      </c>
      <c r="HD107" t="s">
        <v>59</v>
      </c>
      <c r="HE107" t="s">
        <v>59</v>
      </c>
      <c r="HF107" t="s">
        <v>59</v>
      </c>
      <c r="HG107" t="s">
        <v>59</v>
      </c>
      <c r="HH107" t="s">
        <v>59</v>
      </c>
      <c r="HI107" t="s">
        <v>59</v>
      </c>
      <c r="HJ107" t="s">
        <v>59</v>
      </c>
      <c r="HK107" t="s">
        <v>59</v>
      </c>
      <c r="HL107" t="s">
        <v>59</v>
      </c>
      <c r="HM107" t="s">
        <v>59</v>
      </c>
      <c r="HN107" t="s">
        <v>59</v>
      </c>
      <c r="HO107" t="s">
        <v>59</v>
      </c>
      <c r="HP107" t="s">
        <v>59</v>
      </c>
      <c r="HQ107" t="s">
        <v>59</v>
      </c>
      <c r="HR107" t="s">
        <v>59</v>
      </c>
      <c r="HS107" t="s">
        <v>59</v>
      </c>
      <c r="HT107" t="s">
        <v>59</v>
      </c>
      <c r="HU107" t="s">
        <v>59</v>
      </c>
      <c r="HV107" t="s">
        <v>59</v>
      </c>
      <c r="HW107" t="s">
        <v>59</v>
      </c>
      <c r="HX107" t="s">
        <v>59</v>
      </c>
      <c r="HY107" t="s">
        <v>59</v>
      </c>
      <c r="HZ107" t="s">
        <v>59</v>
      </c>
      <c r="IA107" t="s">
        <v>59</v>
      </c>
      <c r="IB107" t="s">
        <v>59</v>
      </c>
      <c r="IC107" t="s">
        <v>59</v>
      </c>
      <c r="ID107" t="s">
        <v>59</v>
      </c>
      <c r="IE107" t="s">
        <v>59</v>
      </c>
      <c r="IF107" t="s">
        <v>60</v>
      </c>
      <c r="IG107" t="s">
        <v>60</v>
      </c>
      <c r="IH107" t="s">
        <v>60</v>
      </c>
      <c r="II107" t="s">
        <v>59</v>
      </c>
      <c r="IJ107" t="s">
        <v>129</v>
      </c>
      <c r="IK107" t="s">
        <v>198</v>
      </c>
      <c r="IL107" t="s">
        <v>128</v>
      </c>
      <c r="IM107" t="s">
        <v>199</v>
      </c>
      <c r="IN107">
        <v>17</v>
      </c>
      <c r="IO107" t="s">
        <v>2730</v>
      </c>
      <c r="IP107">
        <v>6</v>
      </c>
      <c r="IQ107">
        <v>9</v>
      </c>
      <c r="IR107">
        <v>14</v>
      </c>
      <c r="IS107">
        <v>1</v>
      </c>
      <c r="IT107" t="s">
        <v>2730</v>
      </c>
      <c r="IU107" t="s">
        <v>2730</v>
      </c>
      <c r="IV107">
        <v>16</v>
      </c>
      <c r="IW107" t="s">
        <v>2730</v>
      </c>
      <c r="IX107">
        <v>3</v>
      </c>
      <c r="IY107" t="s">
        <v>2730</v>
      </c>
      <c r="IZ107">
        <v>57</v>
      </c>
      <c r="JA107" t="s">
        <v>2730</v>
      </c>
      <c r="JB107">
        <v>2</v>
      </c>
      <c r="JC107" t="s">
        <v>2730</v>
      </c>
      <c r="JD107">
        <v>24</v>
      </c>
      <c r="JE107" t="s">
        <v>2730</v>
      </c>
      <c r="JF107">
        <v>2</v>
      </c>
      <c r="JG107" t="s">
        <v>2730</v>
      </c>
      <c r="JH107">
        <v>26</v>
      </c>
      <c r="JI107">
        <v>1</v>
      </c>
      <c r="JJ107">
        <v>3</v>
      </c>
      <c r="JK107" t="s">
        <v>2730</v>
      </c>
      <c r="JL107">
        <v>16</v>
      </c>
      <c r="JM107" t="s">
        <v>2730</v>
      </c>
      <c r="JN107" t="s">
        <v>2730</v>
      </c>
      <c r="JO107">
        <v>1</v>
      </c>
      <c r="JP107" t="s">
        <v>2730</v>
      </c>
      <c r="JQ107">
        <v>3</v>
      </c>
    </row>
    <row r="108" spans="1:277">
      <c r="A108" s="149" t="str">
        <f>HYPERLINK("http://www.ofsted.gov.uk/inspection-reports/find-inspection-report/provider/ELS/101964 ","Ofsted School Webpage")</f>
        <v>Ofsted School Webpage</v>
      </c>
      <c r="B108">
        <v>1135802</v>
      </c>
      <c r="C108">
        <v>101964</v>
      </c>
      <c r="D108">
        <v>3136003</v>
      </c>
      <c r="E108" t="s">
        <v>2220</v>
      </c>
      <c r="F108" t="s">
        <v>37</v>
      </c>
      <c r="G108" t="s">
        <v>209</v>
      </c>
      <c r="H108" t="s">
        <v>232</v>
      </c>
      <c r="I108" t="s">
        <v>232</v>
      </c>
      <c r="J108" t="s">
        <v>269</v>
      </c>
      <c r="K108" t="s">
        <v>2221</v>
      </c>
      <c r="L108" t="s">
        <v>184</v>
      </c>
      <c r="M108" t="s">
        <v>185</v>
      </c>
      <c r="N108" t="s">
        <v>691</v>
      </c>
      <c r="O108" t="s">
        <v>2730</v>
      </c>
      <c r="P108" t="s">
        <v>186</v>
      </c>
      <c r="Q108">
        <v>10026278</v>
      </c>
      <c r="R108" s="120">
        <v>43053</v>
      </c>
      <c r="S108" s="120">
        <v>43055</v>
      </c>
      <c r="T108" s="120">
        <v>43077</v>
      </c>
      <c r="U108" t="s">
        <v>2730</v>
      </c>
      <c r="V108" t="s">
        <v>196</v>
      </c>
      <c r="W108" t="s">
        <v>2730</v>
      </c>
      <c r="X108" t="s">
        <v>197</v>
      </c>
      <c r="Y108">
        <v>3</v>
      </c>
      <c r="Z108">
        <v>3</v>
      </c>
      <c r="AA108">
        <v>3</v>
      </c>
      <c r="AB108">
        <v>3</v>
      </c>
      <c r="AC108">
        <v>3</v>
      </c>
      <c r="AD108">
        <v>3</v>
      </c>
      <c r="AE108" t="s">
        <v>2730</v>
      </c>
      <c r="AF108" t="s">
        <v>128</v>
      </c>
      <c r="AG108" t="s">
        <v>2730</v>
      </c>
      <c r="AH108" t="s">
        <v>2732</v>
      </c>
      <c r="AI108" t="s">
        <v>59</v>
      </c>
      <c r="AJ108" t="s">
        <v>59</v>
      </c>
      <c r="AK108" t="s">
        <v>59</v>
      </c>
      <c r="AL108" t="s">
        <v>59</v>
      </c>
      <c r="AM108" t="s">
        <v>59</v>
      </c>
      <c r="AN108" t="s">
        <v>59</v>
      </c>
      <c r="AO108" t="s">
        <v>59</v>
      </c>
      <c r="AP108" t="s">
        <v>59</v>
      </c>
      <c r="AQ108" t="s">
        <v>59</v>
      </c>
      <c r="AR108" t="s">
        <v>59</v>
      </c>
      <c r="AS108" t="s">
        <v>59</v>
      </c>
      <c r="AT108" t="s">
        <v>59</v>
      </c>
      <c r="AU108" t="s">
        <v>59</v>
      </c>
      <c r="AV108" t="s">
        <v>59</v>
      </c>
      <c r="AW108" t="s">
        <v>59</v>
      </c>
      <c r="AX108" t="s">
        <v>59</v>
      </c>
      <c r="AY108" t="s">
        <v>218</v>
      </c>
      <c r="AZ108" t="s">
        <v>59</v>
      </c>
      <c r="BA108" t="s">
        <v>59</v>
      </c>
      <c r="BB108" t="s">
        <v>59</v>
      </c>
      <c r="BC108" t="s">
        <v>59</v>
      </c>
      <c r="BD108" t="s">
        <v>59</v>
      </c>
      <c r="BE108" t="s">
        <v>59</v>
      </c>
      <c r="BF108" t="s">
        <v>59</v>
      </c>
      <c r="BG108" t="s">
        <v>59</v>
      </c>
      <c r="BH108" t="s">
        <v>218</v>
      </c>
      <c r="BI108" t="s">
        <v>59</v>
      </c>
      <c r="BJ108" t="s">
        <v>59</v>
      </c>
      <c r="BK108" t="s">
        <v>59</v>
      </c>
      <c r="BL108" t="s">
        <v>59</v>
      </c>
      <c r="BM108" t="s">
        <v>59</v>
      </c>
      <c r="BN108" t="s">
        <v>59</v>
      </c>
      <c r="BO108" t="s">
        <v>59</v>
      </c>
      <c r="BP108" t="s">
        <v>59</v>
      </c>
      <c r="BQ108" t="s">
        <v>59</v>
      </c>
      <c r="BR108" t="s">
        <v>59</v>
      </c>
      <c r="BS108" t="s">
        <v>59</v>
      </c>
      <c r="BT108" t="s">
        <v>59</v>
      </c>
      <c r="BU108" t="s">
        <v>59</v>
      </c>
      <c r="BV108" t="s">
        <v>59</v>
      </c>
      <c r="BW108" t="s">
        <v>59</v>
      </c>
      <c r="BX108" t="s">
        <v>59</v>
      </c>
      <c r="BY108" t="s">
        <v>59</v>
      </c>
      <c r="BZ108" t="s">
        <v>59</v>
      </c>
      <c r="CA108" t="s">
        <v>59</v>
      </c>
      <c r="CB108" t="s">
        <v>59</v>
      </c>
      <c r="CC108" t="s">
        <v>59</v>
      </c>
      <c r="CD108" t="s">
        <v>59</v>
      </c>
      <c r="CE108" t="s">
        <v>59</v>
      </c>
      <c r="CF108" t="s">
        <v>59</v>
      </c>
      <c r="CG108" t="s">
        <v>59</v>
      </c>
      <c r="CH108" t="s">
        <v>59</v>
      </c>
      <c r="CI108" t="s">
        <v>59</v>
      </c>
      <c r="CJ108" t="s">
        <v>59</v>
      </c>
      <c r="CK108" t="s">
        <v>59</v>
      </c>
      <c r="CL108" t="s">
        <v>59</v>
      </c>
      <c r="CM108" t="s">
        <v>59</v>
      </c>
      <c r="CN108" t="s">
        <v>59</v>
      </c>
      <c r="CO108" t="s">
        <v>218</v>
      </c>
      <c r="CP108" t="s">
        <v>218</v>
      </c>
      <c r="CQ108" t="s">
        <v>218</v>
      </c>
      <c r="CR108" t="s">
        <v>59</v>
      </c>
      <c r="CS108" t="s">
        <v>59</v>
      </c>
      <c r="CT108" t="s">
        <v>59</v>
      </c>
      <c r="CU108" t="s">
        <v>59</v>
      </c>
      <c r="CV108" t="s">
        <v>59</v>
      </c>
      <c r="CW108" t="s">
        <v>59</v>
      </c>
      <c r="CX108" t="s">
        <v>59</v>
      </c>
      <c r="CY108" t="s">
        <v>59</v>
      </c>
      <c r="CZ108" t="s">
        <v>59</v>
      </c>
      <c r="DA108" t="s">
        <v>59</v>
      </c>
      <c r="DB108" t="s">
        <v>59</v>
      </c>
      <c r="DC108" t="s">
        <v>59</v>
      </c>
      <c r="DD108" t="s">
        <v>59</v>
      </c>
      <c r="DE108" t="s">
        <v>59</v>
      </c>
      <c r="DF108" t="s">
        <v>59</v>
      </c>
      <c r="DG108" t="s">
        <v>59</v>
      </c>
      <c r="DH108" t="s">
        <v>59</v>
      </c>
      <c r="DI108" t="s">
        <v>59</v>
      </c>
      <c r="DJ108" t="s">
        <v>59</v>
      </c>
      <c r="DK108" t="s">
        <v>59</v>
      </c>
      <c r="DL108" t="s">
        <v>59</v>
      </c>
      <c r="DM108" t="s">
        <v>59</v>
      </c>
      <c r="DN108" t="s">
        <v>59</v>
      </c>
      <c r="DO108" t="s">
        <v>218</v>
      </c>
      <c r="DP108" t="s">
        <v>59</v>
      </c>
      <c r="DQ108" t="s">
        <v>59</v>
      </c>
      <c r="DR108" t="s">
        <v>59</v>
      </c>
      <c r="DS108" t="s">
        <v>59</v>
      </c>
      <c r="DT108" t="s">
        <v>59</v>
      </c>
      <c r="DU108" t="s">
        <v>59</v>
      </c>
      <c r="DV108" t="s">
        <v>59</v>
      </c>
      <c r="DW108" t="s">
        <v>59</v>
      </c>
      <c r="DX108" t="s">
        <v>59</v>
      </c>
      <c r="DY108" t="s">
        <v>59</v>
      </c>
      <c r="DZ108" t="s">
        <v>59</v>
      </c>
      <c r="EA108" t="s">
        <v>59</v>
      </c>
      <c r="EB108" t="s">
        <v>59</v>
      </c>
      <c r="EC108" t="s">
        <v>218</v>
      </c>
      <c r="ED108" t="s">
        <v>59</v>
      </c>
      <c r="EE108" t="s">
        <v>59</v>
      </c>
      <c r="EF108" t="s">
        <v>59</v>
      </c>
      <c r="EG108" t="s">
        <v>59</v>
      </c>
      <c r="EH108" t="s">
        <v>59</v>
      </c>
      <c r="EI108" t="s">
        <v>59</v>
      </c>
      <c r="EJ108" t="s">
        <v>59</v>
      </c>
      <c r="EK108" t="s">
        <v>59</v>
      </c>
      <c r="EL108" t="s">
        <v>59</v>
      </c>
      <c r="EM108" t="s">
        <v>59</v>
      </c>
      <c r="EN108" t="s">
        <v>59</v>
      </c>
      <c r="EO108" t="s">
        <v>59</v>
      </c>
      <c r="EP108" t="s">
        <v>59</v>
      </c>
      <c r="EQ108" t="s">
        <v>59</v>
      </c>
      <c r="ER108" t="s">
        <v>59</v>
      </c>
      <c r="ES108" t="s">
        <v>59</v>
      </c>
      <c r="ET108" t="s">
        <v>59</v>
      </c>
      <c r="EU108" t="s">
        <v>59</v>
      </c>
      <c r="EV108" t="s">
        <v>59</v>
      </c>
      <c r="EW108" t="s">
        <v>59</v>
      </c>
      <c r="EX108" t="s">
        <v>59</v>
      </c>
      <c r="EY108" t="s">
        <v>59</v>
      </c>
      <c r="EZ108" t="s">
        <v>59</v>
      </c>
      <c r="FA108" t="s">
        <v>59</v>
      </c>
      <c r="FB108" t="s">
        <v>59</v>
      </c>
      <c r="FC108" t="s">
        <v>59</v>
      </c>
      <c r="FD108" t="s">
        <v>59</v>
      </c>
      <c r="FE108" t="s">
        <v>59</v>
      </c>
      <c r="FF108" t="s">
        <v>59</v>
      </c>
      <c r="FG108" t="s">
        <v>59</v>
      </c>
      <c r="FH108" t="s">
        <v>59</v>
      </c>
      <c r="FI108" t="s">
        <v>59</v>
      </c>
      <c r="FJ108" t="s">
        <v>59</v>
      </c>
      <c r="FK108" t="s">
        <v>59</v>
      </c>
      <c r="FL108" t="s">
        <v>59</v>
      </c>
      <c r="FM108" t="s">
        <v>59</v>
      </c>
      <c r="FN108" t="s">
        <v>59</v>
      </c>
      <c r="FO108" t="s">
        <v>59</v>
      </c>
      <c r="FP108" t="s">
        <v>59</v>
      </c>
      <c r="FQ108" t="s">
        <v>59</v>
      </c>
      <c r="FR108" t="s">
        <v>59</v>
      </c>
      <c r="FS108" t="s">
        <v>218</v>
      </c>
      <c r="FT108" t="s">
        <v>59</v>
      </c>
      <c r="FU108" t="s">
        <v>59</v>
      </c>
      <c r="FV108" t="s">
        <v>59</v>
      </c>
      <c r="FW108" t="s">
        <v>59</v>
      </c>
      <c r="FX108" t="s">
        <v>59</v>
      </c>
      <c r="FY108" t="s">
        <v>59</v>
      </c>
      <c r="FZ108" t="s">
        <v>59</v>
      </c>
      <c r="GA108" t="s">
        <v>59</v>
      </c>
      <c r="GB108" t="s">
        <v>59</v>
      </c>
      <c r="GC108" t="s">
        <v>59</v>
      </c>
      <c r="GD108" t="s">
        <v>59</v>
      </c>
      <c r="GE108" t="s">
        <v>59</v>
      </c>
      <c r="GF108" t="s">
        <v>59</v>
      </c>
      <c r="GG108" t="s">
        <v>59</v>
      </c>
      <c r="GH108" t="s">
        <v>59</v>
      </c>
      <c r="GI108" t="s">
        <v>59</v>
      </c>
      <c r="GJ108" t="s">
        <v>59</v>
      </c>
      <c r="GK108" t="s">
        <v>218</v>
      </c>
      <c r="GL108" t="s">
        <v>59</v>
      </c>
      <c r="GM108" t="s">
        <v>59</v>
      </c>
      <c r="GN108" t="s">
        <v>59</v>
      </c>
      <c r="GO108" t="s">
        <v>59</v>
      </c>
      <c r="GP108" t="s">
        <v>59</v>
      </c>
      <c r="GQ108" t="s">
        <v>59</v>
      </c>
      <c r="GR108" t="s">
        <v>59</v>
      </c>
      <c r="GS108" t="s">
        <v>59</v>
      </c>
      <c r="GT108" t="s">
        <v>59</v>
      </c>
      <c r="GU108" t="s">
        <v>59</v>
      </c>
      <c r="GV108" t="s">
        <v>59</v>
      </c>
      <c r="GW108" t="s">
        <v>59</v>
      </c>
      <c r="GX108" t="s">
        <v>59</v>
      </c>
      <c r="GY108" t="s">
        <v>59</v>
      </c>
      <c r="GZ108" t="s">
        <v>218</v>
      </c>
      <c r="HA108" t="s">
        <v>59</v>
      </c>
      <c r="HB108" t="s">
        <v>59</v>
      </c>
      <c r="HC108" t="s">
        <v>59</v>
      </c>
      <c r="HD108" t="s">
        <v>59</v>
      </c>
      <c r="HE108" t="s">
        <v>59</v>
      </c>
      <c r="HF108" t="s">
        <v>59</v>
      </c>
      <c r="HG108" t="s">
        <v>59</v>
      </c>
      <c r="HH108" t="s">
        <v>59</v>
      </c>
      <c r="HI108" t="s">
        <v>59</v>
      </c>
      <c r="HJ108" t="s">
        <v>59</v>
      </c>
      <c r="HK108" t="s">
        <v>59</v>
      </c>
      <c r="HL108" t="s">
        <v>59</v>
      </c>
      <c r="HM108" t="s">
        <v>59</v>
      </c>
      <c r="HN108" t="s">
        <v>59</v>
      </c>
      <c r="HO108" t="s">
        <v>59</v>
      </c>
      <c r="HP108" t="s">
        <v>59</v>
      </c>
      <c r="HQ108" t="s">
        <v>59</v>
      </c>
      <c r="HR108" t="s">
        <v>59</v>
      </c>
      <c r="HS108" t="s">
        <v>59</v>
      </c>
      <c r="HT108" t="s">
        <v>59</v>
      </c>
      <c r="HU108" t="s">
        <v>59</v>
      </c>
      <c r="HV108" t="s">
        <v>59</v>
      </c>
      <c r="HW108" t="s">
        <v>59</v>
      </c>
      <c r="HX108" t="s">
        <v>59</v>
      </c>
      <c r="HY108" t="s">
        <v>59</v>
      </c>
      <c r="HZ108" t="s">
        <v>59</v>
      </c>
      <c r="IA108" t="s">
        <v>59</v>
      </c>
      <c r="IB108" t="s">
        <v>59</v>
      </c>
      <c r="IC108" t="s">
        <v>59</v>
      </c>
      <c r="ID108" t="s">
        <v>59</v>
      </c>
      <c r="IE108" t="s">
        <v>59</v>
      </c>
      <c r="IF108" t="s">
        <v>59</v>
      </c>
      <c r="IG108" t="s">
        <v>59</v>
      </c>
      <c r="IH108" t="s">
        <v>59</v>
      </c>
      <c r="II108" t="s">
        <v>59</v>
      </c>
      <c r="IJ108" t="s">
        <v>129</v>
      </c>
      <c r="IK108" t="s">
        <v>191</v>
      </c>
      <c r="IL108" t="s">
        <v>128</v>
      </c>
      <c r="IM108" t="s">
        <v>199</v>
      </c>
      <c r="IN108">
        <v>30</v>
      </c>
      <c r="IO108" t="s">
        <v>2730</v>
      </c>
      <c r="IP108" t="s">
        <v>2730</v>
      </c>
      <c r="IQ108" t="s">
        <v>2730</v>
      </c>
      <c r="IR108">
        <v>15</v>
      </c>
      <c r="IS108" t="s">
        <v>2730</v>
      </c>
      <c r="IT108" t="s">
        <v>2730</v>
      </c>
      <c r="IU108" t="s">
        <v>2730</v>
      </c>
      <c r="IV108">
        <v>16</v>
      </c>
      <c r="IW108" t="s">
        <v>2730</v>
      </c>
      <c r="IX108" t="s">
        <v>2730</v>
      </c>
      <c r="IY108" t="s">
        <v>2730</v>
      </c>
      <c r="IZ108">
        <v>57</v>
      </c>
      <c r="JA108" t="s">
        <v>2730</v>
      </c>
      <c r="JB108" t="s">
        <v>2730</v>
      </c>
      <c r="JC108" t="s">
        <v>2730</v>
      </c>
      <c r="JD108">
        <v>24</v>
      </c>
      <c r="JE108" t="s">
        <v>2730</v>
      </c>
      <c r="JF108" t="s">
        <v>2730</v>
      </c>
      <c r="JG108" t="s">
        <v>2730</v>
      </c>
      <c r="JH108">
        <v>29</v>
      </c>
      <c r="JI108" t="s">
        <v>2730</v>
      </c>
      <c r="JJ108" t="s">
        <v>2730</v>
      </c>
      <c r="JK108" t="s">
        <v>2730</v>
      </c>
      <c r="JL108">
        <v>16</v>
      </c>
      <c r="JM108" t="s">
        <v>2730</v>
      </c>
      <c r="JN108" t="s">
        <v>2730</v>
      </c>
      <c r="JO108">
        <v>4</v>
      </c>
      <c r="JP108" t="s">
        <v>2730</v>
      </c>
      <c r="JQ108" t="s">
        <v>2730</v>
      </c>
    </row>
    <row r="109" spans="1:277">
      <c r="A109" s="149" t="str">
        <f>HYPERLINK("http://www.ofsted.gov.uk/inspection-reports/find-inspection-report/provider/ELS/136947 ","Ofsted School Webpage")</f>
        <v>Ofsted School Webpage</v>
      </c>
      <c r="B109">
        <v>1135906</v>
      </c>
      <c r="C109">
        <v>136947</v>
      </c>
      <c r="D109">
        <v>8466018</v>
      </c>
      <c r="E109" t="s">
        <v>408</v>
      </c>
      <c r="F109" t="s">
        <v>37</v>
      </c>
      <c r="G109" t="s">
        <v>209</v>
      </c>
      <c r="H109" t="s">
        <v>181</v>
      </c>
      <c r="I109" t="s">
        <v>181</v>
      </c>
      <c r="J109" t="s">
        <v>409</v>
      </c>
      <c r="K109" t="s">
        <v>410</v>
      </c>
      <c r="L109" t="s">
        <v>184</v>
      </c>
      <c r="M109" t="s">
        <v>185</v>
      </c>
      <c r="N109" t="s">
        <v>184</v>
      </c>
      <c r="O109" t="s">
        <v>2730</v>
      </c>
      <c r="P109" t="s">
        <v>186</v>
      </c>
      <c r="Q109">
        <v>10012927</v>
      </c>
      <c r="R109" s="120">
        <v>42997</v>
      </c>
      <c r="S109" s="120">
        <v>42999</v>
      </c>
      <c r="T109" s="120">
        <v>43042</v>
      </c>
      <c r="U109" t="s">
        <v>2730</v>
      </c>
      <c r="V109" t="s">
        <v>196</v>
      </c>
      <c r="W109" t="s">
        <v>2730</v>
      </c>
      <c r="X109" t="s">
        <v>197</v>
      </c>
      <c r="Y109">
        <v>1</v>
      </c>
      <c r="Z109">
        <v>1</v>
      </c>
      <c r="AA109">
        <v>1</v>
      </c>
      <c r="AB109">
        <v>1</v>
      </c>
      <c r="AC109">
        <v>1</v>
      </c>
      <c r="AD109">
        <v>1</v>
      </c>
      <c r="AE109" t="s">
        <v>2730</v>
      </c>
      <c r="AF109" t="s">
        <v>128</v>
      </c>
      <c r="AG109" t="s">
        <v>2730</v>
      </c>
      <c r="AH109" t="s">
        <v>2732</v>
      </c>
      <c r="AI109" t="s">
        <v>59</v>
      </c>
      <c r="AJ109" t="s">
        <v>59</v>
      </c>
      <c r="AK109" t="s">
        <v>59</v>
      </c>
      <c r="AL109" t="s">
        <v>59</v>
      </c>
      <c r="AM109" t="s">
        <v>59</v>
      </c>
      <c r="AN109" t="s">
        <v>59</v>
      </c>
      <c r="AO109" t="s">
        <v>59</v>
      </c>
      <c r="AP109" t="s">
        <v>59</v>
      </c>
      <c r="AQ109" t="s">
        <v>59</v>
      </c>
      <c r="AR109" t="s">
        <v>59</v>
      </c>
      <c r="AS109" t="s">
        <v>59</v>
      </c>
      <c r="AT109" t="s">
        <v>59</v>
      </c>
      <c r="AU109" t="s">
        <v>59</v>
      </c>
      <c r="AV109" t="s">
        <v>59</v>
      </c>
      <c r="AW109" t="s">
        <v>59</v>
      </c>
      <c r="AX109" t="s">
        <v>59</v>
      </c>
      <c r="AY109" t="s">
        <v>191</v>
      </c>
      <c r="AZ109" t="s">
        <v>59</v>
      </c>
      <c r="BA109" t="s">
        <v>59</v>
      </c>
      <c r="BB109" t="s">
        <v>59</v>
      </c>
      <c r="BC109" t="s">
        <v>59</v>
      </c>
      <c r="BD109" t="s">
        <v>59</v>
      </c>
      <c r="BE109" t="s">
        <v>59</v>
      </c>
      <c r="BF109" t="s">
        <v>59</v>
      </c>
      <c r="BG109" t="s">
        <v>59</v>
      </c>
      <c r="BH109" t="s">
        <v>191</v>
      </c>
      <c r="BI109" t="s">
        <v>59</v>
      </c>
      <c r="BJ109" t="s">
        <v>59</v>
      </c>
      <c r="BK109" t="s">
        <v>59</v>
      </c>
      <c r="BL109" t="s">
        <v>59</v>
      </c>
      <c r="BM109" t="s">
        <v>59</v>
      </c>
      <c r="BN109" t="s">
        <v>59</v>
      </c>
      <c r="BO109" t="s">
        <v>59</v>
      </c>
      <c r="BP109" t="s">
        <v>59</v>
      </c>
      <c r="BQ109" t="s">
        <v>59</v>
      </c>
      <c r="BR109" t="s">
        <v>59</v>
      </c>
      <c r="BS109" t="s">
        <v>59</v>
      </c>
      <c r="BT109" t="s">
        <v>59</v>
      </c>
      <c r="BU109" t="s">
        <v>59</v>
      </c>
      <c r="BV109" t="s">
        <v>59</v>
      </c>
      <c r="BW109" t="s">
        <v>59</v>
      </c>
      <c r="BX109" t="s">
        <v>59</v>
      </c>
      <c r="BY109" t="s">
        <v>59</v>
      </c>
      <c r="BZ109" t="s">
        <v>59</v>
      </c>
      <c r="CA109" t="s">
        <v>59</v>
      </c>
      <c r="CB109" t="s">
        <v>59</v>
      </c>
      <c r="CC109" t="s">
        <v>59</v>
      </c>
      <c r="CD109" t="s">
        <v>59</v>
      </c>
      <c r="CE109" t="s">
        <v>59</v>
      </c>
      <c r="CF109" t="s">
        <v>59</v>
      </c>
      <c r="CG109" t="s">
        <v>59</v>
      </c>
      <c r="CH109" t="s">
        <v>59</v>
      </c>
      <c r="CI109" t="s">
        <v>59</v>
      </c>
      <c r="CJ109" t="s">
        <v>59</v>
      </c>
      <c r="CK109" t="s">
        <v>59</v>
      </c>
      <c r="CL109" t="s">
        <v>59</v>
      </c>
      <c r="CM109" t="s">
        <v>59</v>
      </c>
      <c r="CN109" t="s">
        <v>59</v>
      </c>
      <c r="CO109" t="s">
        <v>191</v>
      </c>
      <c r="CP109" t="s">
        <v>191</v>
      </c>
      <c r="CQ109" t="s">
        <v>191</v>
      </c>
      <c r="CR109" t="s">
        <v>59</v>
      </c>
      <c r="CS109" t="s">
        <v>59</v>
      </c>
      <c r="CT109" t="s">
        <v>59</v>
      </c>
      <c r="CU109" t="s">
        <v>59</v>
      </c>
      <c r="CV109" t="s">
        <v>59</v>
      </c>
      <c r="CW109" t="s">
        <v>59</v>
      </c>
      <c r="CX109" t="s">
        <v>59</v>
      </c>
      <c r="CY109" t="s">
        <v>59</v>
      </c>
      <c r="CZ109" t="s">
        <v>59</v>
      </c>
      <c r="DA109" t="s">
        <v>59</v>
      </c>
      <c r="DB109" t="s">
        <v>59</v>
      </c>
      <c r="DC109" t="s">
        <v>59</v>
      </c>
      <c r="DD109" t="s">
        <v>59</v>
      </c>
      <c r="DE109" t="s">
        <v>59</v>
      </c>
      <c r="DF109" t="s">
        <v>59</v>
      </c>
      <c r="DG109" t="s">
        <v>59</v>
      </c>
      <c r="DH109" t="s">
        <v>59</v>
      </c>
      <c r="DI109" t="s">
        <v>59</v>
      </c>
      <c r="DJ109" t="s">
        <v>59</v>
      </c>
      <c r="DK109" t="s">
        <v>59</v>
      </c>
      <c r="DL109" t="s">
        <v>59</v>
      </c>
      <c r="DM109" t="s">
        <v>59</v>
      </c>
      <c r="DN109" t="s">
        <v>59</v>
      </c>
      <c r="DO109" t="s">
        <v>191</v>
      </c>
      <c r="DP109" t="s">
        <v>59</v>
      </c>
      <c r="DQ109" t="s">
        <v>59</v>
      </c>
      <c r="DR109" t="s">
        <v>59</v>
      </c>
      <c r="DS109" t="s">
        <v>59</v>
      </c>
      <c r="DT109" t="s">
        <v>59</v>
      </c>
      <c r="DU109" t="s">
        <v>59</v>
      </c>
      <c r="DV109" t="s">
        <v>59</v>
      </c>
      <c r="DW109" t="s">
        <v>59</v>
      </c>
      <c r="DX109" t="s">
        <v>59</v>
      </c>
      <c r="DY109" t="s">
        <v>59</v>
      </c>
      <c r="DZ109" t="s">
        <v>59</v>
      </c>
      <c r="EA109" t="s">
        <v>59</v>
      </c>
      <c r="EB109" t="s">
        <v>59</v>
      </c>
      <c r="EC109" t="s">
        <v>59</v>
      </c>
      <c r="ED109" t="s">
        <v>59</v>
      </c>
      <c r="EE109" t="s">
        <v>59</v>
      </c>
      <c r="EF109" t="s">
        <v>59</v>
      </c>
      <c r="EG109" t="s">
        <v>59</v>
      </c>
      <c r="EH109" t="s">
        <v>59</v>
      </c>
      <c r="EI109" t="s">
        <v>59</v>
      </c>
      <c r="EJ109" t="s">
        <v>59</v>
      </c>
      <c r="EK109" t="s">
        <v>59</v>
      </c>
      <c r="EL109" t="s">
        <v>59</v>
      </c>
      <c r="EM109" t="s">
        <v>59</v>
      </c>
      <c r="EN109" t="s">
        <v>59</v>
      </c>
      <c r="EO109" t="s">
        <v>59</v>
      </c>
      <c r="EP109" t="s">
        <v>59</v>
      </c>
      <c r="EQ109" t="s">
        <v>59</v>
      </c>
      <c r="ER109" t="s">
        <v>59</v>
      </c>
      <c r="ES109" t="s">
        <v>59</v>
      </c>
      <c r="ET109" t="s">
        <v>59</v>
      </c>
      <c r="EU109" t="s">
        <v>59</v>
      </c>
      <c r="EV109" t="s">
        <v>59</v>
      </c>
      <c r="EW109" t="s">
        <v>59</v>
      </c>
      <c r="EX109" t="s">
        <v>59</v>
      </c>
      <c r="EY109" t="s">
        <v>59</v>
      </c>
      <c r="EZ109" t="s">
        <v>59</v>
      </c>
      <c r="FA109" t="s">
        <v>59</v>
      </c>
      <c r="FB109" t="s">
        <v>59</v>
      </c>
      <c r="FC109" t="s">
        <v>59</v>
      </c>
      <c r="FD109" t="s">
        <v>59</v>
      </c>
      <c r="FE109" t="s">
        <v>59</v>
      </c>
      <c r="FF109" t="s">
        <v>59</v>
      </c>
      <c r="FG109" t="s">
        <v>59</v>
      </c>
      <c r="FH109" t="s">
        <v>59</v>
      </c>
      <c r="FI109" t="s">
        <v>59</v>
      </c>
      <c r="FJ109" t="s">
        <v>59</v>
      </c>
      <c r="FK109" t="s">
        <v>59</v>
      </c>
      <c r="FL109" t="s">
        <v>59</v>
      </c>
      <c r="FM109" t="s">
        <v>59</v>
      </c>
      <c r="FN109" t="s">
        <v>59</v>
      </c>
      <c r="FO109" t="s">
        <v>59</v>
      </c>
      <c r="FP109" t="s">
        <v>59</v>
      </c>
      <c r="FQ109" t="s">
        <v>59</v>
      </c>
      <c r="FR109" t="s">
        <v>59</v>
      </c>
      <c r="FS109" t="s">
        <v>191</v>
      </c>
      <c r="FT109" t="s">
        <v>59</v>
      </c>
      <c r="FU109" t="s">
        <v>59</v>
      </c>
      <c r="FV109" t="s">
        <v>59</v>
      </c>
      <c r="FW109" t="s">
        <v>59</v>
      </c>
      <c r="FX109" t="s">
        <v>59</v>
      </c>
      <c r="FY109" t="s">
        <v>59</v>
      </c>
      <c r="FZ109" t="s">
        <v>59</v>
      </c>
      <c r="GA109" t="s">
        <v>59</v>
      </c>
      <c r="GB109" t="s">
        <v>59</v>
      </c>
      <c r="GC109" t="s">
        <v>59</v>
      </c>
      <c r="GD109" t="s">
        <v>59</v>
      </c>
      <c r="GE109" t="s">
        <v>59</v>
      </c>
      <c r="GF109" t="s">
        <v>59</v>
      </c>
      <c r="GG109" t="s">
        <v>59</v>
      </c>
      <c r="GH109" t="s">
        <v>59</v>
      </c>
      <c r="GI109" t="s">
        <v>59</v>
      </c>
      <c r="GJ109" t="s">
        <v>59</v>
      </c>
      <c r="GK109" t="s">
        <v>59</v>
      </c>
      <c r="GL109" t="s">
        <v>59</v>
      </c>
      <c r="GM109" t="s">
        <v>59</v>
      </c>
      <c r="GN109" t="s">
        <v>59</v>
      </c>
      <c r="GO109" t="s">
        <v>59</v>
      </c>
      <c r="GP109" t="s">
        <v>59</v>
      </c>
      <c r="GQ109" t="s">
        <v>59</v>
      </c>
      <c r="GR109" t="s">
        <v>59</v>
      </c>
      <c r="GS109" t="s">
        <v>59</v>
      </c>
      <c r="GT109" t="s">
        <v>59</v>
      </c>
      <c r="GU109" t="s">
        <v>59</v>
      </c>
      <c r="GV109" t="s">
        <v>59</v>
      </c>
      <c r="GW109" t="s">
        <v>59</v>
      </c>
      <c r="GX109" t="s">
        <v>59</v>
      </c>
      <c r="GY109" t="s">
        <v>59</v>
      </c>
      <c r="GZ109" t="s">
        <v>59</v>
      </c>
      <c r="HA109" t="s">
        <v>191</v>
      </c>
      <c r="HB109" t="s">
        <v>191</v>
      </c>
      <c r="HC109" t="s">
        <v>59</v>
      </c>
      <c r="HD109" t="s">
        <v>59</v>
      </c>
      <c r="HE109" t="s">
        <v>59</v>
      </c>
      <c r="HF109" t="s">
        <v>59</v>
      </c>
      <c r="HG109" t="s">
        <v>59</v>
      </c>
      <c r="HH109" t="s">
        <v>59</v>
      </c>
      <c r="HI109" t="s">
        <v>59</v>
      </c>
      <c r="HJ109" t="s">
        <v>59</v>
      </c>
      <c r="HK109" t="s">
        <v>59</v>
      </c>
      <c r="HL109" t="s">
        <v>59</v>
      </c>
      <c r="HM109" t="s">
        <v>59</v>
      </c>
      <c r="HN109" t="s">
        <v>59</v>
      </c>
      <c r="HO109" t="s">
        <v>59</v>
      </c>
      <c r="HP109" t="s">
        <v>59</v>
      </c>
      <c r="HQ109" t="s">
        <v>59</v>
      </c>
      <c r="HR109" t="s">
        <v>59</v>
      </c>
      <c r="HS109" t="s">
        <v>59</v>
      </c>
      <c r="HT109" t="s">
        <v>59</v>
      </c>
      <c r="HU109" t="s">
        <v>59</v>
      </c>
      <c r="HV109" t="s">
        <v>59</v>
      </c>
      <c r="HW109" t="s">
        <v>59</v>
      </c>
      <c r="HX109" t="s">
        <v>59</v>
      </c>
      <c r="HY109" t="s">
        <v>59</v>
      </c>
      <c r="HZ109" t="s">
        <v>59</v>
      </c>
      <c r="IA109" t="s">
        <v>59</v>
      </c>
      <c r="IB109" t="s">
        <v>59</v>
      </c>
      <c r="IC109" t="s">
        <v>59</v>
      </c>
      <c r="ID109" t="s">
        <v>59</v>
      </c>
      <c r="IE109" t="s">
        <v>59</v>
      </c>
      <c r="IF109" t="s">
        <v>59</v>
      </c>
      <c r="IG109" t="s">
        <v>59</v>
      </c>
      <c r="IH109" t="s">
        <v>59</v>
      </c>
      <c r="II109" t="s">
        <v>59</v>
      </c>
      <c r="IJ109" t="s">
        <v>129</v>
      </c>
      <c r="IK109" t="s">
        <v>198</v>
      </c>
      <c r="IL109" t="s">
        <v>128</v>
      </c>
      <c r="IM109" t="s">
        <v>199</v>
      </c>
      <c r="IN109">
        <v>30</v>
      </c>
      <c r="IO109" t="s">
        <v>2730</v>
      </c>
      <c r="IP109">
        <v>2</v>
      </c>
      <c r="IQ109" t="s">
        <v>2730</v>
      </c>
      <c r="IR109">
        <v>15</v>
      </c>
      <c r="IS109" t="s">
        <v>2730</v>
      </c>
      <c r="IT109" t="s">
        <v>2730</v>
      </c>
      <c r="IU109" t="s">
        <v>2730</v>
      </c>
      <c r="IV109">
        <v>16</v>
      </c>
      <c r="IW109" t="s">
        <v>2730</v>
      </c>
      <c r="IX109">
        <v>3</v>
      </c>
      <c r="IY109" t="s">
        <v>2730</v>
      </c>
      <c r="IZ109">
        <v>58</v>
      </c>
      <c r="JA109" t="s">
        <v>2730</v>
      </c>
      <c r="JB109">
        <v>1</v>
      </c>
      <c r="JC109" t="s">
        <v>2730</v>
      </c>
      <c r="JD109">
        <v>25</v>
      </c>
      <c r="JE109" t="s">
        <v>2730</v>
      </c>
      <c r="JF109">
        <v>1</v>
      </c>
      <c r="JG109" t="s">
        <v>2730</v>
      </c>
      <c r="JH109">
        <v>28</v>
      </c>
      <c r="JI109" t="s">
        <v>2730</v>
      </c>
      <c r="JJ109">
        <v>2</v>
      </c>
      <c r="JK109" t="s">
        <v>2730</v>
      </c>
      <c r="JL109">
        <v>16</v>
      </c>
      <c r="JM109" t="s">
        <v>2730</v>
      </c>
      <c r="JN109" t="s">
        <v>2730</v>
      </c>
      <c r="JO109">
        <v>4</v>
      </c>
      <c r="JP109" t="s">
        <v>2730</v>
      </c>
      <c r="JQ109" t="s">
        <v>2730</v>
      </c>
    </row>
    <row r="110" spans="1:277">
      <c r="A110" s="149" t="str">
        <f>HYPERLINK("http://www.ofsted.gov.uk/inspection-reports/find-inspection-report/provider/ELS/135259 ","Ofsted School Webpage")</f>
        <v>Ofsted School Webpage</v>
      </c>
      <c r="B110">
        <v>1132653</v>
      </c>
      <c r="C110">
        <v>135259</v>
      </c>
      <c r="D110">
        <v>9376105</v>
      </c>
      <c r="E110" t="s">
        <v>376</v>
      </c>
      <c r="F110" t="s">
        <v>38</v>
      </c>
      <c r="G110" t="s">
        <v>180</v>
      </c>
      <c r="H110" t="s">
        <v>193</v>
      </c>
      <c r="I110" t="s">
        <v>193</v>
      </c>
      <c r="J110" t="s">
        <v>377</v>
      </c>
      <c r="K110" t="s">
        <v>378</v>
      </c>
      <c r="L110" t="s">
        <v>184</v>
      </c>
      <c r="M110" t="s">
        <v>185</v>
      </c>
      <c r="N110" t="s">
        <v>184</v>
      </c>
      <c r="O110" t="s">
        <v>2730</v>
      </c>
      <c r="P110" t="s">
        <v>186</v>
      </c>
      <c r="Q110">
        <v>10006087</v>
      </c>
      <c r="R110" s="120">
        <v>43011</v>
      </c>
      <c r="S110" s="120">
        <v>43013</v>
      </c>
      <c r="T110" s="120">
        <v>43052</v>
      </c>
      <c r="U110" t="s">
        <v>2730</v>
      </c>
      <c r="V110" t="s">
        <v>196</v>
      </c>
      <c r="W110" t="s">
        <v>2730</v>
      </c>
      <c r="X110" t="s">
        <v>197</v>
      </c>
      <c r="Y110">
        <v>2</v>
      </c>
      <c r="Z110">
        <v>2</v>
      </c>
      <c r="AA110">
        <v>1</v>
      </c>
      <c r="AB110">
        <v>2</v>
      </c>
      <c r="AC110">
        <v>2</v>
      </c>
      <c r="AD110" t="s">
        <v>2730</v>
      </c>
      <c r="AE110">
        <v>2</v>
      </c>
      <c r="AF110" t="s">
        <v>128</v>
      </c>
      <c r="AG110" t="s">
        <v>2730</v>
      </c>
      <c r="AH110" t="s">
        <v>2732</v>
      </c>
      <c r="AI110" t="s">
        <v>59</v>
      </c>
      <c r="AJ110" t="s">
        <v>59</v>
      </c>
      <c r="AK110" t="s">
        <v>59</v>
      </c>
      <c r="AL110" t="s">
        <v>59</v>
      </c>
      <c r="AM110" t="s">
        <v>59</v>
      </c>
      <c r="AN110" t="s">
        <v>59</v>
      </c>
      <c r="AO110" t="s">
        <v>59</v>
      </c>
      <c r="AP110" t="s">
        <v>59</v>
      </c>
      <c r="AQ110" t="s">
        <v>59</v>
      </c>
      <c r="AR110" t="s">
        <v>59</v>
      </c>
      <c r="AS110" t="s">
        <v>59</v>
      </c>
      <c r="AT110" t="s">
        <v>59</v>
      </c>
      <c r="AU110" t="s">
        <v>59</v>
      </c>
      <c r="AV110" t="s">
        <v>59</v>
      </c>
      <c r="AW110" t="s">
        <v>59</v>
      </c>
      <c r="AX110" t="s">
        <v>59</v>
      </c>
      <c r="AY110" t="s">
        <v>191</v>
      </c>
      <c r="AZ110" t="s">
        <v>59</v>
      </c>
      <c r="BA110" t="s">
        <v>59</v>
      </c>
      <c r="BB110" t="s">
        <v>59</v>
      </c>
      <c r="BC110" t="s">
        <v>59</v>
      </c>
      <c r="BD110" t="s">
        <v>59</v>
      </c>
      <c r="BE110" t="s">
        <v>59</v>
      </c>
      <c r="BF110" t="s">
        <v>59</v>
      </c>
      <c r="BG110" t="s">
        <v>191</v>
      </c>
      <c r="BH110" t="s">
        <v>59</v>
      </c>
      <c r="BI110" t="s">
        <v>59</v>
      </c>
      <c r="BJ110" t="s">
        <v>59</v>
      </c>
      <c r="BK110" t="s">
        <v>59</v>
      </c>
      <c r="BL110" t="s">
        <v>59</v>
      </c>
      <c r="BM110" t="s">
        <v>59</v>
      </c>
      <c r="BN110" t="s">
        <v>59</v>
      </c>
      <c r="BO110" t="s">
        <v>59</v>
      </c>
      <c r="BP110" t="s">
        <v>59</v>
      </c>
      <c r="BQ110" t="s">
        <v>59</v>
      </c>
      <c r="BR110" t="s">
        <v>59</v>
      </c>
      <c r="BS110" t="s">
        <v>59</v>
      </c>
      <c r="BT110" t="s">
        <v>59</v>
      </c>
      <c r="BU110" t="s">
        <v>59</v>
      </c>
      <c r="BV110" t="s">
        <v>59</v>
      </c>
      <c r="BW110" t="s">
        <v>59</v>
      </c>
      <c r="BX110" t="s">
        <v>59</v>
      </c>
      <c r="BY110" t="s">
        <v>59</v>
      </c>
      <c r="BZ110" t="s">
        <v>59</v>
      </c>
      <c r="CA110" t="s">
        <v>59</v>
      </c>
      <c r="CB110" t="s">
        <v>59</v>
      </c>
      <c r="CC110" t="s">
        <v>59</v>
      </c>
      <c r="CD110" t="s">
        <v>59</v>
      </c>
      <c r="CE110" t="s">
        <v>59</v>
      </c>
      <c r="CF110" t="s">
        <v>59</v>
      </c>
      <c r="CG110" t="s">
        <v>59</v>
      </c>
      <c r="CH110" t="s">
        <v>59</v>
      </c>
      <c r="CI110" t="s">
        <v>59</v>
      </c>
      <c r="CJ110" t="s">
        <v>59</v>
      </c>
      <c r="CK110" t="s">
        <v>59</v>
      </c>
      <c r="CL110" t="s">
        <v>59</v>
      </c>
      <c r="CM110" t="s">
        <v>59</v>
      </c>
      <c r="CN110" t="s">
        <v>59</v>
      </c>
      <c r="CO110" t="s">
        <v>191</v>
      </c>
      <c r="CP110" t="s">
        <v>191</v>
      </c>
      <c r="CQ110" t="s">
        <v>191</v>
      </c>
      <c r="CR110" t="s">
        <v>59</v>
      </c>
      <c r="CS110" t="s">
        <v>59</v>
      </c>
      <c r="CT110" t="s">
        <v>59</v>
      </c>
      <c r="CU110" t="s">
        <v>59</v>
      </c>
      <c r="CV110" t="s">
        <v>59</v>
      </c>
      <c r="CW110" t="s">
        <v>59</v>
      </c>
      <c r="CX110" t="s">
        <v>59</v>
      </c>
      <c r="CY110" t="s">
        <v>59</v>
      </c>
      <c r="CZ110" t="s">
        <v>59</v>
      </c>
      <c r="DA110" t="s">
        <v>59</v>
      </c>
      <c r="DB110" t="s">
        <v>59</v>
      </c>
      <c r="DC110" t="s">
        <v>59</v>
      </c>
      <c r="DD110" t="s">
        <v>59</v>
      </c>
      <c r="DE110" t="s">
        <v>59</v>
      </c>
      <c r="DF110" t="s">
        <v>59</v>
      </c>
      <c r="DG110" t="s">
        <v>59</v>
      </c>
      <c r="DH110" t="s">
        <v>59</v>
      </c>
      <c r="DI110" t="s">
        <v>59</v>
      </c>
      <c r="DJ110" t="s">
        <v>59</v>
      </c>
      <c r="DK110" t="s">
        <v>59</v>
      </c>
      <c r="DL110" t="s">
        <v>59</v>
      </c>
      <c r="DM110" t="s">
        <v>59</v>
      </c>
      <c r="DN110" t="s">
        <v>191</v>
      </c>
      <c r="DO110" t="s">
        <v>191</v>
      </c>
      <c r="DP110" t="s">
        <v>59</v>
      </c>
      <c r="DQ110" t="s">
        <v>59</v>
      </c>
      <c r="DR110" t="s">
        <v>59</v>
      </c>
      <c r="DS110" t="s">
        <v>59</v>
      </c>
      <c r="DT110" t="s">
        <v>59</v>
      </c>
      <c r="DU110" t="s">
        <v>59</v>
      </c>
      <c r="DV110" t="s">
        <v>59</v>
      </c>
      <c r="DW110" t="s">
        <v>59</v>
      </c>
      <c r="DX110" t="s">
        <v>59</v>
      </c>
      <c r="DY110" t="s">
        <v>59</v>
      </c>
      <c r="DZ110" t="s">
        <v>59</v>
      </c>
      <c r="EA110" t="s">
        <v>59</v>
      </c>
      <c r="EB110" t="s">
        <v>59</v>
      </c>
      <c r="EC110" t="s">
        <v>191</v>
      </c>
      <c r="ED110" t="s">
        <v>191</v>
      </c>
      <c r="EE110" t="s">
        <v>59</v>
      </c>
      <c r="EF110" t="s">
        <v>59</v>
      </c>
      <c r="EG110" t="s">
        <v>59</v>
      </c>
      <c r="EH110" t="s">
        <v>59</v>
      </c>
      <c r="EI110" t="s">
        <v>59</v>
      </c>
      <c r="EJ110" t="s">
        <v>59</v>
      </c>
      <c r="EK110" t="s">
        <v>59</v>
      </c>
      <c r="EL110" t="s">
        <v>59</v>
      </c>
      <c r="EM110" t="s">
        <v>59</v>
      </c>
      <c r="EN110" t="s">
        <v>59</v>
      </c>
      <c r="EO110" t="s">
        <v>59</v>
      </c>
      <c r="EP110" t="s">
        <v>59</v>
      </c>
      <c r="EQ110" t="s">
        <v>59</v>
      </c>
      <c r="ER110" t="s">
        <v>59</v>
      </c>
      <c r="ES110" t="s">
        <v>59</v>
      </c>
      <c r="ET110" t="s">
        <v>59</v>
      </c>
      <c r="EU110" t="s">
        <v>59</v>
      </c>
      <c r="EV110" t="s">
        <v>59</v>
      </c>
      <c r="EW110" t="s">
        <v>59</v>
      </c>
      <c r="EX110" t="s">
        <v>59</v>
      </c>
      <c r="EY110" t="s">
        <v>59</v>
      </c>
      <c r="EZ110" t="s">
        <v>59</v>
      </c>
      <c r="FA110" t="s">
        <v>59</v>
      </c>
      <c r="FB110" t="s">
        <v>59</v>
      </c>
      <c r="FC110" t="s">
        <v>59</v>
      </c>
      <c r="FD110" t="s">
        <v>59</v>
      </c>
      <c r="FE110" t="s">
        <v>59</v>
      </c>
      <c r="FF110" t="s">
        <v>59</v>
      </c>
      <c r="FG110" t="s">
        <v>59</v>
      </c>
      <c r="FH110" t="s">
        <v>59</v>
      </c>
      <c r="FI110" t="s">
        <v>59</v>
      </c>
      <c r="FJ110" t="s">
        <v>59</v>
      </c>
      <c r="FK110" t="s">
        <v>59</v>
      </c>
      <c r="FL110" t="s">
        <v>59</v>
      </c>
      <c r="FM110" t="s">
        <v>59</v>
      </c>
      <c r="FN110" t="s">
        <v>59</v>
      </c>
      <c r="FO110" t="s">
        <v>59</v>
      </c>
      <c r="FP110" t="s">
        <v>59</v>
      </c>
      <c r="FQ110" t="s">
        <v>59</v>
      </c>
      <c r="FR110" t="s">
        <v>59</v>
      </c>
      <c r="FS110" t="s">
        <v>59</v>
      </c>
      <c r="FT110" t="s">
        <v>59</v>
      </c>
      <c r="FU110" t="s">
        <v>59</v>
      </c>
      <c r="FV110" t="s">
        <v>59</v>
      </c>
      <c r="FW110" t="s">
        <v>59</v>
      </c>
      <c r="FX110" t="s">
        <v>59</v>
      </c>
      <c r="FY110" t="s">
        <v>59</v>
      </c>
      <c r="FZ110" t="s">
        <v>59</v>
      </c>
      <c r="GA110" t="s">
        <v>59</v>
      </c>
      <c r="GB110" t="s">
        <v>59</v>
      </c>
      <c r="GC110" t="s">
        <v>59</v>
      </c>
      <c r="GD110" t="s">
        <v>59</v>
      </c>
      <c r="GE110" t="s">
        <v>59</v>
      </c>
      <c r="GF110" t="s">
        <v>59</v>
      </c>
      <c r="GG110" t="s">
        <v>59</v>
      </c>
      <c r="GH110" t="s">
        <v>59</v>
      </c>
      <c r="GI110" t="s">
        <v>59</v>
      </c>
      <c r="GJ110" t="s">
        <v>59</v>
      </c>
      <c r="GK110" t="s">
        <v>191</v>
      </c>
      <c r="GL110" t="s">
        <v>59</v>
      </c>
      <c r="GM110" t="s">
        <v>59</v>
      </c>
      <c r="GN110" t="s">
        <v>59</v>
      </c>
      <c r="GO110" t="s">
        <v>59</v>
      </c>
      <c r="GP110" t="s">
        <v>59</v>
      </c>
      <c r="GQ110" t="s">
        <v>59</v>
      </c>
      <c r="GR110" t="s">
        <v>59</v>
      </c>
      <c r="GS110" t="s">
        <v>59</v>
      </c>
      <c r="GT110" t="s">
        <v>59</v>
      </c>
      <c r="GU110" t="s">
        <v>59</v>
      </c>
      <c r="GV110" t="s">
        <v>59</v>
      </c>
      <c r="GW110" t="s">
        <v>59</v>
      </c>
      <c r="GX110" t="s">
        <v>59</v>
      </c>
      <c r="GY110" t="s">
        <v>59</v>
      </c>
      <c r="GZ110" t="s">
        <v>59</v>
      </c>
      <c r="HA110" t="s">
        <v>59</v>
      </c>
      <c r="HB110" t="s">
        <v>59</v>
      </c>
      <c r="HC110" t="s">
        <v>59</v>
      </c>
      <c r="HD110" t="s">
        <v>59</v>
      </c>
      <c r="HE110" t="s">
        <v>59</v>
      </c>
      <c r="HF110" t="s">
        <v>59</v>
      </c>
      <c r="HG110" t="s">
        <v>59</v>
      </c>
      <c r="HH110" t="s">
        <v>59</v>
      </c>
      <c r="HI110" t="s">
        <v>59</v>
      </c>
      <c r="HJ110" t="s">
        <v>59</v>
      </c>
      <c r="HK110" t="s">
        <v>59</v>
      </c>
      <c r="HL110" t="s">
        <v>59</v>
      </c>
      <c r="HM110" t="s">
        <v>59</v>
      </c>
      <c r="HN110" t="s">
        <v>59</v>
      </c>
      <c r="HO110" t="s">
        <v>59</v>
      </c>
      <c r="HP110" t="s">
        <v>59</v>
      </c>
      <c r="HQ110" t="s">
        <v>59</v>
      </c>
      <c r="HR110" t="s">
        <v>59</v>
      </c>
      <c r="HS110" t="s">
        <v>59</v>
      </c>
      <c r="HT110" t="s">
        <v>59</v>
      </c>
      <c r="HU110" t="s">
        <v>59</v>
      </c>
      <c r="HV110" t="s">
        <v>59</v>
      </c>
      <c r="HW110" t="s">
        <v>59</v>
      </c>
      <c r="HX110" t="s">
        <v>59</v>
      </c>
      <c r="HY110" t="s">
        <v>59</v>
      </c>
      <c r="HZ110" t="s">
        <v>59</v>
      </c>
      <c r="IA110" t="s">
        <v>59</v>
      </c>
      <c r="IB110" t="s">
        <v>59</v>
      </c>
      <c r="IC110" t="s">
        <v>59</v>
      </c>
      <c r="ID110" t="s">
        <v>59</v>
      </c>
      <c r="IE110" t="s">
        <v>59</v>
      </c>
      <c r="IF110" t="s">
        <v>59</v>
      </c>
      <c r="IG110" t="s">
        <v>59</v>
      </c>
      <c r="IH110" t="s">
        <v>59</v>
      </c>
      <c r="II110" t="s">
        <v>59</v>
      </c>
      <c r="IJ110" t="s">
        <v>129</v>
      </c>
      <c r="IK110" t="s">
        <v>198</v>
      </c>
      <c r="IL110" t="s">
        <v>128</v>
      </c>
      <c r="IM110" t="s">
        <v>199</v>
      </c>
      <c r="IN110">
        <v>30</v>
      </c>
      <c r="IO110" t="s">
        <v>2730</v>
      </c>
      <c r="IP110">
        <v>2</v>
      </c>
      <c r="IQ110" t="s">
        <v>2730</v>
      </c>
      <c r="IR110">
        <v>15</v>
      </c>
      <c r="IS110" t="s">
        <v>2730</v>
      </c>
      <c r="IT110" t="s">
        <v>2730</v>
      </c>
      <c r="IU110" t="s">
        <v>2730</v>
      </c>
      <c r="IV110">
        <v>16</v>
      </c>
      <c r="IW110" t="s">
        <v>2730</v>
      </c>
      <c r="IX110">
        <v>3</v>
      </c>
      <c r="IY110" t="s">
        <v>2730</v>
      </c>
      <c r="IZ110">
        <v>55</v>
      </c>
      <c r="JA110" t="s">
        <v>2730</v>
      </c>
      <c r="JB110">
        <v>4</v>
      </c>
      <c r="JC110" t="s">
        <v>2730</v>
      </c>
      <c r="JD110">
        <v>25</v>
      </c>
      <c r="JE110" t="s">
        <v>2730</v>
      </c>
      <c r="JF110">
        <v>1</v>
      </c>
      <c r="JG110" t="s">
        <v>2730</v>
      </c>
      <c r="JH110">
        <v>30</v>
      </c>
      <c r="JI110" t="s">
        <v>2730</v>
      </c>
      <c r="JJ110" t="s">
        <v>2730</v>
      </c>
      <c r="JK110" t="s">
        <v>2730</v>
      </c>
      <c r="JL110">
        <v>16</v>
      </c>
      <c r="JM110" t="s">
        <v>2730</v>
      </c>
      <c r="JN110" t="s">
        <v>2730</v>
      </c>
      <c r="JO110">
        <v>4</v>
      </c>
      <c r="JP110" t="s">
        <v>2730</v>
      </c>
      <c r="JQ110" t="s">
        <v>2730</v>
      </c>
    </row>
    <row r="111" spans="1:277">
      <c r="A111" s="149" t="str">
        <f>HYPERLINK("http://www.ofsted.gov.uk/inspection-reports/find-inspection-report/provider/ELS/131119 ","Ofsted School Webpage")</f>
        <v>Ofsted School Webpage</v>
      </c>
      <c r="B111">
        <v>1134226</v>
      </c>
      <c r="C111">
        <v>131119</v>
      </c>
      <c r="D111">
        <v>8926012</v>
      </c>
      <c r="E111" t="s">
        <v>286</v>
      </c>
      <c r="F111" t="s">
        <v>37</v>
      </c>
      <c r="G111" t="s">
        <v>209</v>
      </c>
      <c r="H111" t="s">
        <v>214</v>
      </c>
      <c r="I111" t="s">
        <v>214</v>
      </c>
      <c r="J111" t="s">
        <v>287</v>
      </c>
      <c r="K111" t="s">
        <v>288</v>
      </c>
      <c r="L111" t="s">
        <v>184</v>
      </c>
      <c r="M111" t="s">
        <v>185</v>
      </c>
      <c r="N111" t="s">
        <v>223</v>
      </c>
      <c r="O111" t="s">
        <v>2730</v>
      </c>
      <c r="P111" t="s">
        <v>186</v>
      </c>
      <c r="Q111">
        <v>10039183</v>
      </c>
      <c r="R111" s="120">
        <v>42997</v>
      </c>
      <c r="S111" s="120">
        <v>42999</v>
      </c>
      <c r="T111" s="120">
        <v>43019</v>
      </c>
      <c r="U111" t="s">
        <v>2730</v>
      </c>
      <c r="V111" t="s">
        <v>196</v>
      </c>
      <c r="W111" t="s">
        <v>2730</v>
      </c>
      <c r="X111" t="s">
        <v>197</v>
      </c>
      <c r="Y111">
        <v>2</v>
      </c>
      <c r="Z111">
        <v>2</v>
      </c>
      <c r="AA111">
        <v>1</v>
      </c>
      <c r="AB111">
        <v>2</v>
      </c>
      <c r="AC111">
        <v>2</v>
      </c>
      <c r="AD111" t="s">
        <v>2730</v>
      </c>
      <c r="AE111">
        <v>2</v>
      </c>
      <c r="AF111" t="s">
        <v>128</v>
      </c>
      <c r="AG111" t="s">
        <v>2730</v>
      </c>
      <c r="AH111" t="s">
        <v>2732</v>
      </c>
      <c r="AI111" t="s">
        <v>59</v>
      </c>
      <c r="AJ111" t="s">
        <v>59</v>
      </c>
      <c r="AK111" t="s">
        <v>59</v>
      </c>
      <c r="AL111" t="s">
        <v>59</v>
      </c>
      <c r="AM111" t="s">
        <v>59</v>
      </c>
      <c r="AN111" t="s">
        <v>59</v>
      </c>
      <c r="AO111" t="s">
        <v>59</v>
      </c>
      <c r="AP111" t="s">
        <v>59</v>
      </c>
      <c r="AQ111" t="s">
        <v>59</v>
      </c>
      <c r="AR111" t="s">
        <v>59</v>
      </c>
      <c r="AS111" t="s">
        <v>59</v>
      </c>
      <c r="AT111" t="s">
        <v>59</v>
      </c>
      <c r="AU111" t="s">
        <v>59</v>
      </c>
      <c r="AV111" t="s">
        <v>59</v>
      </c>
      <c r="AW111" t="s">
        <v>59</v>
      </c>
      <c r="AX111" t="s">
        <v>59</v>
      </c>
      <c r="AY111" t="s">
        <v>218</v>
      </c>
      <c r="AZ111" t="s">
        <v>59</v>
      </c>
      <c r="BA111" t="s">
        <v>59</v>
      </c>
      <c r="BB111" t="s">
        <v>59</v>
      </c>
      <c r="BC111" t="s">
        <v>59</v>
      </c>
      <c r="BD111" t="s">
        <v>59</v>
      </c>
      <c r="BE111" t="s">
        <v>59</v>
      </c>
      <c r="BF111" t="s">
        <v>59</v>
      </c>
      <c r="BG111" t="s">
        <v>218</v>
      </c>
      <c r="BH111" t="s">
        <v>59</v>
      </c>
      <c r="BI111" t="s">
        <v>59</v>
      </c>
      <c r="BJ111" t="s">
        <v>59</v>
      </c>
      <c r="BK111" t="s">
        <v>59</v>
      </c>
      <c r="BL111" t="s">
        <v>59</v>
      </c>
      <c r="BM111" t="s">
        <v>59</v>
      </c>
      <c r="BN111" t="s">
        <v>59</v>
      </c>
      <c r="BO111" t="s">
        <v>59</v>
      </c>
      <c r="BP111" t="s">
        <v>59</v>
      </c>
      <c r="BQ111" t="s">
        <v>59</v>
      </c>
      <c r="BR111" t="s">
        <v>59</v>
      </c>
      <c r="BS111" t="s">
        <v>59</v>
      </c>
      <c r="BT111" t="s">
        <v>59</v>
      </c>
      <c r="BU111" t="s">
        <v>59</v>
      </c>
      <c r="BV111" t="s">
        <v>59</v>
      </c>
      <c r="BW111" t="s">
        <v>59</v>
      </c>
      <c r="BX111" t="s">
        <v>59</v>
      </c>
      <c r="BY111" t="s">
        <v>59</v>
      </c>
      <c r="BZ111" t="s">
        <v>59</v>
      </c>
      <c r="CA111" t="s">
        <v>59</v>
      </c>
      <c r="CB111" t="s">
        <v>59</v>
      </c>
      <c r="CC111" t="s">
        <v>59</v>
      </c>
      <c r="CD111" t="s">
        <v>59</v>
      </c>
      <c r="CE111" t="s">
        <v>59</v>
      </c>
      <c r="CF111" t="s">
        <v>59</v>
      </c>
      <c r="CG111" t="s">
        <v>59</v>
      </c>
      <c r="CH111" t="s">
        <v>59</v>
      </c>
      <c r="CI111" t="s">
        <v>59</v>
      </c>
      <c r="CJ111" t="s">
        <v>59</v>
      </c>
      <c r="CK111" t="s">
        <v>59</v>
      </c>
      <c r="CL111" t="s">
        <v>59</v>
      </c>
      <c r="CM111" t="s">
        <v>59</v>
      </c>
      <c r="CN111" t="s">
        <v>59</v>
      </c>
      <c r="CO111" t="s">
        <v>59</v>
      </c>
      <c r="CP111" t="s">
        <v>218</v>
      </c>
      <c r="CQ111" t="s">
        <v>218</v>
      </c>
      <c r="CR111" t="s">
        <v>59</v>
      </c>
      <c r="CS111" t="s">
        <v>59</v>
      </c>
      <c r="CT111" t="s">
        <v>59</v>
      </c>
      <c r="CU111" t="s">
        <v>59</v>
      </c>
      <c r="CV111" t="s">
        <v>59</v>
      </c>
      <c r="CW111" t="s">
        <v>59</v>
      </c>
      <c r="CX111" t="s">
        <v>59</v>
      </c>
      <c r="CY111" t="s">
        <v>59</v>
      </c>
      <c r="CZ111" t="s">
        <v>59</v>
      </c>
      <c r="DA111" t="s">
        <v>59</v>
      </c>
      <c r="DB111" t="s">
        <v>59</v>
      </c>
      <c r="DC111" t="s">
        <v>59</v>
      </c>
      <c r="DD111" t="s">
        <v>59</v>
      </c>
      <c r="DE111" t="s">
        <v>59</v>
      </c>
      <c r="DF111" t="s">
        <v>59</v>
      </c>
      <c r="DG111" t="s">
        <v>59</v>
      </c>
      <c r="DH111" t="s">
        <v>59</v>
      </c>
      <c r="DI111" t="s">
        <v>59</v>
      </c>
      <c r="DJ111" t="s">
        <v>59</v>
      </c>
      <c r="DK111" t="s">
        <v>59</v>
      </c>
      <c r="DL111" t="s">
        <v>59</v>
      </c>
      <c r="DM111" t="s">
        <v>59</v>
      </c>
      <c r="DN111" t="s">
        <v>59</v>
      </c>
      <c r="DO111" t="s">
        <v>218</v>
      </c>
      <c r="DP111" t="s">
        <v>59</v>
      </c>
      <c r="DQ111" t="s">
        <v>218</v>
      </c>
      <c r="DR111" t="s">
        <v>218</v>
      </c>
      <c r="DS111" t="s">
        <v>218</v>
      </c>
      <c r="DT111" t="s">
        <v>218</v>
      </c>
      <c r="DU111" t="s">
        <v>218</v>
      </c>
      <c r="DV111" t="s">
        <v>218</v>
      </c>
      <c r="DW111" t="s">
        <v>218</v>
      </c>
      <c r="DX111" t="s">
        <v>218</v>
      </c>
      <c r="DY111" t="s">
        <v>218</v>
      </c>
      <c r="DZ111" t="s">
        <v>218</v>
      </c>
      <c r="EA111" t="s">
        <v>218</v>
      </c>
      <c r="EB111" t="s">
        <v>218</v>
      </c>
      <c r="EC111" t="s">
        <v>218</v>
      </c>
      <c r="ED111" t="s">
        <v>59</v>
      </c>
      <c r="EE111" t="s">
        <v>59</v>
      </c>
      <c r="EF111" t="s">
        <v>59</v>
      </c>
      <c r="EG111" t="s">
        <v>59</v>
      </c>
      <c r="EH111" t="s">
        <v>59</v>
      </c>
      <c r="EI111" t="s">
        <v>59</v>
      </c>
      <c r="EJ111" t="s">
        <v>59</v>
      </c>
      <c r="EK111" t="s">
        <v>59</v>
      </c>
      <c r="EL111" t="s">
        <v>59</v>
      </c>
      <c r="EM111" t="s">
        <v>59</v>
      </c>
      <c r="EN111" t="s">
        <v>59</v>
      </c>
      <c r="EO111" t="s">
        <v>59</v>
      </c>
      <c r="EP111" t="s">
        <v>59</v>
      </c>
      <c r="EQ111" t="s">
        <v>59</v>
      </c>
      <c r="ER111" t="s">
        <v>59</v>
      </c>
      <c r="ES111" t="s">
        <v>59</v>
      </c>
      <c r="ET111" t="s">
        <v>59</v>
      </c>
      <c r="EU111" t="s">
        <v>59</v>
      </c>
      <c r="EV111" t="s">
        <v>59</v>
      </c>
      <c r="EW111" t="s">
        <v>59</v>
      </c>
      <c r="EX111" t="s">
        <v>59</v>
      </c>
      <c r="EY111" t="s">
        <v>59</v>
      </c>
      <c r="EZ111" t="s">
        <v>59</v>
      </c>
      <c r="FA111" t="s">
        <v>59</v>
      </c>
      <c r="FB111" t="s">
        <v>218</v>
      </c>
      <c r="FC111" t="s">
        <v>218</v>
      </c>
      <c r="FD111" t="s">
        <v>218</v>
      </c>
      <c r="FE111" t="s">
        <v>218</v>
      </c>
      <c r="FF111" t="s">
        <v>218</v>
      </c>
      <c r="FG111" t="s">
        <v>218</v>
      </c>
      <c r="FH111" t="s">
        <v>59</v>
      </c>
      <c r="FI111" t="s">
        <v>59</v>
      </c>
      <c r="FJ111" t="s">
        <v>59</v>
      </c>
      <c r="FK111" t="s">
        <v>59</v>
      </c>
      <c r="FL111" t="s">
        <v>59</v>
      </c>
      <c r="FM111" t="s">
        <v>59</v>
      </c>
      <c r="FN111" t="s">
        <v>218</v>
      </c>
      <c r="FO111" t="s">
        <v>59</v>
      </c>
      <c r="FP111" t="s">
        <v>59</v>
      </c>
      <c r="FQ111" t="s">
        <v>59</v>
      </c>
      <c r="FR111" t="s">
        <v>59</v>
      </c>
      <c r="FS111" t="s">
        <v>218</v>
      </c>
      <c r="FT111" t="s">
        <v>59</v>
      </c>
      <c r="FU111" t="s">
        <v>59</v>
      </c>
      <c r="FV111" t="s">
        <v>59</v>
      </c>
      <c r="FW111" t="s">
        <v>59</v>
      </c>
      <c r="FX111" t="s">
        <v>59</v>
      </c>
      <c r="FY111" t="s">
        <v>59</v>
      </c>
      <c r="FZ111" t="s">
        <v>59</v>
      </c>
      <c r="GA111" t="s">
        <v>59</v>
      </c>
      <c r="GB111" t="s">
        <v>59</v>
      </c>
      <c r="GC111" t="s">
        <v>59</v>
      </c>
      <c r="GD111" t="s">
        <v>59</v>
      </c>
      <c r="GE111" t="s">
        <v>59</v>
      </c>
      <c r="GF111" t="s">
        <v>59</v>
      </c>
      <c r="GG111" t="s">
        <v>59</v>
      </c>
      <c r="GH111" t="s">
        <v>59</v>
      </c>
      <c r="GI111" t="s">
        <v>59</v>
      </c>
      <c r="GJ111" t="s">
        <v>59</v>
      </c>
      <c r="GK111" t="s">
        <v>218</v>
      </c>
      <c r="GL111" t="s">
        <v>59</v>
      </c>
      <c r="GM111" t="s">
        <v>59</v>
      </c>
      <c r="GN111" t="s">
        <v>59</v>
      </c>
      <c r="GO111" t="s">
        <v>59</v>
      </c>
      <c r="GP111" t="s">
        <v>59</v>
      </c>
      <c r="GQ111" t="s">
        <v>218</v>
      </c>
      <c r="GR111" t="s">
        <v>59</v>
      </c>
      <c r="GS111" t="s">
        <v>59</v>
      </c>
      <c r="GT111" t="s">
        <v>218</v>
      </c>
      <c r="GU111" t="s">
        <v>218</v>
      </c>
      <c r="GV111" t="s">
        <v>218</v>
      </c>
      <c r="GW111" t="s">
        <v>59</v>
      </c>
      <c r="GX111" t="s">
        <v>59</v>
      </c>
      <c r="GY111" t="s">
        <v>59</v>
      </c>
      <c r="GZ111" t="s">
        <v>218</v>
      </c>
      <c r="HA111" t="s">
        <v>59</v>
      </c>
      <c r="HB111" t="s">
        <v>59</v>
      </c>
      <c r="HC111" t="s">
        <v>59</v>
      </c>
      <c r="HD111" t="s">
        <v>59</v>
      </c>
      <c r="HE111" t="s">
        <v>59</v>
      </c>
      <c r="HF111" t="s">
        <v>59</v>
      </c>
      <c r="HG111" t="s">
        <v>59</v>
      </c>
      <c r="HH111" t="s">
        <v>59</v>
      </c>
      <c r="HI111" t="s">
        <v>59</v>
      </c>
      <c r="HJ111" t="s">
        <v>59</v>
      </c>
      <c r="HK111" t="s">
        <v>59</v>
      </c>
      <c r="HL111" t="s">
        <v>218</v>
      </c>
      <c r="HM111" t="s">
        <v>218</v>
      </c>
      <c r="HN111" t="s">
        <v>218</v>
      </c>
      <c r="HO111" t="s">
        <v>218</v>
      </c>
      <c r="HP111" t="s">
        <v>59</v>
      </c>
      <c r="HQ111" t="s">
        <v>59</v>
      </c>
      <c r="HR111" t="s">
        <v>59</v>
      </c>
      <c r="HS111" t="s">
        <v>59</v>
      </c>
      <c r="HT111" t="s">
        <v>59</v>
      </c>
      <c r="HU111" t="s">
        <v>59</v>
      </c>
      <c r="HV111" t="s">
        <v>59</v>
      </c>
      <c r="HW111" t="s">
        <v>59</v>
      </c>
      <c r="HX111" t="s">
        <v>59</v>
      </c>
      <c r="HY111" t="s">
        <v>59</v>
      </c>
      <c r="HZ111" t="s">
        <v>59</v>
      </c>
      <c r="IA111" t="s">
        <v>59</v>
      </c>
      <c r="IB111" t="s">
        <v>59</v>
      </c>
      <c r="IC111" t="s">
        <v>59</v>
      </c>
      <c r="ID111" t="s">
        <v>59</v>
      </c>
      <c r="IE111" t="s">
        <v>59</v>
      </c>
      <c r="IF111" t="s">
        <v>59</v>
      </c>
      <c r="IG111" t="s">
        <v>59</v>
      </c>
      <c r="IH111" t="s">
        <v>59</v>
      </c>
      <c r="II111" t="s">
        <v>59</v>
      </c>
      <c r="IJ111" t="s">
        <v>129</v>
      </c>
      <c r="IK111" t="s">
        <v>191</v>
      </c>
      <c r="IL111" t="s">
        <v>128</v>
      </c>
      <c r="IM111" t="s">
        <v>199</v>
      </c>
      <c r="IN111">
        <v>30</v>
      </c>
      <c r="IO111" t="s">
        <v>2730</v>
      </c>
      <c r="IP111" t="s">
        <v>2730</v>
      </c>
      <c r="IQ111" t="s">
        <v>2730</v>
      </c>
      <c r="IR111">
        <v>15</v>
      </c>
      <c r="IS111" t="s">
        <v>2730</v>
      </c>
      <c r="IT111" t="s">
        <v>2730</v>
      </c>
      <c r="IU111" t="s">
        <v>2730</v>
      </c>
      <c r="IV111">
        <v>17</v>
      </c>
      <c r="IW111" t="s">
        <v>2730</v>
      </c>
      <c r="IX111" t="s">
        <v>2730</v>
      </c>
      <c r="IY111" t="s">
        <v>2730</v>
      </c>
      <c r="IZ111">
        <v>39</v>
      </c>
      <c r="JA111" t="s">
        <v>2730</v>
      </c>
      <c r="JB111" t="s">
        <v>2730</v>
      </c>
      <c r="JC111" t="s">
        <v>2730</v>
      </c>
      <c r="JD111">
        <v>23</v>
      </c>
      <c r="JE111" t="s">
        <v>2730</v>
      </c>
      <c r="JF111" t="s">
        <v>2730</v>
      </c>
      <c r="JG111" t="s">
        <v>2730</v>
      </c>
      <c r="JH111">
        <v>21</v>
      </c>
      <c r="JI111" t="s">
        <v>2730</v>
      </c>
      <c r="JJ111" t="s">
        <v>2730</v>
      </c>
      <c r="JK111" t="s">
        <v>2730</v>
      </c>
      <c r="JL111">
        <v>16</v>
      </c>
      <c r="JM111" t="s">
        <v>2730</v>
      </c>
      <c r="JN111" t="s">
        <v>2730</v>
      </c>
      <c r="JO111">
        <v>4</v>
      </c>
      <c r="JP111" t="s">
        <v>2730</v>
      </c>
      <c r="JQ111" t="s">
        <v>2730</v>
      </c>
    </row>
    <row r="112" spans="1:277">
      <c r="A112" s="149" t="str">
        <f>HYPERLINK("http://www.ofsted.gov.uk/inspection-reports/find-inspection-report/provider/ELS/124899 ","Ofsted School Webpage")</f>
        <v>Ofsted School Webpage</v>
      </c>
      <c r="B112">
        <v>1133708</v>
      </c>
      <c r="C112">
        <v>124899</v>
      </c>
      <c r="D112">
        <v>9356076</v>
      </c>
      <c r="E112" t="s">
        <v>296</v>
      </c>
      <c r="F112" t="s">
        <v>37</v>
      </c>
      <c r="G112" t="s">
        <v>209</v>
      </c>
      <c r="H112" t="s">
        <v>220</v>
      </c>
      <c r="I112" t="s">
        <v>220</v>
      </c>
      <c r="J112" t="s">
        <v>297</v>
      </c>
      <c r="K112" t="s">
        <v>298</v>
      </c>
      <c r="L112" t="s">
        <v>184</v>
      </c>
      <c r="M112" t="s">
        <v>185</v>
      </c>
      <c r="N112" t="s">
        <v>292</v>
      </c>
      <c r="O112" t="s">
        <v>2730</v>
      </c>
      <c r="P112" t="s">
        <v>186</v>
      </c>
      <c r="Q112">
        <v>10026063</v>
      </c>
      <c r="R112" s="120">
        <v>43011</v>
      </c>
      <c r="S112" s="120">
        <v>43013</v>
      </c>
      <c r="T112" s="120">
        <v>43052</v>
      </c>
      <c r="U112" t="s">
        <v>2730</v>
      </c>
      <c r="V112" t="s">
        <v>196</v>
      </c>
      <c r="W112" t="s">
        <v>2730</v>
      </c>
      <c r="X112" t="s">
        <v>197</v>
      </c>
      <c r="Y112">
        <v>3</v>
      </c>
      <c r="Z112">
        <v>3</v>
      </c>
      <c r="AA112">
        <v>2</v>
      </c>
      <c r="AB112">
        <v>3</v>
      </c>
      <c r="AC112">
        <v>3</v>
      </c>
      <c r="AD112" t="s">
        <v>2730</v>
      </c>
      <c r="AE112">
        <v>3</v>
      </c>
      <c r="AF112" t="s">
        <v>128</v>
      </c>
      <c r="AG112" t="s">
        <v>2730</v>
      </c>
      <c r="AH112" t="s">
        <v>2733</v>
      </c>
      <c r="AI112" t="s">
        <v>60</v>
      </c>
      <c r="AJ112" t="s">
        <v>59</v>
      </c>
      <c r="AK112" t="s">
        <v>59</v>
      </c>
      <c r="AL112" t="s">
        <v>59</v>
      </c>
      <c r="AM112" t="s">
        <v>60</v>
      </c>
      <c r="AN112" t="s">
        <v>59</v>
      </c>
      <c r="AO112" t="s">
        <v>59</v>
      </c>
      <c r="AP112" t="s">
        <v>60</v>
      </c>
      <c r="AQ112" t="s">
        <v>60</v>
      </c>
      <c r="AR112" t="s">
        <v>60</v>
      </c>
      <c r="AS112" t="s">
        <v>60</v>
      </c>
      <c r="AT112" t="s">
        <v>60</v>
      </c>
      <c r="AU112" t="s">
        <v>59</v>
      </c>
      <c r="AV112" t="s">
        <v>60</v>
      </c>
      <c r="AW112" t="s">
        <v>60</v>
      </c>
      <c r="AX112" t="s">
        <v>59</v>
      </c>
      <c r="AY112" t="s">
        <v>191</v>
      </c>
      <c r="AZ112" t="s">
        <v>59</v>
      </c>
      <c r="BA112" t="s">
        <v>59</v>
      </c>
      <c r="BB112" t="s">
        <v>59</v>
      </c>
      <c r="BC112" t="s">
        <v>60</v>
      </c>
      <c r="BD112" t="s">
        <v>59</v>
      </c>
      <c r="BE112" t="s">
        <v>60</v>
      </c>
      <c r="BF112" t="s">
        <v>60</v>
      </c>
      <c r="BG112" t="s">
        <v>191</v>
      </c>
      <c r="BH112" t="s">
        <v>59</v>
      </c>
      <c r="BI112" t="s">
        <v>60</v>
      </c>
      <c r="BJ112" t="s">
        <v>59</v>
      </c>
      <c r="BK112" t="s">
        <v>60</v>
      </c>
      <c r="BL112" t="s">
        <v>60</v>
      </c>
      <c r="BM112" t="s">
        <v>60</v>
      </c>
      <c r="BN112" t="s">
        <v>60</v>
      </c>
      <c r="BO112" t="s">
        <v>60</v>
      </c>
      <c r="BP112" t="s">
        <v>59</v>
      </c>
      <c r="BQ112" t="s">
        <v>59</v>
      </c>
      <c r="BR112" t="s">
        <v>60</v>
      </c>
      <c r="BS112" t="s">
        <v>59</v>
      </c>
      <c r="BT112" t="s">
        <v>59</v>
      </c>
      <c r="BU112" t="s">
        <v>59</v>
      </c>
      <c r="BV112" t="s">
        <v>59</v>
      </c>
      <c r="BW112" t="s">
        <v>59</v>
      </c>
      <c r="BX112" t="s">
        <v>59</v>
      </c>
      <c r="BY112" t="s">
        <v>59</v>
      </c>
      <c r="BZ112" t="s">
        <v>59</v>
      </c>
      <c r="CA112" t="s">
        <v>59</v>
      </c>
      <c r="CB112" t="s">
        <v>59</v>
      </c>
      <c r="CC112" t="s">
        <v>203</v>
      </c>
      <c r="CD112" t="s">
        <v>59</v>
      </c>
      <c r="CE112" t="s">
        <v>59</v>
      </c>
      <c r="CF112" t="s">
        <v>59</v>
      </c>
      <c r="CG112" t="s">
        <v>59</v>
      </c>
      <c r="CH112" t="s">
        <v>59</v>
      </c>
      <c r="CI112" t="s">
        <v>59</v>
      </c>
      <c r="CJ112" t="s">
        <v>59</v>
      </c>
      <c r="CK112" t="s">
        <v>59</v>
      </c>
      <c r="CL112" t="s">
        <v>59</v>
      </c>
      <c r="CM112" t="s">
        <v>59</v>
      </c>
      <c r="CN112" t="s">
        <v>59</v>
      </c>
      <c r="CO112" t="s">
        <v>203</v>
      </c>
      <c r="CP112" t="s">
        <v>60</v>
      </c>
      <c r="CQ112" t="s">
        <v>60</v>
      </c>
      <c r="CR112" t="s">
        <v>59</v>
      </c>
      <c r="CS112" t="s">
        <v>59</v>
      </c>
      <c r="CT112" t="s">
        <v>59</v>
      </c>
      <c r="CU112" t="s">
        <v>59</v>
      </c>
      <c r="CV112" t="s">
        <v>59</v>
      </c>
      <c r="CW112" t="s">
        <v>203</v>
      </c>
      <c r="CX112" t="s">
        <v>59</v>
      </c>
      <c r="CY112" t="s">
        <v>59</v>
      </c>
      <c r="CZ112" t="s">
        <v>59</v>
      </c>
      <c r="DA112" t="s">
        <v>59</v>
      </c>
      <c r="DB112" t="s">
        <v>59</v>
      </c>
      <c r="DC112" t="s">
        <v>59</v>
      </c>
      <c r="DD112" t="s">
        <v>59</v>
      </c>
      <c r="DE112" t="s">
        <v>59</v>
      </c>
      <c r="DF112" t="s">
        <v>59</v>
      </c>
      <c r="DG112" t="s">
        <v>59</v>
      </c>
      <c r="DH112" t="s">
        <v>59</v>
      </c>
      <c r="DI112" t="s">
        <v>59</v>
      </c>
      <c r="DJ112" t="s">
        <v>59</v>
      </c>
      <c r="DK112" t="s">
        <v>59</v>
      </c>
      <c r="DL112" t="s">
        <v>59</v>
      </c>
      <c r="DM112" t="s">
        <v>59</v>
      </c>
      <c r="DN112" t="s">
        <v>59</v>
      </c>
      <c r="DO112" t="s">
        <v>59</v>
      </c>
      <c r="DP112" t="s">
        <v>59</v>
      </c>
      <c r="DQ112" t="s">
        <v>191</v>
      </c>
      <c r="DR112" t="s">
        <v>191</v>
      </c>
      <c r="DS112" t="s">
        <v>191</v>
      </c>
      <c r="DT112" t="s">
        <v>191</v>
      </c>
      <c r="DU112" t="s">
        <v>191</v>
      </c>
      <c r="DV112" t="s">
        <v>191</v>
      </c>
      <c r="DW112" t="s">
        <v>191</v>
      </c>
      <c r="DX112" t="s">
        <v>191</v>
      </c>
      <c r="DY112" t="s">
        <v>191</v>
      </c>
      <c r="DZ112" t="s">
        <v>191</v>
      </c>
      <c r="EA112" t="s">
        <v>191</v>
      </c>
      <c r="EB112" t="s">
        <v>191</v>
      </c>
      <c r="EC112" t="s">
        <v>191</v>
      </c>
      <c r="ED112" t="s">
        <v>191</v>
      </c>
      <c r="EE112" t="s">
        <v>191</v>
      </c>
      <c r="EF112" t="s">
        <v>191</v>
      </c>
      <c r="EG112" t="s">
        <v>191</v>
      </c>
      <c r="EH112" t="s">
        <v>191</v>
      </c>
      <c r="EI112" t="s">
        <v>191</v>
      </c>
      <c r="EJ112" t="s">
        <v>191</v>
      </c>
      <c r="EK112" t="s">
        <v>191</v>
      </c>
      <c r="EL112" t="s">
        <v>191</v>
      </c>
      <c r="EM112" t="s">
        <v>191</v>
      </c>
      <c r="EN112" t="s">
        <v>59</v>
      </c>
      <c r="EO112" t="s">
        <v>59</v>
      </c>
      <c r="EP112" t="s">
        <v>59</v>
      </c>
      <c r="EQ112" t="s">
        <v>59</v>
      </c>
      <c r="ER112" t="s">
        <v>59</v>
      </c>
      <c r="ES112" t="s">
        <v>59</v>
      </c>
      <c r="ET112" t="s">
        <v>59</v>
      </c>
      <c r="EU112" t="s">
        <v>59</v>
      </c>
      <c r="EV112" t="s">
        <v>59</v>
      </c>
      <c r="EW112" t="s">
        <v>59</v>
      </c>
      <c r="EX112" t="s">
        <v>59</v>
      </c>
      <c r="EY112" t="s">
        <v>59</v>
      </c>
      <c r="EZ112" t="s">
        <v>59</v>
      </c>
      <c r="FA112" t="s">
        <v>59</v>
      </c>
      <c r="FB112" t="s">
        <v>59</v>
      </c>
      <c r="FC112" t="s">
        <v>59</v>
      </c>
      <c r="FD112" t="s">
        <v>59</v>
      </c>
      <c r="FE112" t="s">
        <v>59</v>
      </c>
      <c r="FF112" t="s">
        <v>59</v>
      </c>
      <c r="FG112" t="s">
        <v>59</v>
      </c>
      <c r="FH112" t="s">
        <v>59</v>
      </c>
      <c r="FI112" t="s">
        <v>203</v>
      </c>
      <c r="FJ112" t="s">
        <v>191</v>
      </c>
      <c r="FK112" t="s">
        <v>191</v>
      </c>
      <c r="FL112" t="s">
        <v>60</v>
      </c>
      <c r="FM112" t="s">
        <v>59</v>
      </c>
      <c r="FN112" t="s">
        <v>59</v>
      </c>
      <c r="FO112" t="s">
        <v>60</v>
      </c>
      <c r="FP112" t="s">
        <v>59</v>
      </c>
      <c r="FQ112" t="s">
        <v>59</v>
      </c>
      <c r="FR112" t="s">
        <v>59</v>
      </c>
      <c r="FS112" t="s">
        <v>191</v>
      </c>
      <c r="FT112" t="s">
        <v>59</v>
      </c>
      <c r="FU112" t="s">
        <v>59</v>
      </c>
      <c r="FV112" t="s">
        <v>59</v>
      </c>
      <c r="FW112" t="s">
        <v>60</v>
      </c>
      <c r="FX112" t="s">
        <v>60</v>
      </c>
      <c r="FY112" t="s">
        <v>60</v>
      </c>
      <c r="FZ112" t="s">
        <v>60</v>
      </c>
      <c r="GA112" t="s">
        <v>59</v>
      </c>
      <c r="GB112" t="s">
        <v>59</v>
      </c>
      <c r="GC112" t="s">
        <v>59</v>
      </c>
      <c r="GD112" t="s">
        <v>60</v>
      </c>
      <c r="GE112" t="s">
        <v>59</v>
      </c>
      <c r="GF112" t="s">
        <v>59</v>
      </c>
      <c r="GG112" t="s">
        <v>59</v>
      </c>
      <c r="GH112" t="s">
        <v>59</v>
      </c>
      <c r="GI112" t="s">
        <v>59</v>
      </c>
      <c r="GJ112" t="s">
        <v>59</v>
      </c>
      <c r="GK112" t="s">
        <v>59</v>
      </c>
      <c r="GL112" t="s">
        <v>59</v>
      </c>
      <c r="GM112" t="s">
        <v>59</v>
      </c>
      <c r="GN112" t="s">
        <v>59</v>
      </c>
      <c r="GO112" t="s">
        <v>59</v>
      </c>
      <c r="GP112" t="s">
        <v>59</v>
      </c>
      <c r="GQ112" t="s">
        <v>59</v>
      </c>
      <c r="GR112" t="s">
        <v>59</v>
      </c>
      <c r="GS112" t="s">
        <v>59</v>
      </c>
      <c r="GT112" t="s">
        <v>191</v>
      </c>
      <c r="GU112" t="s">
        <v>191</v>
      </c>
      <c r="GV112" t="s">
        <v>191</v>
      </c>
      <c r="GW112" t="s">
        <v>59</v>
      </c>
      <c r="GX112" t="s">
        <v>59</v>
      </c>
      <c r="GY112" t="s">
        <v>59</v>
      </c>
      <c r="GZ112" t="s">
        <v>59</v>
      </c>
      <c r="HA112" t="s">
        <v>191</v>
      </c>
      <c r="HB112" t="s">
        <v>191</v>
      </c>
      <c r="HC112" t="s">
        <v>59</v>
      </c>
      <c r="HD112" t="s">
        <v>59</v>
      </c>
      <c r="HE112" t="s">
        <v>59</v>
      </c>
      <c r="HF112" t="s">
        <v>59</v>
      </c>
      <c r="HG112" t="s">
        <v>59</v>
      </c>
      <c r="HH112" t="s">
        <v>59</v>
      </c>
      <c r="HI112" t="s">
        <v>59</v>
      </c>
      <c r="HJ112" t="s">
        <v>59</v>
      </c>
      <c r="HK112" t="s">
        <v>59</v>
      </c>
      <c r="HL112" t="s">
        <v>203</v>
      </c>
      <c r="HM112" t="s">
        <v>191</v>
      </c>
      <c r="HN112" t="s">
        <v>191</v>
      </c>
      <c r="HO112" t="s">
        <v>191</v>
      </c>
      <c r="HP112" t="s">
        <v>59</v>
      </c>
      <c r="HQ112" t="s">
        <v>59</v>
      </c>
      <c r="HR112" t="s">
        <v>59</v>
      </c>
      <c r="HS112" t="s">
        <v>59</v>
      </c>
      <c r="HT112" t="s">
        <v>59</v>
      </c>
      <c r="HU112" t="s">
        <v>59</v>
      </c>
      <c r="HV112" t="s">
        <v>59</v>
      </c>
      <c r="HW112" t="s">
        <v>59</v>
      </c>
      <c r="HX112" t="s">
        <v>59</v>
      </c>
      <c r="HY112" t="s">
        <v>59</v>
      </c>
      <c r="HZ112" t="s">
        <v>59</v>
      </c>
      <c r="IA112" t="s">
        <v>59</v>
      </c>
      <c r="IB112" t="s">
        <v>59</v>
      </c>
      <c r="IC112" t="s">
        <v>59</v>
      </c>
      <c r="ID112" t="s">
        <v>59</v>
      </c>
      <c r="IE112" t="s">
        <v>59</v>
      </c>
      <c r="IF112" t="s">
        <v>60</v>
      </c>
      <c r="IG112" t="s">
        <v>60</v>
      </c>
      <c r="IH112" t="s">
        <v>60</v>
      </c>
      <c r="II112" t="s">
        <v>60</v>
      </c>
      <c r="IJ112" t="s">
        <v>129</v>
      </c>
      <c r="IK112" t="s">
        <v>198</v>
      </c>
      <c r="IL112" t="s">
        <v>129</v>
      </c>
      <c r="IM112" t="s">
        <v>199</v>
      </c>
      <c r="IN112">
        <v>14</v>
      </c>
      <c r="IO112" t="s">
        <v>2730</v>
      </c>
      <c r="IP112">
        <v>2</v>
      </c>
      <c r="IQ112">
        <v>16</v>
      </c>
      <c r="IR112">
        <v>14</v>
      </c>
      <c r="IS112">
        <v>1</v>
      </c>
      <c r="IT112" t="s">
        <v>2730</v>
      </c>
      <c r="IU112" t="s">
        <v>2730</v>
      </c>
      <c r="IV112">
        <v>15</v>
      </c>
      <c r="IW112">
        <v>2</v>
      </c>
      <c r="IX112" t="s">
        <v>2730</v>
      </c>
      <c r="IY112">
        <v>2</v>
      </c>
      <c r="IZ112">
        <v>33</v>
      </c>
      <c r="JA112">
        <v>1</v>
      </c>
      <c r="JB112">
        <v>25</v>
      </c>
      <c r="JC112" t="s">
        <v>2730</v>
      </c>
      <c r="JD112">
        <v>18</v>
      </c>
      <c r="JE112" t="s">
        <v>2730</v>
      </c>
      <c r="JF112">
        <v>1</v>
      </c>
      <c r="JG112">
        <v>7</v>
      </c>
      <c r="JH112">
        <v>21</v>
      </c>
      <c r="JI112">
        <v>1</v>
      </c>
      <c r="JJ112">
        <v>8</v>
      </c>
      <c r="JK112" t="s">
        <v>2730</v>
      </c>
      <c r="JL112">
        <v>16</v>
      </c>
      <c r="JM112" t="s">
        <v>2730</v>
      </c>
      <c r="JN112" t="s">
        <v>2730</v>
      </c>
      <c r="JO112" t="s">
        <v>2730</v>
      </c>
      <c r="JP112" t="s">
        <v>2730</v>
      </c>
      <c r="JQ112">
        <v>4</v>
      </c>
    </row>
    <row r="113" spans="1:277">
      <c r="A113" s="149" t="str">
        <f>HYPERLINK("http://www.ofsted.gov.uk/inspection-reports/find-inspection-report/provider/ELS/140205 ","Ofsted School Webpage")</f>
        <v>Ofsted School Webpage</v>
      </c>
      <c r="B113">
        <v>1132062</v>
      </c>
      <c r="C113">
        <v>140205</v>
      </c>
      <c r="D113">
        <v>3516002</v>
      </c>
      <c r="E113" t="s">
        <v>452</v>
      </c>
      <c r="F113" t="s">
        <v>38</v>
      </c>
      <c r="G113" t="s">
        <v>180</v>
      </c>
      <c r="H113" t="s">
        <v>205</v>
      </c>
      <c r="I113" t="s">
        <v>205</v>
      </c>
      <c r="J113" t="s">
        <v>453</v>
      </c>
      <c r="K113" t="s">
        <v>454</v>
      </c>
      <c r="L113" t="s">
        <v>184</v>
      </c>
      <c r="M113" t="s">
        <v>185</v>
      </c>
      <c r="N113" t="s">
        <v>184</v>
      </c>
      <c r="O113" t="s">
        <v>2730</v>
      </c>
      <c r="P113" t="s">
        <v>186</v>
      </c>
      <c r="Q113">
        <v>10034033</v>
      </c>
      <c r="R113" s="120">
        <v>43025</v>
      </c>
      <c r="S113" s="120">
        <v>43027</v>
      </c>
      <c r="T113" s="120">
        <v>43052</v>
      </c>
      <c r="U113" t="s">
        <v>2730</v>
      </c>
      <c r="V113" t="s">
        <v>196</v>
      </c>
      <c r="W113" t="s">
        <v>2730</v>
      </c>
      <c r="X113" t="s">
        <v>197</v>
      </c>
      <c r="Y113">
        <v>2</v>
      </c>
      <c r="Z113">
        <v>2</v>
      </c>
      <c r="AA113">
        <v>2</v>
      </c>
      <c r="AB113">
        <v>2</v>
      </c>
      <c r="AC113">
        <v>2</v>
      </c>
      <c r="AD113" t="s">
        <v>2730</v>
      </c>
      <c r="AE113" t="s">
        <v>2730</v>
      </c>
      <c r="AF113" t="s">
        <v>128</v>
      </c>
      <c r="AG113" t="s">
        <v>2730</v>
      </c>
      <c r="AH113" t="s">
        <v>2732</v>
      </c>
      <c r="AI113" t="s">
        <v>59</v>
      </c>
      <c r="AJ113" t="s">
        <v>59</v>
      </c>
      <c r="AK113" t="s">
        <v>59</v>
      </c>
      <c r="AL113" t="s">
        <v>59</v>
      </c>
      <c r="AM113" t="s">
        <v>59</v>
      </c>
      <c r="AN113" t="s">
        <v>59</v>
      </c>
      <c r="AO113" t="s">
        <v>59</v>
      </c>
      <c r="AP113" t="s">
        <v>59</v>
      </c>
      <c r="AQ113" t="s">
        <v>59</v>
      </c>
      <c r="AR113" t="s">
        <v>59</v>
      </c>
      <c r="AS113" t="s">
        <v>59</v>
      </c>
      <c r="AT113" t="s">
        <v>59</v>
      </c>
      <c r="AU113" t="s">
        <v>59</v>
      </c>
      <c r="AV113" t="s">
        <v>59</v>
      </c>
      <c r="AW113" t="s">
        <v>59</v>
      </c>
      <c r="AX113" t="s">
        <v>59</v>
      </c>
      <c r="AY113" t="s">
        <v>218</v>
      </c>
      <c r="AZ113" t="s">
        <v>59</v>
      </c>
      <c r="BA113" t="s">
        <v>59</v>
      </c>
      <c r="BB113" t="s">
        <v>59</v>
      </c>
      <c r="BC113" t="s">
        <v>59</v>
      </c>
      <c r="BD113" t="s">
        <v>59</v>
      </c>
      <c r="BE113" t="s">
        <v>59</v>
      </c>
      <c r="BF113" t="s">
        <v>59</v>
      </c>
      <c r="BG113" t="s">
        <v>218</v>
      </c>
      <c r="BH113" t="s">
        <v>218</v>
      </c>
      <c r="BI113" t="s">
        <v>59</v>
      </c>
      <c r="BJ113" t="s">
        <v>59</v>
      </c>
      <c r="BK113" t="s">
        <v>59</v>
      </c>
      <c r="BL113" t="s">
        <v>59</v>
      </c>
      <c r="BM113" t="s">
        <v>59</v>
      </c>
      <c r="BN113" t="s">
        <v>59</v>
      </c>
      <c r="BO113" t="s">
        <v>59</v>
      </c>
      <c r="BP113" t="s">
        <v>59</v>
      </c>
      <c r="BQ113" t="s">
        <v>59</v>
      </c>
      <c r="BR113" t="s">
        <v>59</v>
      </c>
      <c r="BS113" t="s">
        <v>59</v>
      </c>
      <c r="BT113" t="s">
        <v>59</v>
      </c>
      <c r="BU113" t="s">
        <v>59</v>
      </c>
      <c r="BV113" t="s">
        <v>59</v>
      </c>
      <c r="BW113" t="s">
        <v>59</v>
      </c>
      <c r="BX113" t="s">
        <v>59</v>
      </c>
      <c r="BY113" t="s">
        <v>59</v>
      </c>
      <c r="BZ113" t="s">
        <v>59</v>
      </c>
      <c r="CA113" t="s">
        <v>59</v>
      </c>
      <c r="CB113" t="s">
        <v>59</v>
      </c>
      <c r="CC113" t="s">
        <v>59</v>
      </c>
      <c r="CD113" t="s">
        <v>59</v>
      </c>
      <c r="CE113" t="s">
        <v>59</v>
      </c>
      <c r="CF113" t="s">
        <v>59</v>
      </c>
      <c r="CG113" t="s">
        <v>59</v>
      </c>
      <c r="CH113" t="s">
        <v>59</v>
      </c>
      <c r="CI113" t="s">
        <v>59</v>
      </c>
      <c r="CJ113" t="s">
        <v>59</v>
      </c>
      <c r="CK113" t="s">
        <v>59</v>
      </c>
      <c r="CL113" t="s">
        <v>59</v>
      </c>
      <c r="CM113" t="s">
        <v>59</v>
      </c>
      <c r="CN113" t="s">
        <v>59</v>
      </c>
      <c r="CO113" t="s">
        <v>218</v>
      </c>
      <c r="CP113" t="s">
        <v>218</v>
      </c>
      <c r="CQ113" t="s">
        <v>218</v>
      </c>
      <c r="CR113" t="s">
        <v>59</v>
      </c>
      <c r="CS113" t="s">
        <v>59</v>
      </c>
      <c r="CT113" t="s">
        <v>59</v>
      </c>
      <c r="CU113" t="s">
        <v>59</v>
      </c>
      <c r="CV113" t="s">
        <v>59</v>
      </c>
      <c r="CW113" t="s">
        <v>59</v>
      </c>
      <c r="CX113" t="s">
        <v>59</v>
      </c>
      <c r="CY113" t="s">
        <v>59</v>
      </c>
      <c r="CZ113" t="s">
        <v>59</v>
      </c>
      <c r="DA113" t="s">
        <v>59</v>
      </c>
      <c r="DB113" t="s">
        <v>59</v>
      </c>
      <c r="DC113" t="s">
        <v>59</v>
      </c>
      <c r="DD113" t="s">
        <v>59</v>
      </c>
      <c r="DE113" t="s">
        <v>59</v>
      </c>
      <c r="DF113" t="s">
        <v>59</v>
      </c>
      <c r="DG113" t="s">
        <v>59</v>
      </c>
      <c r="DH113" t="s">
        <v>59</v>
      </c>
      <c r="DI113" t="s">
        <v>59</v>
      </c>
      <c r="DJ113" t="s">
        <v>59</v>
      </c>
      <c r="DK113" t="s">
        <v>59</v>
      </c>
      <c r="DL113" t="s">
        <v>59</v>
      </c>
      <c r="DM113" t="s">
        <v>59</v>
      </c>
      <c r="DN113" t="s">
        <v>59</v>
      </c>
      <c r="DO113" t="s">
        <v>218</v>
      </c>
      <c r="DP113" t="s">
        <v>59</v>
      </c>
      <c r="DQ113" t="s">
        <v>59</v>
      </c>
      <c r="DR113" t="s">
        <v>59</v>
      </c>
      <c r="DS113" t="s">
        <v>59</v>
      </c>
      <c r="DT113" t="s">
        <v>59</v>
      </c>
      <c r="DU113" t="s">
        <v>59</v>
      </c>
      <c r="DV113" t="s">
        <v>59</v>
      </c>
      <c r="DW113" t="s">
        <v>59</v>
      </c>
      <c r="DX113" t="s">
        <v>59</v>
      </c>
      <c r="DY113" t="s">
        <v>59</v>
      </c>
      <c r="DZ113" t="s">
        <v>59</v>
      </c>
      <c r="EA113" t="s">
        <v>59</v>
      </c>
      <c r="EB113" t="s">
        <v>59</v>
      </c>
      <c r="EC113" t="s">
        <v>218</v>
      </c>
      <c r="ED113" t="s">
        <v>59</v>
      </c>
      <c r="EE113" t="s">
        <v>59</v>
      </c>
      <c r="EF113" t="s">
        <v>59</v>
      </c>
      <c r="EG113" t="s">
        <v>59</v>
      </c>
      <c r="EH113" t="s">
        <v>59</v>
      </c>
      <c r="EI113" t="s">
        <v>59</v>
      </c>
      <c r="EJ113" t="s">
        <v>59</v>
      </c>
      <c r="EK113" t="s">
        <v>59</v>
      </c>
      <c r="EL113" t="s">
        <v>218</v>
      </c>
      <c r="EM113" t="s">
        <v>218</v>
      </c>
      <c r="EN113" t="s">
        <v>59</v>
      </c>
      <c r="EO113" t="s">
        <v>59</v>
      </c>
      <c r="EP113" t="s">
        <v>59</v>
      </c>
      <c r="EQ113" t="s">
        <v>59</v>
      </c>
      <c r="ER113" t="s">
        <v>59</v>
      </c>
      <c r="ES113" t="s">
        <v>59</v>
      </c>
      <c r="ET113" t="s">
        <v>59</v>
      </c>
      <c r="EU113" t="s">
        <v>59</v>
      </c>
      <c r="EV113" t="s">
        <v>59</v>
      </c>
      <c r="EW113" t="s">
        <v>59</v>
      </c>
      <c r="EX113" t="s">
        <v>59</v>
      </c>
      <c r="EY113" t="s">
        <v>59</v>
      </c>
      <c r="EZ113" t="s">
        <v>59</v>
      </c>
      <c r="FA113" t="s">
        <v>59</v>
      </c>
      <c r="FB113" t="s">
        <v>59</v>
      </c>
      <c r="FC113" t="s">
        <v>59</v>
      </c>
      <c r="FD113" t="s">
        <v>59</v>
      </c>
      <c r="FE113" t="s">
        <v>59</v>
      </c>
      <c r="FF113" t="s">
        <v>59</v>
      </c>
      <c r="FG113" t="s">
        <v>59</v>
      </c>
      <c r="FH113" t="s">
        <v>59</v>
      </c>
      <c r="FI113" t="s">
        <v>59</v>
      </c>
      <c r="FJ113" t="s">
        <v>59</v>
      </c>
      <c r="FK113" t="s">
        <v>59</v>
      </c>
      <c r="FL113" t="s">
        <v>59</v>
      </c>
      <c r="FM113" t="s">
        <v>59</v>
      </c>
      <c r="FN113" t="s">
        <v>59</v>
      </c>
      <c r="FO113" t="s">
        <v>59</v>
      </c>
      <c r="FP113" t="s">
        <v>59</v>
      </c>
      <c r="FQ113" t="s">
        <v>59</v>
      </c>
      <c r="FR113" t="s">
        <v>59</v>
      </c>
      <c r="FS113" t="s">
        <v>59</v>
      </c>
      <c r="FT113" t="s">
        <v>59</v>
      </c>
      <c r="FU113" t="s">
        <v>59</v>
      </c>
      <c r="FV113" t="s">
        <v>59</v>
      </c>
      <c r="FW113" t="s">
        <v>59</v>
      </c>
      <c r="FX113" t="s">
        <v>59</v>
      </c>
      <c r="FY113" t="s">
        <v>59</v>
      </c>
      <c r="FZ113" t="s">
        <v>59</v>
      </c>
      <c r="GA113" t="s">
        <v>59</v>
      </c>
      <c r="GB113" t="s">
        <v>59</v>
      </c>
      <c r="GC113" t="s">
        <v>59</v>
      </c>
      <c r="GD113" t="s">
        <v>59</v>
      </c>
      <c r="GE113" t="s">
        <v>59</v>
      </c>
      <c r="GF113" t="s">
        <v>59</v>
      </c>
      <c r="GG113" t="s">
        <v>59</v>
      </c>
      <c r="GH113" t="s">
        <v>59</v>
      </c>
      <c r="GI113" t="s">
        <v>59</v>
      </c>
      <c r="GJ113" t="s">
        <v>59</v>
      </c>
      <c r="GK113" t="s">
        <v>218</v>
      </c>
      <c r="GL113" t="s">
        <v>59</v>
      </c>
      <c r="GM113" t="s">
        <v>59</v>
      </c>
      <c r="GN113" t="s">
        <v>59</v>
      </c>
      <c r="GO113" t="s">
        <v>59</v>
      </c>
      <c r="GP113" t="s">
        <v>59</v>
      </c>
      <c r="GQ113" t="s">
        <v>59</v>
      </c>
      <c r="GR113" t="s">
        <v>59</v>
      </c>
      <c r="GS113" t="s">
        <v>59</v>
      </c>
      <c r="GT113" t="s">
        <v>59</v>
      </c>
      <c r="GU113" t="s">
        <v>59</v>
      </c>
      <c r="GV113" t="s">
        <v>59</v>
      </c>
      <c r="GW113" t="s">
        <v>59</v>
      </c>
      <c r="GX113" t="s">
        <v>59</v>
      </c>
      <c r="GY113" t="s">
        <v>59</v>
      </c>
      <c r="GZ113" t="s">
        <v>59</v>
      </c>
      <c r="HA113" t="s">
        <v>59</v>
      </c>
      <c r="HB113" t="s">
        <v>59</v>
      </c>
      <c r="HC113" t="s">
        <v>59</v>
      </c>
      <c r="HD113" t="s">
        <v>59</v>
      </c>
      <c r="HE113" t="s">
        <v>59</v>
      </c>
      <c r="HF113" t="s">
        <v>59</v>
      </c>
      <c r="HG113" t="s">
        <v>59</v>
      </c>
      <c r="HH113" t="s">
        <v>59</v>
      </c>
      <c r="HI113" t="s">
        <v>59</v>
      </c>
      <c r="HJ113" t="s">
        <v>59</v>
      </c>
      <c r="HK113" t="s">
        <v>59</v>
      </c>
      <c r="HL113" t="s">
        <v>218</v>
      </c>
      <c r="HM113" t="s">
        <v>218</v>
      </c>
      <c r="HN113" t="s">
        <v>218</v>
      </c>
      <c r="HO113" t="s">
        <v>218</v>
      </c>
      <c r="HP113" t="s">
        <v>59</v>
      </c>
      <c r="HQ113" t="s">
        <v>59</v>
      </c>
      <c r="HR113" t="s">
        <v>59</v>
      </c>
      <c r="HS113" t="s">
        <v>59</v>
      </c>
      <c r="HT113" t="s">
        <v>59</v>
      </c>
      <c r="HU113" t="s">
        <v>59</v>
      </c>
      <c r="HV113" t="s">
        <v>59</v>
      </c>
      <c r="HW113" t="s">
        <v>59</v>
      </c>
      <c r="HX113" t="s">
        <v>59</v>
      </c>
      <c r="HY113" t="s">
        <v>59</v>
      </c>
      <c r="HZ113" t="s">
        <v>59</v>
      </c>
      <c r="IA113" t="s">
        <v>59</v>
      </c>
      <c r="IB113" t="s">
        <v>59</v>
      </c>
      <c r="IC113" t="s">
        <v>59</v>
      </c>
      <c r="ID113" t="s">
        <v>59</v>
      </c>
      <c r="IE113" t="s">
        <v>59</v>
      </c>
      <c r="IF113" t="s">
        <v>59</v>
      </c>
      <c r="IG113" t="s">
        <v>59</v>
      </c>
      <c r="IH113" t="s">
        <v>59</v>
      </c>
      <c r="II113" t="s">
        <v>59</v>
      </c>
      <c r="IJ113" t="s">
        <v>129</v>
      </c>
      <c r="IK113" t="s">
        <v>191</v>
      </c>
      <c r="IL113" t="s">
        <v>128</v>
      </c>
      <c r="IM113" t="s">
        <v>199</v>
      </c>
      <c r="IN113">
        <v>29</v>
      </c>
      <c r="IO113" t="s">
        <v>2730</v>
      </c>
      <c r="IP113" t="s">
        <v>2730</v>
      </c>
      <c r="IQ113" t="s">
        <v>2730</v>
      </c>
      <c r="IR113">
        <v>15</v>
      </c>
      <c r="IS113" t="s">
        <v>2730</v>
      </c>
      <c r="IT113" t="s">
        <v>2730</v>
      </c>
      <c r="IU113" t="s">
        <v>2730</v>
      </c>
      <c r="IV113">
        <v>16</v>
      </c>
      <c r="IW113" t="s">
        <v>2730</v>
      </c>
      <c r="IX113" t="s">
        <v>2730</v>
      </c>
      <c r="IY113" t="s">
        <v>2730</v>
      </c>
      <c r="IZ113">
        <v>55</v>
      </c>
      <c r="JA113" t="s">
        <v>2730</v>
      </c>
      <c r="JB113" t="s">
        <v>2730</v>
      </c>
      <c r="JC113" t="s">
        <v>2730</v>
      </c>
      <c r="JD113">
        <v>25</v>
      </c>
      <c r="JE113" t="s">
        <v>2730</v>
      </c>
      <c r="JF113" t="s">
        <v>2730</v>
      </c>
      <c r="JG113" t="s">
        <v>2730</v>
      </c>
      <c r="JH113">
        <v>26</v>
      </c>
      <c r="JI113" t="s">
        <v>2730</v>
      </c>
      <c r="JJ113" t="s">
        <v>2730</v>
      </c>
      <c r="JK113" t="s">
        <v>2730</v>
      </c>
      <c r="JL113">
        <v>16</v>
      </c>
      <c r="JM113" t="s">
        <v>2730</v>
      </c>
      <c r="JN113" t="s">
        <v>2730</v>
      </c>
      <c r="JO113">
        <v>4</v>
      </c>
      <c r="JP113" t="s">
        <v>2730</v>
      </c>
      <c r="JQ113" t="s">
        <v>2730</v>
      </c>
    </row>
    <row r="114" spans="1:277">
      <c r="A114" s="149" t="str">
        <f>HYPERLINK("http://www.ofsted.gov.uk/inspection-reports/find-inspection-report/provider/ELS/110920 ","Ofsted School Webpage")</f>
        <v>Ofsted School Webpage</v>
      </c>
      <c r="B114">
        <v>1132321</v>
      </c>
      <c r="C114">
        <v>110920</v>
      </c>
      <c r="D114">
        <v>8736008</v>
      </c>
      <c r="E114" t="s">
        <v>576</v>
      </c>
      <c r="F114" t="s">
        <v>38</v>
      </c>
      <c r="G114" t="s">
        <v>180</v>
      </c>
      <c r="H114" t="s">
        <v>220</v>
      </c>
      <c r="I114" t="s">
        <v>220</v>
      </c>
      <c r="J114" t="s">
        <v>284</v>
      </c>
      <c r="K114" t="s">
        <v>577</v>
      </c>
      <c r="L114" t="s">
        <v>184</v>
      </c>
      <c r="M114" t="s">
        <v>185</v>
      </c>
      <c r="N114" t="s">
        <v>184</v>
      </c>
      <c r="O114" t="s">
        <v>2730</v>
      </c>
      <c r="P114" t="s">
        <v>186</v>
      </c>
      <c r="Q114">
        <v>10020932</v>
      </c>
      <c r="R114" s="120">
        <v>43047</v>
      </c>
      <c r="S114" s="120">
        <v>43049</v>
      </c>
      <c r="T114" s="120">
        <v>43082</v>
      </c>
      <c r="U114" t="s">
        <v>2730</v>
      </c>
      <c r="V114" t="s">
        <v>196</v>
      </c>
      <c r="W114" t="s">
        <v>2730</v>
      </c>
      <c r="X114" t="s">
        <v>197</v>
      </c>
      <c r="Y114">
        <v>2</v>
      </c>
      <c r="Z114">
        <v>2</v>
      </c>
      <c r="AA114">
        <v>2</v>
      </c>
      <c r="AB114">
        <v>2</v>
      </c>
      <c r="AC114">
        <v>2</v>
      </c>
      <c r="AD114" t="s">
        <v>2730</v>
      </c>
      <c r="AE114">
        <v>2</v>
      </c>
      <c r="AF114" t="s">
        <v>128</v>
      </c>
      <c r="AG114" t="s">
        <v>2730</v>
      </c>
      <c r="AH114" t="s">
        <v>2732</v>
      </c>
      <c r="AI114" t="s">
        <v>59</v>
      </c>
      <c r="AJ114" t="s">
        <v>59</v>
      </c>
      <c r="AK114" t="s">
        <v>59</v>
      </c>
      <c r="AL114" t="s">
        <v>59</v>
      </c>
      <c r="AM114" t="s">
        <v>59</v>
      </c>
      <c r="AN114" t="s">
        <v>59</v>
      </c>
      <c r="AO114" t="s">
        <v>59</v>
      </c>
      <c r="AP114" t="s">
        <v>59</v>
      </c>
      <c r="AQ114" t="s">
        <v>59</v>
      </c>
      <c r="AR114" t="s">
        <v>59</v>
      </c>
      <c r="AS114" t="s">
        <v>59</v>
      </c>
      <c r="AT114" t="s">
        <v>59</v>
      </c>
      <c r="AU114" t="s">
        <v>59</v>
      </c>
      <c r="AV114" t="s">
        <v>59</v>
      </c>
      <c r="AW114" t="s">
        <v>59</v>
      </c>
      <c r="AX114" t="s">
        <v>59</v>
      </c>
      <c r="AY114" t="s">
        <v>191</v>
      </c>
      <c r="AZ114" t="s">
        <v>59</v>
      </c>
      <c r="BA114" t="s">
        <v>59</v>
      </c>
      <c r="BB114" t="s">
        <v>59</v>
      </c>
      <c r="BC114" t="s">
        <v>59</v>
      </c>
      <c r="BD114" t="s">
        <v>59</v>
      </c>
      <c r="BE114" t="s">
        <v>59</v>
      </c>
      <c r="BF114" t="s">
        <v>59</v>
      </c>
      <c r="BG114" t="s">
        <v>191</v>
      </c>
      <c r="BH114" t="s">
        <v>59</v>
      </c>
      <c r="BI114" t="s">
        <v>59</v>
      </c>
      <c r="BJ114" t="s">
        <v>59</v>
      </c>
      <c r="BK114" t="s">
        <v>59</v>
      </c>
      <c r="BL114" t="s">
        <v>59</v>
      </c>
      <c r="BM114" t="s">
        <v>59</v>
      </c>
      <c r="BN114" t="s">
        <v>59</v>
      </c>
      <c r="BO114" t="s">
        <v>59</v>
      </c>
      <c r="BP114" t="s">
        <v>59</v>
      </c>
      <c r="BQ114" t="s">
        <v>59</v>
      </c>
      <c r="BR114" t="s">
        <v>59</v>
      </c>
      <c r="BS114" t="s">
        <v>59</v>
      </c>
      <c r="BT114" t="s">
        <v>59</v>
      </c>
      <c r="BU114" t="s">
        <v>59</v>
      </c>
      <c r="BV114" t="s">
        <v>59</v>
      </c>
      <c r="BW114" t="s">
        <v>59</v>
      </c>
      <c r="BX114" t="s">
        <v>59</v>
      </c>
      <c r="BY114" t="s">
        <v>59</v>
      </c>
      <c r="BZ114" t="s">
        <v>59</v>
      </c>
      <c r="CA114" t="s">
        <v>59</v>
      </c>
      <c r="CB114" t="s">
        <v>59</v>
      </c>
      <c r="CC114" t="s">
        <v>59</v>
      </c>
      <c r="CD114" t="s">
        <v>59</v>
      </c>
      <c r="CE114" t="s">
        <v>59</v>
      </c>
      <c r="CF114" t="s">
        <v>59</v>
      </c>
      <c r="CG114" t="s">
        <v>59</v>
      </c>
      <c r="CH114" t="s">
        <v>59</v>
      </c>
      <c r="CI114" t="s">
        <v>59</v>
      </c>
      <c r="CJ114" t="s">
        <v>59</v>
      </c>
      <c r="CK114" t="s">
        <v>59</v>
      </c>
      <c r="CL114" t="s">
        <v>59</v>
      </c>
      <c r="CM114" t="s">
        <v>59</v>
      </c>
      <c r="CN114" t="s">
        <v>59</v>
      </c>
      <c r="CO114" t="s">
        <v>191</v>
      </c>
      <c r="CP114" t="s">
        <v>191</v>
      </c>
      <c r="CQ114" t="s">
        <v>191</v>
      </c>
      <c r="CR114" t="s">
        <v>59</v>
      </c>
      <c r="CS114" t="s">
        <v>59</v>
      </c>
      <c r="CT114" t="s">
        <v>59</v>
      </c>
      <c r="CU114" t="s">
        <v>59</v>
      </c>
      <c r="CV114" t="s">
        <v>59</v>
      </c>
      <c r="CW114" t="s">
        <v>59</v>
      </c>
      <c r="CX114" t="s">
        <v>59</v>
      </c>
      <c r="CY114" t="s">
        <v>59</v>
      </c>
      <c r="CZ114" t="s">
        <v>59</v>
      </c>
      <c r="DA114" t="s">
        <v>59</v>
      </c>
      <c r="DB114" t="s">
        <v>59</v>
      </c>
      <c r="DC114" t="s">
        <v>59</v>
      </c>
      <c r="DD114" t="s">
        <v>59</v>
      </c>
      <c r="DE114" t="s">
        <v>59</v>
      </c>
      <c r="DF114" t="s">
        <v>59</v>
      </c>
      <c r="DG114" t="s">
        <v>59</v>
      </c>
      <c r="DH114" t="s">
        <v>59</v>
      </c>
      <c r="DI114" t="s">
        <v>59</v>
      </c>
      <c r="DJ114" t="s">
        <v>59</v>
      </c>
      <c r="DK114" t="s">
        <v>59</v>
      </c>
      <c r="DL114" t="s">
        <v>59</v>
      </c>
      <c r="DM114" t="s">
        <v>59</v>
      </c>
      <c r="DN114" t="s">
        <v>59</v>
      </c>
      <c r="DO114" t="s">
        <v>59</v>
      </c>
      <c r="DP114" t="s">
        <v>59</v>
      </c>
      <c r="DQ114" t="s">
        <v>191</v>
      </c>
      <c r="DR114" t="s">
        <v>191</v>
      </c>
      <c r="DS114" t="s">
        <v>191</v>
      </c>
      <c r="DT114" t="s">
        <v>191</v>
      </c>
      <c r="DU114" t="s">
        <v>191</v>
      </c>
      <c r="DV114" t="s">
        <v>191</v>
      </c>
      <c r="DW114" t="s">
        <v>191</v>
      </c>
      <c r="DX114" t="s">
        <v>191</v>
      </c>
      <c r="DY114" t="s">
        <v>191</v>
      </c>
      <c r="DZ114" t="s">
        <v>191</v>
      </c>
      <c r="EA114" t="s">
        <v>191</v>
      </c>
      <c r="EB114" t="s">
        <v>191</v>
      </c>
      <c r="EC114" t="s">
        <v>191</v>
      </c>
      <c r="ED114" t="s">
        <v>191</v>
      </c>
      <c r="EE114" t="s">
        <v>59</v>
      </c>
      <c r="EF114" t="s">
        <v>59</v>
      </c>
      <c r="EG114" t="s">
        <v>59</v>
      </c>
      <c r="EH114" t="s">
        <v>59</v>
      </c>
      <c r="EI114" t="s">
        <v>59</v>
      </c>
      <c r="EJ114" t="s">
        <v>59</v>
      </c>
      <c r="EK114" t="s">
        <v>59</v>
      </c>
      <c r="EL114" t="s">
        <v>59</v>
      </c>
      <c r="EM114" t="s">
        <v>59</v>
      </c>
      <c r="EN114" t="s">
        <v>59</v>
      </c>
      <c r="EO114" t="s">
        <v>59</v>
      </c>
      <c r="EP114" t="s">
        <v>59</v>
      </c>
      <c r="EQ114" t="s">
        <v>59</v>
      </c>
      <c r="ER114" t="s">
        <v>59</v>
      </c>
      <c r="ES114" t="s">
        <v>59</v>
      </c>
      <c r="ET114" t="s">
        <v>59</v>
      </c>
      <c r="EU114" t="s">
        <v>59</v>
      </c>
      <c r="EV114" t="s">
        <v>59</v>
      </c>
      <c r="EW114" t="s">
        <v>59</v>
      </c>
      <c r="EX114" t="s">
        <v>59</v>
      </c>
      <c r="EY114" t="s">
        <v>59</v>
      </c>
      <c r="EZ114" t="s">
        <v>59</v>
      </c>
      <c r="FA114" t="s">
        <v>191</v>
      </c>
      <c r="FB114" t="s">
        <v>191</v>
      </c>
      <c r="FC114" t="s">
        <v>191</v>
      </c>
      <c r="FD114" t="s">
        <v>191</v>
      </c>
      <c r="FE114" t="s">
        <v>191</v>
      </c>
      <c r="FF114" t="s">
        <v>191</v>
      </c>
      <c r="FG114" t="s">
        <v>191</v>
      </c>
      <c r="FH114" t="s">
        <v>59</v>
      </c>
      <c r="FI114" t="s">
        <v>191</v>
      </c>
      <c r="FJ114" t="s">
        <v>59</v>
      </c>
      <c r="FK114" t="s">
        <v>59</v>
      </c>
      <c r="FL114" t="s">
        <v>59</v>
      </c>
      <c r="FM114" t="s">
        <v>59</v>
      </c>
      <c r="FN114" t="s">
        <v>59</v>
      </c>
      <c r="FO114" t="s">
        <v>59</v>
      </c>
      <c r="FP114" t="s">
        <v>59</v>
      </c>
      <c r="FQ114" t="s">
        <v>59</v>
      </c>
      <c r="FR114" t="s">
        <v>59</v>
      </c>
      <c r="FS114" t="s">
        <v>59</v>
      </c>
      <c r="FT114" t="s">
        <v>191</v>
      </c>
      <c r="FU114" t="s">
        <v>59</v>
      </c>
      <c r="FV114" t="s">
        <v>59</v>
      </c>
      <c r="FW114" t="s">
        <v>59</v>
      </c>
      <c r="FX114" t="s">
        <v>59</v>
      </c>
      <c r="FY114" t="s">
        <v>59</v>
      </c>
      <c r="FZ114" t="s">
        <v>59</v>
      </c>
      <c r="GA114" t="s">
        <v>59</v>
      </c>
      <c r="GB114" t="s">
        <v>59</v>
      </c>
      <c r="GC114" t="s">
        <v>59</v>
      </c>
      <c r="GD114" t="s">
        <v>59</v>
      </c>
      <c r="GE114" t="s">
        <v>59</v>
      </c>
      <c r="GF114" t="s">
        <v>59</v>
      </c>
      <c r="GG114" t="s">
        <v>59</v>
      </c>
      <c r="GH114" t="s">
        <v>59</v>
      </c>
      <c r="GI114" t="s">
        <v>59</v>
      </c>
      <c r="GJ114" t="s">
        <v>59</v>
      </c>
      <c r="GK114" t="s">
        <v>191</v>
      </c>
      <c r="GL114" t="s">
        <v>59</v>
      </c>
      <c r="GM114" t="s">
        <v>59</v>
      </c>
      <c r="GN114" t="s">
        <v>59</v>
      </c>
      <c r="GO114" t="s">
        <v>59</v>
      </c>
      <c r="GP114" t="s">
        <v>59</v>
      </c>
      <c r="GQ114" t="s">
        <v>191</v>
      </c>
      <c r="GR114" t="s">
        <v>59</v>
      </c>
      <c r="GS114" t="s">
        <v>59</v>
      </c>
      <c r="GT114" t="s">
        <v>59</v>
      </c>
      <c r="GU114" t="s">
        <v>59</v>
      </c>
      <c r="GV114" t="s">
        <v>191</v>
      </c>
      <c r="GW114" t="s">
        <v>59</v>
      </c>
      <c r="GX114" t="s">
        <v>59</v>
      </c>
      <c r="GY114" t="s">
        <v>59</v>
      </c>
      <c r="GZ114" t="s">
        <v>191</v>
      </c>
      <c r="HA114" t="s">
        <v>59</v>
      </c>
      <c r="HB114" t="s">
        <v>59</v>
      </c>
      <c r="HC114" t="s">
        <v>59</v>
      </c>
      <c r="HD114" t="s">
        <v>59</v>
      </c>
      <c r="HE114" t="s">
        <v>59</v>
      </c>
      <c r="HF114" t="s">
        <v>59</v>
      </c>
      <c r="HG114" t="s">
        <v>59</v>
      </c>
      <c r="HH114" t="s">
        <v>59</v>
      </c>
      <c r="HI114" t="s">
        <v>191</v>
      </c>
      <c r="HJ114" t="s">
        <v>59</v>
      </c>
      <c r="HK114" t="s">
        <v>59</v>
      </c>
      <c r="HL114" t="s">
        <v>59</v>
      </c>
      <c r="HM114" t="s">
        <v>191</v>
      </c>
      <c r="HN114" t="s">
        <v>191</v>
      </c>
      <c r="HO114" t="s">
        <v>191</v>
      </c>
      <c r="HP114" t="s">
        <v>59</v>
      </c>
      <c r="HQ114" t="s">
        <v>59</v>
      </c>
      <c r="HR114" t="s">
        <v>59</v>
      </c>
      <c r="HS114" t="s">
        <v>59</v>
      </c>
      <c r="HT114" t="s">
        <v>59</v>
      </c>
      <c r="HU114" t="s">
        <v>59</v>
      </c>
      <c r="HV114" t="s">
        <v>59</v>
      </c>
      <c r="HW114" t="s">
        <v>59</v>
      </c>
      <c r="HX114" t="s">
        <v>59</v>
      </c>
      <c r="HY114" t="s">
        <v>59</v>
      </c>
      <c r="HZ114" t="s">
        <v>59</v>
      </c>
      <c r="IA114" t="s">
        <v>59</v>
      </c>
      <c r="IB114" t="s">
        <v>59</v>
      </c>
      <c r="IC114" t="s">
        <v>59</v>
      </c>
      <c r="ID114" t="s">
        <v>59</v>
      </c>
      <c r="IE114" t="s">
        <v>59</v>
      </c>
      <c r="IF114" t="s">
        <v>59</v>
      </c>
      <c r="IG114" t="s">
        <v>59</v>
      </c>
      <c r="IH114" t="s">
        <v>59</v>
      </c>
      <c r="II114" t="s">
        <v>59</v>
      </c>
      <c r="IJ114" t="s">
        <v>129</v>
      </c>
      <c r="IK114" t="s">
        <v>198</v>
      </c>
      <c r="IL114" t="s">
        <v>128</v>
      </c>
      <c r="IM114" t="s">
        <v>199</v>
      </c>
      <c r="IN114">
        <v>30</v>
      </c>
      <c r="IO114" t="s">
        <v>2730</v>
      </c>
      <c r="IP114">
        <v>2</v>
      </c>
      <c r="IQ114" t="s">
        <v>2730</v>
      </c>
      <c r="IR114">
        <v>15</v>
      </c>
      <c r="IS114" t="s">
        <v>2730</v>
      </c>
      <c r="IT114" t="s">
        <v>2730</v>
      </c>
      <c r="IU114" t="s">
        <v>2730</v>
      </c>
      <c r="IV114">
        <v>16</v>
      </c>
      <c r="IW114" t="s">
        <v>2730</v>
      </c>
      <c r="IX114">
        <v>3</v>
      </c>
      <c r="IY114" t="s">
        <v>2730</v>
      </c>
      <c r="IZ114">
        <v>37</v>
      </c>
      <c r="JA114" t="s">
        <v>2730</v>
      </c>
      <c r="JB114">
        <v>22</v>
      </c>
      <c r="JC114" t="s">
        <v>2730</v>
      </c>
      <c r="JD114">
        <v>24</v>
      </c>
      <c r="JE114" t="s">
        <v>2730</v>
      </c>
      <c r="JF114">
        <v>2</v>
      </c>
      <c r="JG114" t="s">
        <v>2730</v>
      </c>
      <c r="JH114">
        <v>23</v>
      </c>
      <c r="JI114" t="s">
        <v>2730</v>
      </c>
      <c r="JJ114">
        <v>7</v>
      </c>
      <c r="JK114" t="s">
        <v>2730</v>
      </c>
      <c r="JL114">
        <v>16</v>
      </c>
      <c r="JM114" t="s">
        <v>2730</v>
      </c>
      <c r="JN114" t="s">
        <v>2730</v>
      </c>
      <c r="JO114">
        <v>4</v>
      </c>
      <c r="JP114" t="s">
        <v>2730</v>
      </c>
      <c r="JQ114" t="s">
        <v>2730</v>
      </c>
    </row>
    <row r="115" spans="1:277">
      <c r="A115" s="149" t="str">
        <f>HYPERLINK("http://www.ofsted.gov.uk/inspection-reports/find-inspection-report/provider/ELS/136434 ","Ofsted School Webpage")</f>
        <v>Ofsted School Webpage</v>
      </c>
      <c r="B115">
        <v>1132291</v>
      </c>
      <c r="C115">
        <v>136434</v>
      </c>
      <c r="D115">
        <v>9356229</v>
      </c>
      <c r="E115" t="s">
        <v>358</v>
      </c>
      <c r="F115" t="s">
        <v>38</v>
      </c>
      <c r="G115" t="s">
        <v>180</v>
      </c>
      <c r="H115" t="s">
        <v>220</v>
      </c>
      <c r="I115" t="s">
        <v>220</v>
      </c>
      <c r="J115" t="s">
        <v>297</v>
      </c>
      <c r="K115" t="s">
        <v>359</v>
      </c>
      <c r="L115" t="s">
        <v>184</v>
      </c>
      <c r="M115" t="s">
        <v>185</v>
      </c>
      <c r="N115" t="s">
        <v>184</v>
      </c>
      <c r="O115" t="s">
        <v>2730</v>
      </c>
      <c r="P115" t="s">
        <v>186</v>
      </c>
      <c r="Q115">
        <v>10038909</v>
      </c>
      <c r="R115" s="120">
        <v>42990</v>
      </c>
      <c r="S115" s="120">
        <v>42991</v>
      </c>
      <c r="T115" s="120">
        <v>43021</v>
      </c>
      <c r="U115" t="s">
        <v>2730</v>
      </c>
      <c r="V115" t="s">
        <v>3119</v>
      </c>
      <c r="W115" t="s">
        <v>2730</v>
      </c>
      <c r="X115" t="s">
        <v>197</v>
      </c>
      <c r="Y115">
        <v>3</v>
      </c>
      <c r="Z115">
        <v>3</v>
      </c>
      <c r="AA115">
        <v>3</v>
      </c>
      <c r="AB115">
        <v>3</v>
      </c>
      <c r="AC115">
        <v>3</v>
      </c>
      <c r="AD115" t="s">
        <v>2730</v>
      </c>
      <c r="AE115" t="s">
        <v>2730</v>
      </c>
      <c r="AF115" t="s">
        <v>128</v>
      </c>
      <c r="AG115" t="s">
        <v>2730</v>
      </c>
      <c r="AH115" t="s">
        <v>2733</v>
      </c>
      <c r="AI115" t="s">
        <v>60</v>
      </c>
      <c r="AJ115" t="s">
        <v>59</v>
      </c>
      <c r="AK115" t="s">
        <v>59</v>
      </c>
      <c r="AL115" t="s">
        <v>59</v>
      </c>
      <c r="AM115" t="s">
        <v>59</v>
      </c>
      <c r="AN115" t="s">
        <v>60</v>
      </c>
      <c r="AO115" t="s">
        <v>59</v>
      </c>
      <c r="AP115" t="s">
        <v>60</v>
      </c>
      <c r="AQ115" t="s">
        <v>60</v>
      </c>
      <c r="AR115" t="s">
        <v>60</v>
      </c>
      <c r="AS115" t="s">
        <v>60</v>
      </c>
      <c r="AT115" t="s">
        <v>60</v>
      </c>
      <c r="AU115" t="s">
        <v>59</v>
      </c>
      <c r="AV115" t="s">
        <v>59</v>
      </c>
      <c r="AW115" t="s">
        <v>59</v>
      </c>
      <c r="AX115" t="s">
        <v>59</v>
      </c>
      <c r="AY115" t="s">
        <v>191</v>
      </c>
      <c r="AZ115" t="s">
        <v>59</v>
      </c>
      <c r="BA115" t="s">
        <v>59</v>
      </c>
      <c r="BB115" t="s">
        <v>59</v>
      </c>
      <c r="BC115" t="s">
        <v>59</v>
      </c>
      <c r="BD115" t="s">
        <v>59</v>
      </c>
      <c r="BE115" t="s">
        <v>59</v>
      </c>
      <c r="BF115" t="s">
        <v>59</v>
      </c>
      <c r="BG115" t="s">
        <v>191</v>
      </c>
      <c r="BH115" t="s">
        <v>191</v>
      </c>
      <c r="BI115" t="s">
        <v>59</v>
      </c>
      <c r="BJ115" t="s">
        <v>59</v>
      </c>
      <c r="BK115" t="s">
        <v>60</v>
      </c>
      <c r="BL115" t="s">
        <v>60</v>
      </c>
      <c r="BM115" t="s">
        <v>59</v>
      </c>
      <c r="BN115" t="s">
        <v>60</v>
      </c>
      <c r="BO115" t="s">
        <v>60</v>
      </c>
      <c r="BP115" t="s">
        <v>59</v>
      </c>
      <c r="BQ115" t="s">
        <v>59</v>
      </c>
      <c r="BR115" t="s">
        <v>60</v>
      </c>
      <c r="BS115" t="s">
        <v>60</v>
      </c>
      <c r="BT115" t="s">
        <v>59</v>
      </c>
      <c r="BU115" t="s">
        <v>59</v>
      </c>
      <c r="BV115" t="s">
        <v>60</v>
      </c>
      <c r="BW115" t="s">
        <v>59</v>
      </c>
      <c r="BX115" t="s">
        <v>59</v>
      </c>
      <c r="BY115" t="s">
        <v>59</v>
      </c>
      <c r="BZ115" t="s">
        <v>59</v>
      </c>
      <c r="CA115" t="s">
        <v>59</v>
      </c>
      <c r="CB115" t="s">
        <v>59</v>
      </c>
      <c r="CC115" t="s">
        <v>59</v>
      </c>
      <c r="CD115" t="s">
        <v>59</v>
      </c>
      <c r="CE115" t="s">
        <v>59</v>
      </c>
      <c r="CF115" t="s">
        <v>59</v>
      </c>
      <c r="CG115" t="s">
        <v>59</v>
      </c>
      <c r="CH115" t="s">
        <v>59</v>
      </c>
      <c r="CI115" t="s">
        <v>59</v>
      </c>
      <c r="CJ115" t="s">
        <v>59</v>
      </c>
      <c r="CK115" t="s">
        <v>59</v>
      </c>
      <c r="CL115" t="s">
        <v>59</v>
      </c>
      <c r="CM115" t="s">
        <v>59</v>
      </c>
      <c r="CN115" t="s">
        <v>59</v>
      </c>
      <c r="CO115" t="s">
        <v>191</v>
      </c>
      <c r="CP115" t="s">
        <v>191</v>
      </c>
      <c r="CQ115" t="s">
        <v>191</v>
      </c>
      <c r="CR115" t="s">
        <v>60</v>
      </c>
      <c r="CS115" t="s">
        <v>59</v>
      </c>
      <c r="CT115" t="s">
        <v>60</v>
      </c>
      <c r="CU115" t="s">
        <v>60</v>
      </c>
      <c r="CV115" t="s">
        <v>59</v>
      </c>
      <c r="CW115" t="s">
        <v>59</v>
      </c>
      <c r="CX115" t="s">
        <v>59</v>
      </c>
      <c r="CY115" t="s">
        <v>59</v>
      </c>
      <c r="CZ115" t="s">
        <v>59</v>
      </c>
      <c r="DA115" t="s">
        <v>60</v>
      </c>
      <c r="DB115" t="s">
        <v>59</v>
      </c>
      <c r="DC115" t="s">
        <v>59</v>
      </c>
      <c r="DD115" t="s">
        <v>59</v>
      </c>
      <c r="DE115" t="s">
        <v>59</v>
      </c>
      <c r="DF115" t="s">
        <v>59</v>
      </c>
      <c r="DG115" t="s">
        <v>59</v>
      </c>
      <c r="DH115" t="s">
        <v>59</v>
      </c>
      <c r="DI115" t="s">
        <v>59</v>
      </c>
      <c r="DJ115" t="s">
        <v>59</v>
      </c>
      <c r="DK115" t="s">
        <v>59</v>
      </c>
      <c r="DL115" t="s">
        <v>59</v>
      </c>
      <c r="DM115" t="s">
        <v>59</v>
      </c>
      <c r="DN115" t="s">
        <v>59</v>
      </c>
      <c r="DO115" t="s">
        <v>191</v>
      </c>
      <c r="DP115" t="s">
        <v>59</v>
      </c>
      <c r="DQ115" t="s">
        <v>191</v>
      </c>
      <c r="DR115" t="s">
        <v>191</v>
      </c>
      <c r="DS115" t="s">
        <v>191</v>
      </c>
      <c r="DT115" t="s">
        <v>191</v>
      </c>
      <c r="DU115" t="s">
        <v>191</v>
      </c>
      <c r="DV115" t="s">
        <v>191</v>
      </c>
      <c r="DW115" t="s">
        <v>191</v>
      </c>
      <c r="DX115" t="s">
        <v>191</v>
      </c>
      <c r="DY115" t="s">
        <v>191</v>
      </c>
      <c r="DZ115" t="s">
        <v>191</v>
      </c>
      <c r="EA115" t="s">
        <v>191</v>
      </c>
      <c r="EB115" t="s">
        <v>191</v>
      </c>
      <c r="EC115" t="s">
        <v>191</v>
      </c>
      <c r="ED115" t="s">
        <v>191</v>
      </c>
      <c r="EE115" t="s">
        <v>191</v>
      </c>
      <c r="EF115" t="s">
        <v>191</v>
      </c>
      <c r="EG115" t="s">
        <v>191</v>
      </c>
      <c r="EH115" t="s">
        <v>191</v>
      </c>
      <c r="EI115" t="s">
        <v>191</v>
      </c>
      <c r="EJ115" t="s">
        <v>191</v>
      </c>
      <c r="EK115" t="s">
        <v>191</v>
      </c>
      <c r="EL115" t="s">
        <v>191</v>
      </c>
      <c r="EM115" t="s">
        <v>191</v>
      </c>
      <c r="EN115" t="s">
        <v>59</v>
      </c>
      <c r="EO115" t="s">
        <v>59</v>
      </c>
      <c r="EP115" t="s">
        <v>59</v>
      </c>
      <c r="EQ115" t="s">
        <v>59</v>
      </c>
      <c r="ER115" t="s">
        <v>59</v>
      </c>
      <c r="ES115" t="s">
        <v>59</v>
      </c>
      <c r="ET115" t="s">
        <v>59</v>
      </c>
      <c r="EU115" t="s">
        <v>59</v>
      </c>
      <c r="EV115" t="s">
        <v>59</v>
      </c>
      <c r="EW115" t="s">
        <v>59</v>
      </c>
      <c r="EX115" t="s">
        <v>59</v>
      </c>
      <c r="EY115" t="s">
        <v>59</v>
      </c>
      <c r="EZ115" t="s">
        <v>59</v>
      </c>
      <c r="FA115" t="s">
        <v>59</v>
      </c>
      <c r="FB115" t="s">
        <v>191</v>
      </c>
      <c r="FC115" t="s">
        <v>191</v>
      </c>
      <c r="FD115" t="s">
        <v>191</v>
      </c>
      <c r="FE115" t="s">
        <v>191</v>
      </c>
      <c r="FF115" t="s">
        <v>191</v>
      </c>
      <c r="FG115" t="s">
        <v>191</v>
      </c>
      <c r="FH115" t="s">
        <v>191</v>
      </c>
      <c r="FI115" t="s">
        <v>191</v>
      </c>
      <c r="FJ115" t="s">
        <v>191</v>
      </c>
      <c r="FK115" t="s">
        <v>191</v>
      </c>
      <c r="FL115" t="s">
        <v>59</v>
      </c>
      <c r="FM115" t="s">
        <v>59</v>
      </c>
      <c r="FN115" t="s">
        <v>59</v>
      </c>
      <c r="FO115" t="s">
        <v>59</v>
      </c>
      <c r="FP115" t="s">
        <v>59</v>
      </c>
      <c r="FQ115" t="s">
        <v>59</v>
      </c>
      <c r="FR115" t="s">
        <v>59</v>
      </c>
      <c r="FS115" t="s">
        <v>191</v>
      </c>
      <c r="FT115" t="s">
        <v>59</v>
      </c>
      <c r="FU115" t="s">
        <v>59</v>
      </c>
      <c r="FV115" t="s">
        <v>59</v>
      </c>
      <c r="FW115" t="s">
        <v>59</v>
      </c>
      <c r="FX115" t="s">
        <v>59</v>
      </c>
      <c r="FY115" t="s">
        <v>59</v>
      </c>
      <c r="FZ115" t="s">
        <v>59</v>
      </c>
      <c r="GA115" t="s">
        <v>59</v>
      </c>
      <c r="GB115" t="s">
        <v>59</v>
      </c>
      <c r="GC115" t="s">
        <v>59</v>
      </c>
      <c r="GD115" t="s">
        <v>59</v>
      </c>
      <c r="GE115" t="s">
        <v>59</v>
      </c>
      <c r="GF115" t="s">
        <v>59</v>
      </c>
      <c r="GG115" t="s">
        <v>59</v>
      </c>
      <c r="GH115" t="s">
        <v>59</v>
      </c>
      <c r="GI115" t="s">
        <v>59</v>
      </c>
      <c r="GJ115" t="s">
        <v>59</v>
      </c>
      <c r="GK115" t="s">
        <v>191</v>
      </c>
      <c r="GL115" t="s">
        <v>60</v>
      </c>
      <c r="GM115" t="s">
        <v>59</v>
      </c>
      <c r="GN115" t="s">
        <v>60</v>
      </c>
      <c r="GO115" t="s">
        <v>59</v>
      </c>
      <c r="GP115" t="s">
        <v>59</v>
      </c>
      <c r="GQ115" t="s">
        <v>191</v>
      </c>
      <c r="GR115" t="s">
        <v>60</v>
      </c>
      <c r="GS115" t="s">
        <v>59</v>
      </c>
      <c r="GT115" t="s">
        <v>59</v>
      </c>
      <c r="GU115" t="s">
        <v>59</v>
      </c>
      <c r="GV115" t="s">
        <v>59</v>
      </c>
      <c r="GW115" t="s">
        <v>59</v>
      </c>
      <c r="GX115" t="s">
        <v>59</v>
      </c>
      <c r="GY115" t="s">
        <v>59</v>
      </c>
      <c r="GZ115" t="s">
        <v>59</v>
      </c>
      <c r="HA115" t="s">
        <v>191</v>
      </c>
      <c r="HB115" t="s">
        <v>191</v>
      </c>
      <c r="HC115" t="s">
        <v>59</v>
      </c>
      <c r="HD115" t="s">
        <v>60</v>
      </c>
      <c r="HE115" t="s">
        <v>59</v>
      </c>
      <c r="HF115" t="s">
        <v>60</v>
      </c>
      <c r="HG115" t="s">
        <v>59</v>
      </c>
      <c r="HH115" t="s">
        <v>59</v>
      </c>
      <c r="HI115" t="s">
        <v>59</v>
      </c>
      <c r="HJ115" t="s">
        <v>59</v>
      </c>
      <c r="HK115" t="s">
        <v>59</v>
      </c>
      <c r="HL115" t="s">
        <v>59</v>
      </c>
      <c r="HM115" t="s">
        <v>59</v>
      </c>
      <c r="HN115" t="s">
        <v>59</v>
      </c>
      <c r="HO115" t="s">
        <v>59</v>
      </c>
      <c r="HP115" t="s">
        <v>59</v>
      </c>
      <c r="HQ115" t="s">
        <v>59</v>
      </c>
      <c r="HR115" t="s">
        <v>59</v>
      </c>
      <c r="HS115" t="s">
        <v>59</v>
      </c>
      <c r="HT115" t="s">
        <v>59</v>
      </c>
      <c r="HU115" t="s">
        <v>59</v>
      </c>
      <c r="HV115" t="s">
        <v>59</v>
      </c>
      <c r="HW115" t="s">
        <v>59</v>
      </c>
      <c r="HX115" t="s">
        <v>59</v>
      </c>
      <c r="HY115" t="s">
        <v>59</v>
      </c>
      <c r="HZ115" t="s">
        <v>59</v>
      </c>
      <c r="IA115" t="s">
        <v>59</v>
      </c>
      <c r="IB115" t="s">
        <v>59</v>
      </c>
      <c r="IC115" t="s">
        <v>59</v>
      </c>
      <c r="ID115" t="s">
        <v>59</v>
      </c>
      <c r="IE115" t="s">
        <v>59</v>
      </c>
      <c r="IF115" t="s">
        <v>60</v>
      </c>
      <c r="IG115" t="s">
        <v>60</v>
      </c>
      <c r="IH115" t="s">
        <v>60</v>
      </c>
      <c r="II115" t="s">
        <v>60</v>
      </c>
      <c r="IJ115" t="s">
        <v>129</v>
      </c>
      <c r="IK115" t="s">
        <v>198</v>
      </c>
      <c r="IL115" t="s">
        <v>128</v>
      </c>
      <c r="IM115" t="s">
        <v>199</v>
      </c>
      <c r="IN115">
        <v>18</v>
      </c>
      <c r="IO115" t="s">
        <v>2730</v>
      </c>
      <c r="IP115">
        <v>3</v>
      </c>
      <c r="IQ115">
        <v>11</v>
      </c>
      <c r="IR115">
        <v>15</v>
      </c>
      <c r="IS115" t="s">
        <v>2730</v>
      </c>
      <c r="IT115" t="s">
        <v>2730</v>
      </c>
      <c r="IU115" t="s">
        <v>2730</v>
      </c>
      <c r="IV115">
        <v>12</v>
      </c>
      <c r="IW115" t="s">
        <v>2730</v>
      </c>
      <c r="IX115">
        <v>3</v>
      </c>
      <c r="IY115">
        <v>4</v>
      </c>
      <c r="IZ115">
        <v>25</v>
      </c>
      <c r="JA115" t="s">
        <v>2730</v>
      </c>
      <c r="JB115">
        <v>34</v>
      </c>
      <c r="JC115" t="s">
        <v>2730</v>
      </c>
      <c r="JD115">
        <v>24</v>
      </c>
      <c r="JE115" t="s">
        <v>2730</v>
      </c>
      <c r="JF115">
        <v>2</v>
      </c>
      <c r="JG115" t="s">
        <v>2730</v>
      </c>
      <c r="JH115">
        <v>22</v>
      </c>
      <c r="JI115" t="s">
        <v>2730</v>
      </c>
      <c r="JJ115">
        <v>3</v>
      </c>
      <c r="JK115">
        <v>5</v>
      </c>
      <c r="JL115">
        <v>16</v>
      </c>
      <c r="JM115" t="s">
        <v>2730</v>
      </c>
      <c r="JN115" t="s">
        <v>2730</v>
      </c>
      <c r="JO115" t="s">
        <v>2730</v>
      </c>
      <c r="JP115" t="s">
        <v>2730</v>
      </c>
      <c r="JQ115">
        <v>4</v>
      </c>
    </row>
    <row r="116" spans="1:277">
      <c r="A116" s="149" t="str">
        <f>HYPERLINK("http://www.ofsted.gov.uk/inspection-reports/find-inspection-report/provider/ELS/103573 ","Ofsted School Webpage")</f>
        <v>Ofsted School Webpage</v>
      </c>
      <c r="B116">
        <v>1135128</v>
      </c>
      <c r="C116">
        <v>103573</v>
      </c>
      <c r="D116">
        <v>3306048</v>
      </c>
      <c r="E116" t="s">
        <v>2420</v>
      </c>
      <c r="F116" t="s">
        <v>37</v>
      </c>
      <c r="G116" t="s">
        <v>209</v>
      </c>
      <c r="H116" t="s">
        <v>193</v>
      </c>
      <c r="I116" t="s">
        <v>193</v>
      </c>
      <c r="J116" t="s">
        <v>210</v>
      </c>
      <c r="K116" t="s">
        <v>2421</v>
      </c>
      <c r="L116" t="s">
        <v>184</v>
      </c>
      <c r="M116" t="s">
        <v>185</v>
      </c>
      <c r="N116" t="s">
        <v>184</v>
      </c>
      <c r="O116" t="s">
        <v>2730</v>
      </c>
      <c r="P116" t="s">
        <v>186</v>
      </c>
      <c r="Q116">
        <v>10020734</v>
      </c>
      <c r="R116" s="120">
        <v>43046</v>
      </c>
      <c r="S116" s="120">
        <v>43048</v>
      </c>
      <c r="T116" s="120">
        <v>43073</v>
      </c>
      <c r="U116" t="s">
        <v>2730</v>
      </c>
      <c r="V116" t="s">
        <v>196</v>
      </c>
      <c r="W116" t="s">
        <v>2730</v>
      </c>
      <c r="X116" t="s">
        <v>197</v>
      </c>
      <c r="Y116">
        <v>2</v>
      </c>
      <c r="Z116">
        <v>2</v>
      </c>
      <c r="AA116">
        <v>1</v>
      </c>
      <c r="AB116">
        <v>2</v>
      </c>
      <c r="AC116">
        <v>2</v>
      </c>
      <c r="AD116">
        <v>2</v>
      </c>
      <c r="AE116" t="s">
        <v>2730</v>
      </c>
      <c r="AF116" t="s">
        <v>128</v>
      </c>
      <c r="AG116" t="s">
        <v>2730</v>
      </c>
      <c r="AH116" t="s">
        <v>2732</v>
      </c>
      <c r="AI116" t="s">
        <v>59</v>
      </c>
      <c r="AJ116" t="s">
        <v>59</v>
      </c>
      <c r="AK116" t="s">
        <v>59</v>
      </c>
      <c r="AL116" t="s">
        <v>59</v>
      </c>
      <c r="AM116" t="s">
        <v>59</v>
      </c>
      <c r="AN116" t="s">
        <v>59</v>
      </c>
      <c r="AO116" t="s">
        <v>59</v>
      </c>
      <c r="AP116" t="s">
        <v>59</v>
      </c>
      <c r="AQ116" t="s">
        <v>59</v>
      </c>
      <c r="AR116" t="s">
        <v>59</v>
      </c>
      <c r="AS116" t="s">
        <v>59</v>
      </c>
      <c r="AT116" t="s">
        <v>59</v>
      </c>
      <c r="AU116" t="s">
        <v>59</v>
      </c>
      <c r="AV116" t="s">
        <v>59</v>
      </c>
      <c r="AW116" t="s">
        <v>59</v>
      </c>
      <c r="AX116" t="s">
        <v>59</v>
      </c>
      <c r="AY116" t="s">
        <v>191</v>
      </c>
      <c r="AZ116" t="s">
        <v>59</v>
      </c>
      <c r="BA116" t="s">
        <v>59</v>
      </c>
      <c r="BB116" t="s">
        <v>59</v>
      </c>
      <c r="BC116" t="s">
        <v>191</v>
      </c>
      <c r="BD116" t="s">
        <v>191</v>
      </c>
      <c r="BE116" t="s">
        <v>191</v>
      </c>
      <c r="BF116" t="s">
        <v>191</v>
      </c>
      <c r="BG116" t="s">
        <v>59</v>
      </c>
      <c r="BH116" t="s">
        <v>191</v>
      </c>
      <c r="BI116" t="s">
        <v>59</v>
      </c>
      <c r="BJ116" t="s">
        <v>59</v>
      </c>
      <c r="BK116" t="s">
        <v>59</v>
      </c>
      <c r="BL116" t="s">
        <v>59</v>
      </c>
      <c r="BM116" t="s">
        <v>59</v>
      </c>
      <c r="BN116" t="s">
        <v>59</v>
      </c>
      <c r="BO116" t="s">
        <v>59</v>
      </c>
      <c r="BP116" t="s">
        <v>59</v>
      </c>
      <c r="BQ116" t="s">
        <v>59</v>
      </c>
      <c r="BR116" t="s">
        <v>59</v>
      </c>
      <c r="BS116" t="s">
        <v>59</v>
      </c>
      <c r="BT116" t="s">
        <v>59</v>
      </c>
      <c r="BU116" t="s">
        <v>59</v>
      </c>
      <c r="BV116" t="s">
        <v>59</v>
      </c>
      <c r="BW116" t="s">
        <v>59</v>
      </c>
      <c r="BX116" t="s">
        <v>59</v>
      </c>
      <c r="BY116" t="s">
        <v>59</v>
      </c>
      <c r="BZ116" t="s">
        <v>59</v>
      </c>
      <c r="CA116" t="s">
        <v>59</v>
      </c>
      <c r="CB116" t="s">
        <v>59</v>
      </c>
      <c r="CC116" t="s">
        <v>59</v>
      </c>
      <c r="CD116" t="s">
        <v>59</v>
      </c>
      <c r="CE116" t="s">
        <v>59</v>
      </c>
      <c r="CF116" t="s">
        <v>59</v>
      </c>
      <c r="CG116" t="s">
        <v>59</v>
      </c>
      <c r="CH116" t="s">
        <v>59</v>
      </c>
      <c r="CI116" t="s">
        <v>59</v>
      </c>
      <c r="CJ116" t="s">
        <v>59</v>
      </c>
      <c r="CK116" t="s">
        <v>59</v>
      </c>
      <c r="CL116" t="s">
        <v>59</v>
      </c>
      <c r="CM116" t="s">
        <v>59</v>
      </c>
      <c r="CN116" t="s">
        <v>59</v>
      </c>
      <c r="CO116" t="s">
        <v>191</v>
      </c>
      <c r="CP116" t="s">
        <v>191</v>
      </c>
      <c r="CQ116" t="s">
        <v>191</v>
      </c>
      <c r="CR116" t="s">
        <v>59</v>
      </c>
      <c r="CS116" t="s">
        <v>59</v>
      </c>
      <c r="CT116" t="s">
        <v>59</v>
      </c>
      <c r="CU116" t="s">
        <v>59</v>
      </c>
      <c r="CV116" t="s">
        <v>59</v>
      </c>
      <c r="CW116" t="s">
        <v>59</v>
      </c>
      <c r="CX116" t="s">
        <v>59</v>
      </c>
      <c r="CY116" t="s">
        <v>59</v>
      </c>
      <c r="CZ116" t="s">
        <v>59</v>
      </c>
      <c r="DA116" t="s">
        <v>59</v>
      </c>
      <c r="DB116" t="s">
        <v>59</v>
      </c>
      <c r="DC116" t="s">
        <v>59</v>
      </c>
      <c r="DD116" t="s">
        <v>59</v>
      </c>
      <c r="DE116" t="s">
        <v>59</v>
      </c>
      <c r="DF116" t="s">
        <v>59</v>
      </c>
      <c r="DG116" t="s">
        <v>59</v>
      </c>
      <c r="DH116" t="s">
        <v>59</v>
      </c>
      <c r="DI116" t="s">
        <v>59</v>
      </c>
      <c r="DJ116" t="s">
        <v>59</v>
      </c>
      <c r="DK116" t="s">
        <v>59</v>
      </c>
      <c r="DL116" t="s">
        <v>59</v>
      </c>
      <c r="DM116" t="s">
        <v>59</v>
      </c>
      <c r="DN116" t="s">
        <v>59</v>
      </c>
      <c r="DO116" t="s">
        <v>191</v>
      </c>
      <c r="DP116" t="s">
        <v>59</v>
      </c>
      <c r="DQ116" t="s">
        <v>191</v>
      </c>
      <c r="DR116" t="s">
        <v>191</v>
      </c>
      <c r="DS116" t="s">
        <v>191</v>
      </c>
      <c r="DT116" t="s">
        <v>191</v>
      </c>
      <c r="DU116" t="s">
        <v>191</v>
      </c>
      <c r="DV116" t="s">
        <v>191</v>
      </c>
      <c r="DW116" t="s">
        <v>191</v>
      </c>
      <c r="DX116" t="s">
        <v>191</v>
      </c>
      <c r="DY116" t="s">
        <v>191</v>
      </c>
      <c r="DZ116" t="s">
        <v>191</v>
      </c>
      <c r="EA116" t="s">
        <v>191</v>
      </c>
      <c r="EB116" t="s">
        <v>191</v>
      </c>
      <c r="EC116" t="s">
        <v>191</v>
      </c>
      <c r="ED116" t="s">
        <v>59</v>
      </c>
      <c r="EE116" t="s">
        <v>59</v>
      </c>
      <c r="EF116" t="s">
        <v>59</v>
      </c>
      <c r="EG116" t="s">
        <v>59</v>
      </c>
      <c r="EH116" t="s">
        <v>59</v>
      </c>
      <c r="EI116" t="s">
        <v>59</v>
      </c>
      <c r="EJ116" t="s">
        <v>59</v>
      </c>
      <c r="EK116" t="s">
        <v>59</v>
      </c>
      <c r="EL116" t="s">
        <v>59</v>
      </c>
      <c r="EM116" t="s">
        <v>59</v>
      </c>
      <c r="EN116" t="s">
        <v>59</v>
      </c>
      <c r="EO116" t="s">
        <v>59</v>
      </c>
      <c r="EP116" t="s">
        <v>59</v>
      </c>
      <c r="EQ116" t="s">
        <v>59</v>
      </c>
      <c r="ER116" t="s">
        <v>59</v>
      </c>
      <c r="ES116" t="s">
        <v>59</v>
      </c>
      <c r="ET116" t="s">
        <v>59</v>
      </c>
      <c r="EU116" t="s">
        <v>59</v>
      </c>
      <c r="EV116" t="s">
        <v>59</v>
      </c>
      <c r="EW116" t="s">
        <v>59</v>
      </c>
      <c r="EX116" t="s">
        <v>59</v>
      </c>
      <c r="EY116" t="s">
        <v>59</v>
      </c>
      <c r="EZ116" t="s">
        <v>59</v>
      </c>
      <c r="FA116" t="s">
        <v>59</v>
      </c>
      <c r="FB116" t="s">
        <v>191</v>
      </c>
      <c r="FC116" t="s">
        <v>191</v>
      </c>
      <c r="FD116" t="s">
        <v>191</v>
      </c>
      <c r="FE116" t="s">
        <v>191</v>
      </c>
      <c r="FF116" t="s">
        <v>191</v>
      </c>
      <c r="FG116" t="s">
        <v>191</v>
      </c>
      <c r="FH116" t="s">
        <v>59</v>
      </c>
      <c r="FI116" t="s">
        <v>59</v>
      </c>
      <c r="FJ116" t="s">
        <v>59</v>
      </c>
      <c r="FK116" t="s">
        <v>59</v>
      </c>
      <c r="FL116" t="s">
        <v>59</v>
      </c>
      <c r="FM116" t="s">
        <v>59</v>
      </c>
      <c r="FN116" t="s">
        <v>59</v>
      </c>
      <c r="FO116" t="s">
        <v>191</v>
      </c>
      <c r="FP116" t="s">
        <v>59</v>
      </c>
      <c r="FQ116" t="s">
        <v>59</v>
      </c>
      <c r="FR116" t="s">
        <v>59</v>
      </c>
      <c r="FS116" t="s">
        <v>191</v>
      </c>
      <c r="FT116" t="s">
        <v>59</v>
      </c>
      <c r="FU116" t="s">
        <v>59</v>
      </c>
      <c r="FV116" t="s">
        <v>59</v>
      </c>
      <c r="FW116" t="s">
        <v>59</v>
      </c>
      <c r="FX116" t="s">
        <v>59</v>
      </c>
      <c r="FY116" t="s">
        <v>59</v>
      </c>
      <c r="FZ116" t="s">
        <v>59</v>
      </c>
      <c r="GA116" t="s">
        <v>59</v>
      </c>
      <c r="GB116" t="s">
        <v>59</v>
      </c>
      <c r="GC116" t="s">
        <v>59</v>
      </c>
      <c r="GD116" t="s">
        <v>59</v>
      </c>
      <c r="GE116" t="s">
        <v>59</v>
      </c>
      <c r="GF116" t="s">
        <v>59</v>
      </c>
      <c r="GG116" t="s">
        <v>59</v>
      </c>
      <c r="GH116" t="s">
        <v>59</v>
      </c>
      <c r="GI116" t="s">
        <v>59</v>
      </c>
      <c r="GJ116" t="s">
        <v>59</v>
      </c>
      <c r="GK116" t="s">
        <v>191</v>
      </c>
      <c r="GL116" t="s">
        <v>59</v>
      </c>
      <c r="GM116" t="s">
        <v>59</v>
      </c>
      <c r="GN116" t="s">
        <v>59</v>
      </c>
      <c r="GO116" t="s">
        <v>59</v>
      </c>
      <c r="GP116" t="s">
        <v>59</v>
      </c>
      <c r="GQ116" t="s">
        <v>191</v>
      </c>
      <c r="GR116" t="s">
        <v>59</v>
      </c>
      <c r="GS116" t="s">
        <v>59</v>
      </c>
      <c r="GT116" t="s">
        <v>191</v>
      </c>
      <c r="GU116" t="s">
        <v>191</v>
      </c>
      <c r="GV116" t="s">
        <v>59</v>
      </c>
      <c r="GW116" t="s">
        <v>59</v>
      </c>
      <c r="GX116" t="s">
        <v>59</v>
      </c>
      <c r="GY116" t="s">
        <v>59</v>
      </c>
      <c r="GZ116" t="s">
        <v>59</v>
      </c>
      <c r="HA116" t="s">
        <v>59</v>
      </c>
      <c r="HB116" t="s">
        <v>191</v>
      </c>
      <c r="HC116" t="s">
        <v>59</v>
      </c>
      <c r="HD116" t="s">
        <v>59</v>
      </c>
      <c r="HE116" t="s">
        <v>59</v>
      </c>
      <c r="HF116" t="s">
        <v>59</v>
      </c>
      <c r="HG116" t="s">
        <v>59</v>
      </c>
      <c r="HH116" t="s">
        <v>59</v>
      </c>
      <c r="HI116" t="s">
        <v>59</v>
      </c>
      <c r="HJ116" t="s">
        <v>59</v>
      </c>
      <c r="HK116" t="s">
        <v>59</v>
      </c>
      <c r="HL116" t="s">
        <v>191</v>
      </c>
      <c r="HM116" t="s">
        <v>191</v>
      </c>
      <c r="HN116" t="s">
        <v>191</v>
      </c>
      <c r="HO116" t="s">
        <v>191</v>
      </c>
      <c r="HP116" t="s">
        <v>59</v>
      </c>
      <c r="HQ116" t="s">
        <v>59</v>
      </c>
      <c r="HR116" t="s">
        <v>59</v>
      </c>
      <c r="HS116" t="s">
        <v>59</v>
      </c>
      <c r="HT116" t="s">
        <v>59</v>
      </c>
      <c r="HU116" t="s">
        <v>59</v>
      </c>
      <c r="HV116" t="s">
        <v>59</v>
      </c>
      <c r="HW116" t="s">
        <v>59</v>
      </c>
      <c r="HX116" t="s">
        <v>59</v>
      </c>
      <c r="HY116" t="s">
        <v>59</v>
      </c>
      <c r="HZ116" t="s">
        <v>59</v>
      </c>
      <c r="IA116" t="s">
        <v>59</v>
      </c>
      <c r="IB116" t="s">
        <v>59</v>
      </c>
      <c r="IC116" t="s">
        <v>59</v>
      </c>
      <c r="ID116" t="s">
        <v>59</v>
      </c>
      <c r="IE116" t="s">
        <v>59</v>
      </c>
      <c r="IF116" t="s">
        <v>59</v>
      </c>
      <c r="IG116" t="s">
        <v>59</v>
      </c>
      <c r="IH116" t="s">
        <v>59</v>
      </c>
      <c r="II116" t="s">
        <v>59</v>
      </c>
      <c r="IJ116" t="s">
        <v>129</v>
      </c>
      <c r="IK116" t="s">
        <v>198</v>
      </c>
      <c r="IL116" t="s">
        <v>128</v>
      </c>
      <c r="IM116" t="s">
        <v>199</v>
      </c>
      <c r="IN116">
        <v>26</v>
      </c>
      <c r="IO116" t="s">
        <v>2730</v>
      </c>
      <c r="IP116">
        <v>6</v>
      </c>
      <c r="IQ116" t="s">
        <v>2730</v>
      </c>
      <c r="IR116">
        <v>15</v>
      </c>
      <c r="IS116" t="s">
        <v>2730</v>
      </c>
      <c r="IT116" t="s">
        <v>2730</v>
      </c>
      <c r="IU116" t="s">
        <v>2730</v>
      </c>
      <c r="IV116">
        <v>16</v>
      </c>
      <c r="IW116" t="s">
        <v>2730</v>
      </c>
      <c r="IX116">
        <v>3</v>
      </c>
      <c r="IY116" t="s">
        <v>2730</v>
      </c>
      <c r="IZ116">
        <v>39</v>
      </c>
      <c r="JA116" t="s">
        <v>2730</v>
      </c>
      <c r="JB116">
        <v>20</v>
      </c>
      <c r="JC116" t="s">
        <v>2730</v>
      </c>
      <c r="JD116">
        <v>23</v>
      </c>
      <c r="JE116" t="s">
        <v>2730</v>
      </c>
      <c r="JF116">
        <v>3</v>
      </c>
      <c r="JG116" t="s">
        <v>2730</v>
      </c>
      <c r="JH116">
        <v>22</v>
      </c>
      <c r="JI116" t="s">
        <v>2730</v>
      </c>
      <c r="JJ116">
        <v>8</v>
      </c>
      <c r="JK116" t="s">
        <v>2730</v>
      </c>
      <c r="JL116">
        <v>16</v>
      </c>
      <c r="JM116" t="s">
        <v>2730</v>
      </c>
      <c r="JN116" t="s">
        <v>2730</v>
      </c>
      <c r="JO116">
        <v>4</v>
      </c>
      <c r="JP116" t="s">
        <v>2730</v>
      </c>
      <c r="JQ116" t="s">
        <v>2730</v>
      </c>
    </row>
    <row r="117" spans="1:277">
      <c r="A117" s="149" t="str">
        <f>HYPERLINK("http://www.ofsted.gov.uk/inspection-reports/find-inspection-report/provider/ELS/134388 ","Ofsted School Webpage")</f>
        <v>Ofsted School Webpage</v>
      </c>
      <c r="B117">
        <v>1132235</v>
      </c>
      <c r="C117">
        <v>134388</v>
      </c>
      <c r="D117">
        <v>3016002</v>
      </c>
      <c r="E117" t="s">
        <v>1163</v>
      </c>
      <c r="F117" t="s">
        <v>38</v>
      </c>
      <c r="G117" t="s">
        <v>180</v>
      </c>
      <c r="H117" t="s">
        <v>232</v>
      </c>
      <c r="I117" t="s">
        <v>232</v>
      </c>
      <c r="J117" t="s">
        <v>1164</v>
      </c>
      <c r="K117" t="s">
        <v>1165</v>
      </c>
      <c r="L117" t="s">
        <v>184</v>
      </c>
      <c r="M117" t="s">
        <v>185</v>
      </c>
      <c r="N117" t="s">
        <v>184</v>
      </c>
      <c r="O117" t="s">
        <v>2730</v>
      </c>
      <c r="P117" t="s">
        <v>186</v>
      </c>
      <c r="Q117">
        <v>10038168</v>
      </c>
      <c r="R117" s="120">
        <v>43054</v>
      </c>
      <c r="S117" s="120">
        <v>43056</v>
      </c>
      <c r="T117" s="120">
        <v>43097</v>
      </c>
      <c r="U117" t="s">
        <v>2730</v>
      </c>
      <c r="V117" t="s">
        <v>196</v>
      </c>
      <c r="W117" t="s">
        <v>2730</v>
      </c>
      <c r="X117" t="s">
        <v>197</v>
      </c>
      <c r="Y117">
        <v>3</v>
      </c>
      <c r="Z117">
        <v>2</v>
      </c>
      <c r="AA117">
        <v>3</v>
      </c>
      <c r="AB117">
        <v>3</v>
      </c>
      <c r="AC117">
        <v>3</v>
      </c>
      <c r="AD117" t="s">
        <v>2730</v>
      </c>
      <c r="AE117" t="s">
        <v>2730</v>
      </c>
      <c r="AF117" t="s">
        <v>128</v>
      </c>
      <c r="AG117" t="s">
        <v>2730</v>
      </c>
      <c r="AH117" t="s">
        <v>2732</v>
      </c>
      <c r="AI117" t="s">
        <v>59</v>
      </c>
      <c r="AJ117" t="s">
        <v>59</v>
      </c>
      <c r="AK117" t="s">
        <v>59</v>
      </c>
      <c r="AL117" t="s">
        <v>59</v>
      </c>
      <c r="AM117" t="s">
        <v>59</v>
      </c>
      <c r="AN117" t="s">
        <v>59</v>
      </c>
      <c r="AO117" t="s">
        <v>59</v>
      </c>
      <c r="AP117" t="s">
        <v>59</v>
      </c>
      <c r="AQ117" t="s">
        <v>59</v>
      </c>
      <c r="AR117" t="s">
        <v>59</v>
      </c>
      <c r="AS117" t="s">
        <v>59</v>
      </c>
      <c r="AT117" t="s">
        <v>59</v>
      </c>
      <c r="AU117" t="s">
        <v>59</v>
      </c>
      <c r="AV117" t="s">
        <v>59</v>
      </c>
      <c r="AW117" t="s">
        <v>59</v>
      </c>
      <c r="AX117" t="s">
        <v>59</v>
      </c>
      <c r="AY117" t="s">
        <v>218</v>
      </c>
      <c r="AZ117" t="s">
        <v>59</v>
      </c>
      <c r="BA117" t="s">
        <v>59</v>
      </c>
      <c r="BB117" t="s">
        <v>59</v>
      </c>
      <c r="BC117" t="s">
        <v>59</v>
      </c>
      <c r="BD117" t="s">
        <v>59</v>
      </c>
      <c r="BE117" t="s">
        <v>59</v>
      </c>
      <c r="BF117" t="s">
        <v>59</v>
      </c>
      <c r="BG117" t="s">
        <v>218</v>
      </c>
      <c r="BH117" t="s">
        <v>59</v>
      </c>
      <c r="BI117" t="s">
        <v>59</v>
      </c>
      <c r="BJ117" t="s">
        <v>59</v>
      </c>
      <c r="BK117" t="s">
        <v>59</v>
      </c>
      <c r="BL117" t="s">
        <v>59</v>
      </c>
      <c r="BM117" t="s">
        <v>59</v>
      </c>
      <c r="BN117" t="s">
        <v>59</v>
      </c>
      <c r="BO117" t="s">
        <v>59</v>
      </c>
      <c r="BP117" t="s">
        <v>59</v>
      </c>
      <c r="BQ117" t="s">
        <v>59</v>
      </c>
      <c r="BR117" t="s">
        <v>59</v>
      </c>
      <c r="BS117" t="s">
        <v>59</v>
      </c>
      <c r="BT117" t="s">
        <v>59</v>
      </c>
      <c r="BU117" t="s">
        <v>59</v>
      </c>
      <c r="BV117" t="s">
        <v>59</v>
      </c>
      <c r="BW117" t="s">
        <v>59</v>
      </c>
      <c r="BX117" t="s">
        <v>59</v>
      </c>
      <c r="BY117" t="s">
        <v>59</v>
      </c>
      <c r="BZ117" t="s">
        <v>59</v>
      </c>
      <c r="CA117" t="s">
        <v>59</v>
      </c>
      <c r="CB117" t="s">
        <v>59</v>
      </c>
      <c r="CC117" t="s">
        <v>59</v>
      </c>
      <c r="CD117" t="s">
        <v>59</v>
      </c>
      <c r="CE117" t="s">
        <v>59</v>
      </c>
      <c r="CF117" t="s">
        <v>59</v>
      </c>
      <c r="CG117" t="s">
        <v>59</v>
      </c>
      <c r="CH117" t="s">
        <v>59</v>
      </c>
      <c r="CI117" t="s">
        <v>59</v>
      </c>
      <c r="CJ117" t="s">
        <v>59</v>
      </c>
      <c r="CK117" t="s">
        <v>59</v>
      </c>
      <c r="CL117" t="s">
        <v>59</v>
      </c>
      <c r="CM117" t="s">
        <v>59</v>
      </c>
      <c r="CN117" t="s">
        <v>59</v>
      </c>
      <c r="CO117" t="s">
        <v>218</v>
      </c>
      <c r="CP117" t="s">
        <v>218</v>
      </c>
      <c r="CQ117" t="s">
        <v>218</v>
      </c>
      <c r="CR117" t="s">
        <v>59</v>
      </c>
      <c r="CS117" t="s">
        <v>59</v>
      </c>
      <c r="CT117" t="s">
        <v>59</v>
      </c>
      <c r="CU117" t="s">
        <v>59</v>
      </c>
      <c r="CV117" t="s">
        <v>59</v>
      </c>
      <c r="CW117" t="s">
        <v>59</v>
      </c>
      <c r="CX117" t="s">
        <v>59</v>
      </c>
      <c r="CY117" t="s">
        <v>59</v>
      </c>
      <c r="CZ117" t="s">
        <v>59</v>
      </c>
      <c r="DA117" t="s">
        <v>59</v>
      </c>
      <c r="DB117" t="s">
        <v>59</v>
      </c>
      <c r="DC117" t="s">
        <v>59</v>
      </c>
      <c r="DD117" t="s">
        <v>59</v>
      </c>
      <c r="DE117" t="s">
        <v>59</v>
      </c>
      <c r="DF117" t="s">
        <v>59</v>
      </c>
      <c r="DG117" t="s">
        <v>59</v>
      </c>
      <c r="DH117" t="s">
        <v>59</v>
      </c>
      <c r="DI117" t="s">
        <v>59</v>
      </c>
      <c r="DJ117" t="s">
        <v>59</v>
      </c>
      <c r="DK117" t="s">
        <v>59</v>
      </c>
      <c r="DL117" t="s">
        <v>59</v>
      </c>
      <c r="DM117" t="s">
        <v>59</v>
      </c>
      <c r="DN117" t="s">
        <v>59</v>
      </c>
      <c r="DO117" t="s">
        <v>218</v>
      </c>
      <c r="DP117" t="s">
        <v>59</v>
      </c>
      <c r="DQ117" t="s">
        <v>59</v>
      </c>
      <c r="DR117" t="s">
        <v>59</v>
      </c>
      <c r="DS117" t="s">
        <v>59</v>
      </c>
      <c r="DT117" t="s">
        <v>59</v>
      </c>
      <c r="DU117" t="s">
        <v>59</v>
      </c>
      <c r="DV117" t="s">
        <v>59</v>
      </c>
      <c r="DW117" t="s">
        <v>59</v>
      </c>
      <c r="DX117" t="s">
        <v>59</v>
      </c>
      <c r="DY117" t="s">
        <v>59</v>
      </c>
      <c r="DZ117" t="s">
        <v>59</v>
      </c>
      <c r="EA117" t="s">
        <v>59</v>
      </c>
      <c r="EB117" t="s">
        <v>59</v>
      </c>
      <c r="EC117" t="s">
        <v>218</v>
      </c>
      <c r="ED117" t="s">
        <v>59</v>
      </c>
      <c r="EE117" t="s">
        <v>59</v>
      </c>
      <c r="EF117" t="s">
        <v>59</v>
      </c>
      <c r="EG117" t="s">
        <v>59</v>
      </c>
      <c r="EH117" t="s">
        <v>59</v>
      </c>
      <c r="EI117" t="s">
        <v>59</v>
      </c>
      <c r="EJ117" t="s">
        <v>59</v>
      </c>
      <c r="EK117" t="s">
        <v>59</v>
      </c>
      <c r="EL117" t="s">
        <v>59</v>
      </c>
      <c r="EM117" t="s">
        <v>59</v>
      </c>
      <c r="EN117" t="s">
        <v>59</v>
      </c>
      <c r="EO117" t="s">
        <v>59</v>
      </c>
      <c r="EP117" t="s">
        <v>59</v>
      </c>
      <c r="EQ117" t="s">
        <v>59</v>
      </c>
      <c r="ER117" t="s">
        <v>59</v>
      </c>
      <c r="ES117" t="s">
        <v>59</v>
      </c>
      <c r="ET117" t="s">
        <v>59</v>
      </c>
      <c r="EU117" t="s">
        <v>59</v>
      </c>
      <c r="EV117" t="s">
        <v>59</v>
      </c>
      <c r="EW117" t="s">
        <v>59</v>
      </c>
      <c r="EX117" t="s">
        <v>59</v>
      </c>
      <c r="EY117" t="s">
        <v>59</v>
      </c>
      <c r="EZ117" t="s">
        <v>59</v>
      </c>
      <c r="FA117" t="s">
        <v>218</v>
      </c>
      <c r="FB117" t="s">
        <v>59</v>
      </c>
      <c r="FC117" t="s">
        <v>59</v>
      </c>
      <c r="FD117" t="s">
        <v>59</v>
      </c>
      <c r="FE117" t="s">
        <v>59</v>
      </c>
      <c r="FF117" t="s">
        <v>59</v>
      </c>
      <c r="FG117" t="s">
        <v>59</v>
      </c>
      <c r="FH117" t="s">
        <v>59</v>
      </c>
      <c r="FI117" t="s">
        <v>218</v>
      </c>
      <c r="FJ117" t="s">
        <v>191</v>
      </c>
      <c r="FK117" t="s">
        <v>218</v>
      </c>
      <c r="FL117" t="s">
        <v>59</v>
      </c>
      <c r="FM117" t="s">
        <v>59</v>
      </c>
      <c r="FN117" t="s">
        <v>59</v>
      </c>
      <c r="FO117" t="s">
        <v>59</v>
      </c>
      <c r="FP117" t="s">
        <v>59</v>
      </c>
      <c r="FQ117" t="s">
        <v>59</v>
      </c>
      <c r="FR117" t="s">
        <v>59</v>
      </c>
      <c r="FS117" t="s">
        <v>218</v>
      </c>
      <c r="FT117" t="s">
        <v>59</v>
      </c>
      <c r="FU117" t="s">
        <v>59</v>
      </c>
      <c r="FV117" t="s">
        <v>59</v>
      </c>
      <c r="FW117" t="s">
        <v>59</v>
      </c>
      <c r="FX117" t="s">
        <v>59</v>
      </c>
      <c r="FY117" t="s">
        <v>59</v>
      </c>
      <c r="FZ117" t="s">
        <v>59</v>
      </c>
      <c r="GA117" t="s">
        <v>59</v>
      </c>
      <c r="GB117" t="s">
        <v>59</v>
      </c>
      <c r="GC117" t="s">
        <v>59</v>
      </c>
      <c r="GD117" t="s">
        <v>59</v>
      </c>
      <c r="GE117" t="s">
        <v>59</v>
      </c>
      <c r="GF117" t="s">
        <v>59</v>
      </c>
      <c r="GG117" t="s">
        <v>59</v>
      </c>
      <c r="GH117" t="s">
        <v>59</v>
      </c>
      <c r="GI117" t="s">
        <v>59</v>
      </c>
      <c r="GJ117" t="s">
        <v>59</v>
      </c>
      <c r="GK117" t="s">
        <v>218</v>
      </c>
      <c r="GL117" t="s">
        <v>59</v>
      </c>
      <c r="GM117" t="s">
        <v>59</v>
      </c>
      <c r="GN117" t="s">
        <v>59</v>
      </c>
      <c r="GO117" t="s">
        <v>59</v>
      </c>
      <c r="GP117" t="s">
        <v>59</v>
      </c>
      <c r="GQ117" t="s">
        <v>218</v>
      </c>
      <c r="GR117" t="s">
        <v>59</v>
      </c>
      <c r="GS117" t="s">
        <v>59</v>
      </c>
      <c r="GT117" t="s">
        <v>59</v>
      </c>
      <c r="GU117" t="s">
        <v>59</v>
      </c>
      <c r="GV117" t="s">
        <v>59</v>
      </c>
      <c r="GW117" t="s">
        <v>59</v>
      </c>
      <c r="GX117" t="s">
        <v>59</v>
      </c>
      <c r="GY117" t="s">
        <v>59</v>
      </c>
      <c r="GZ117" t="s">
        <v>59</v>
      </c>
      <c r="HA117" t="s">
        <v>218</v>
      </c>
      <c r="HB117" t="s">
        <v>59</v>
      </c>
      <c r="HC117" t="s">
        <v>59</v>
      </c>
      <c r="HD117" t="s">
        <v>59</v>
      </c>
      <c r="HE117" t="s">
        <v>59</v>
      </c>
      <c r="HF117" t="s">
        <v>59</v>
      </c>
      <c r="HG117" t="s">
        <v>59</v>
      </c>
      <c r="HH117" t="s">
        <v>59</v>
      </c>
      <c r="HI117" t="s">
        <v>59</v>
      </c>
      <c r="HJ117" t="s">
        <v>59</v>
      </c>
      <c r="HK117" t="s">
        <v>59</v>
      </c>
      <c r="HL117" t="s">
        <v>218</v>
      </c>
      <c r="HM117" t="s">
        <v>218</v>
      </c>
      <c r="HN117" t="s">
        <v>218</v>
      </c>
      <c r="HO117" t="s">
        <v>218</v>
      </c>
      <c r="HP117" t="s">
        <v>59</v>
      </c>
      <c r="HQ117" t="s">
        <v>59</v>
      </c>
      <c r="HR117" t="s">
        <v>59</v>
      </c>
      <c r="HS117" t="s">
        <v>59</v>
      </c>
      <c r="HT117" t="s">
        <v>59</v>
      </c>
      <c r="HU117" t="s">
        <v>59</v>
      </c>
      <c r="HV117" t="s">
        <v>59</v>
      </c>
      <c r="HW117" t="s">
        <v>59</v>
      </c>
      <c r="HX117" t="s">
        <v>59</v>
      </c>
      <c r="HY117" t="s">
        <v>59</v>
      </c>
      <c r="HZ117" t="s">
        <v>59</v>
      </c>
      <c r="IA117" t="s">
        <v>59</v>
      </c>
      <c r="IB117" t="s">
        <v>59</v>
      </c>
      <c r="IC117" t="s">
        <v>59</v>
      </c>
      <c r="ID117" t="s">
        <v>59</v>
      </c>
      <c r="IE117" t="s">
        <v>59</v>
      </c>
      <c r="IF117" t="s">
        <v>59</v>
      </c>
      <c r="IG117" t="s">
        <v>59</v>
      </c>
      <c r="IH117" t="s">
        <v>59</v>
      </c>
      <c r="II117" t="s">
        <v>59</v>
      </c>
      <c r="IJ117" t="s">
        <v>129</v>
      </c>
      <c r="IK117" t="s">
        <v>191</v>
      </c>
      <c r="IL117" t="s">
        <v>128</v>
      </c>
      <c r="IM117" t="s">
        <v>199</v>
      </c>
      <c r="IN117">
        <v>30</v>
      </c>
      <c r="IO117" t="s">
        <v>2730</v>
      </c>
      <c r="IP117" t="s">
        <v>2730</v>
      </c>
      <c r="IQ117" t="s">
        <v>2730</v>
      </c>
      <c r="IR117">
        <v>15</v>
      </c>
      <c r="IS117" t="s">
        <v>2730</v>
      </c>
      <c r="IT117" t="s">
        <v>2730</v>
      </c>
      <c r="IU117" t="s">
        <v>2730</v>
      </c>
      <c r="IV117">
        <v>16</v>
      </c>
      <c r="IW117" t="s">
        <v>2730</v>
      </c>
      <c r="IX117" t="s">
        <v>2730</v>
      </c>
      <c r="IY117" t="s">
        <v>2730</v>
      </c>
      <c r="IZ117">
        <v>53</v>
      </c>
      <c r="JA117" t="s">
        <v>2730</v>
      </c>
      <c r="JB117">
        <v>1</v>
      </c>
      <c r="JC117" t="s">
        <v>2730</v>
      </c>
      <c r="JD117">
        <v>24</v>
      </c>
      <c r="JE117" t="s">
        <v>2730</v>
      </c>
      <c r="JF117" t="s">
        <v>2730</v>
      </c>
      <c r="JG117" t="s">
        <v>2730</v>
      </c>
      <c r="JH117">
        <v>24</v>
      </c>
      <c r="JI117" t="s">
        <v>2730</v>
      </c>
      <c r="JJ117" t="s">
        <v>2730</v>
      </c>
      <c r="JK117" t="s">
        <v>2730</v>
      </c>
      <c r="JL117">
        <v>16</v>
      </c>
      <c r="JM117" t="s">
        <v>2730</v>
      </c>
      <c r="JN117" t="s">
        <v>2730</v>
      </c>
      <c r="JO117">
        <v>4</v>
      </c>
      <c r="JP117" t="s">
        <v>2730</v>
      </c>
      <c r="JQ117" t="s">
        <v>2730</v>
      </c>
    </row>
    <row r="118" spans="1:277">
      <c r="A118" s="149" t="str">
        <f>HYPERLINK("http://www.ofsted.gov.uk/inspection-reports/find-inspection-report/provider/ELS/140486 ","Ofsted School Webpage")</f>
        <v>Ofsted School Webpage</v>
      </c>
      <c r="B118">
        <v>1132695</v>
      </c>
      <c r="C118">
        <v>140486</v>
      </c>
      <c r="D118">
        <v>3516003</v>
      </c>
      <c r="E118" t="s">
        <v>1920</v>
      </c>
      <c r="F118" t="s">
        <v>38</v>
      </c>
      <c r="G118" t="s">
        <v>180</v>
      </c>
      <c r="H118" t="s">
        <v>205</v>
      </c>
      <c r="I118" t="s">
        <v>205</v>
      </c>
      <c r="J118" t="s">
        <v>453</v>
      </c>
      <c r="K118" t="s">
        <v>1921</v>
      </c>
      <c r="L118" t="s">
        <v>184</v>
      </c>
      <c r="M118" t="s">
        <v>185</v>
      </c>
      <c r="N118" t="s">
        <v>184</v>
      </c>
      <c r="O118" t="s">
        <v>2730</v>
      </c>
      <c r="P118" t="s">
        <v>186</v>
      </c>
      <c r="Q118">
        <v>10038936</v>
      </c>
      <c r="R118" s="120">
        <v>43053</v>
      </c>
      <c r="S118" s="120">
        <v>43055</v>
      </c>
      <c r="T118" s="120">
        <v>43077</v>
      </c>
      <c r="U118" t="s">
        <v>2730</v>
      </c>
      <c r="V118" t="s">
        <v>196</v>
      </c>
      <c r="W118" t="s">
        <v>2730</v>
      </c>
      <c r="X118" t="s">
        <v>197</v>
      </c>
      <c r="Y118">
        <v>2</v>
      </c>
      <c r="Z118">
        <v>2</v>
      </c>
      <c r="AA118">
        <v>2</v>
      </c>
      <c r="AB118">
        <v>2</v>
      </c>
      <c r="AC118">
        <v>2</v>
      </c>
      <c r="AD118" t="s">
        <v>2730</v>
      </c>
      <c r="AE118" t="s">
        <v>2730</v>
      </c>
      <c r="AF118" t="s">
        <v>128</v>
      </c>
      <c r="AG118" t="s">
        <v>2730</v>
      </c>
      <c r="AH118" t="s">
        <v>2732</v>
      </c>
      <c r="AI118" t="s">
        <v>59</v>
      </c>
      <c r="AJ118" t="s">
        <v>59</v>
      </c>
      <c r="AK118" t="s">
        <v>59</v>
      </c>
      <c r="AL118" t="s">
        <v>59</v>
      </c>
      <c r="AM118" t="s">
        <v>59</v>
      </c>
      <c r="AN118" t="s">
        <v>59</v>
      </c>
      <c r="AO118" t="s">
        <v>59</v>
      </c>
      <c r="AP118" t="s">
        <v>59</v>
      </c>
      <c r="AQ118" t="s">
        <v>59</v>
      </c>
      <c r="AR118" t="s">
        <v>59</v>
      </c>
      <c r="AS118" t="s">
        <v>59</v>
      </c>
      <c r="AT118" t="s">
        <v>59</v>
      </c>
      <c r="AU118" t="s">
        <v>59</v>
      </c>
      <c r="AV118" t="s">
        <v>59</v>
      </c>
      <c r="AW118" t="s">
        <v>59</v>
      </c>
      <c r="AX118" t="s">
        <v>59</v>
      </c>
      <c r="AY118" t="s">
        <v>218</v>
      </c>
      <c r="AZ118" t="s">
        <v>59</v>
      </c>
      <c r="BA118" t="s">
        <v>59</v>
      </c>
      <c r="BB118" t="s">
        <v>59</v>
      </c>
      <c r="BC118" t="s">
        <v>59</v>
      </c>
      <c r="BD118" t="s">
        <v>59</v>
      </c>
      <c r="BE118" t="s">
        <v>59</v>
      </c>
      <c r="BF118" t="s">
        <v>59</v>
      </c>
      <c r="BG118" t="s">
        <v>218</v>
      </c>
      <c r="BH118" t="s">
        <v>218</v>
      </c>
      <c r="BI118" t="s">
        <v>59</v>
      </c>
      <c r="BJ118" t="s">
        <v>59</v>
      </c>
      <c r="BK118" t="s">
        <v>59</v>
      </c>
      <c r="BL118" t="s">
        <v>59</v>
      </c>
      <c r="BM118" t="s">
        <v>59</v>
      </c>
      <c r="BN118" t="s">
        <v>59</v>
      </c>
      <c r="BO118" t="s">
        <v>59</v>
      </c>
      <c r="BP118" t="s">
        <v>59</v>
      </c>
      <c r="BQ118" t="s">
        <v>59</v>
      </c>
      <c r="BR118" t="s">
        <v>59</v>
      </c>
      <c r="BS118" t="s">
        <v>59</v>
      </c>
      <c r="BT118" t="s">
        <v>59</v>
      </c>
      <c r="BU118" t="s">
        <v>59</v>
      </c>
      <c r="BV118" t="s">
        <v>59</v>
      </c>
      <c r="BW118" t="s">
        <v>59</v>
      </c>
      <c r="BX118" t="s">
        <v>59</v>
      </c>
      <c r="BY118" t="s">
        <v>59</v>
      </c>
      <c r="BZ118" t="s">
        <v>59</v>
      </c>
      <c r="CA118" t="s">
        <v>59</v>
      </c>
      <c r="CB118" t="s">
        <v>59</v>
      </c>
      <c r="CC118" t="s">
        <v>59</v>
      </c>
      <c r="CD118" t="s">
        <v>59</v>
      </c>
      <c r="CE118" t="s">
        <v>59</v>
      </c>
      <c r="CF118" t="s">
        <v>59</v>
      </c>
      <c r="CG118" t="s">
        <v>59</v>
      </c>
      <c r="CH118" t="s">
        <v>59</v>
      </c>
      <c r="CI118" t="s">
        <v>59</v>
      </c>
      <c r="CJ118" t="s">
        <v>59</v>
      </c>
      <c r="CK118" t="s">
        <v>59</v>
      </c>
      <c r="CL118" t="s">
        <v>59</v>
      </c>
      <c r="CM118" t="s">
        <v>59</v>
      </c>
      <c r="CN118" t="s">
        <v>59</v>
      </c>
      <c r="CO118" t="s">
        <v>218</v>
      </c>
      <c r="CP118" t="s">
        <v>218</v>
      </c>
      <c r="CQ118" t="s">
        <v>218</v>
      </c>
      <c r="CR118" t="s">
        <v>59</v>
      </c>
      <c r="CS118" t="s">
        <v>59</v>
      </c>
      <c r="CT118" t="s">
        <v>59</v>
      </c>
      <c r="CU118" t="s">
        <v>59</v>
      </c>
      <c r="CV118" t="s">
        <v>59</v>
      </c>
      <c r="CW118" t="s">
        <v>59</v>
      </c>
      <c r="CX118" t="s">
        <v>59</v>
      </c>
      <c r="CY118" t="s">
        <v>59</v>
      </c>
      <c r="CZ118" t="s">
        <v>59</v>
      </c>
      <c r="DA118" t="s">
        <v>59</v>
      </c>
      <c r="DB118" t="s">
        <v>59</v>
      </c>
      <c r="DC118" t="s">
        <v>59</v>
      </c>
      <c r="DD118" t="s">
        <v>59</v>
      </c>
      <c r="DE118" t="s">
        <v>59</v>
      </c>
      <c r="DF118" t="s">
        <v>59</v>
      </c>
      <c r="DG118" t="s">
        <v>59</v>
      </c>
      <c r="DH118" t="s">
        <v>59</v>
      </c>
      <c r="DI118" t="s">
        <v>59</v>
      </c>
      <c r="DJ118" t="s">
        <v>59</v>
      </c>
      <c r="DK118" t="s">
        <v>59</v>
      </c>
      <c r="DL118" t="s">
        <v>59</v>
      </c>
      <c r="DM118" t="s">
        <v>59</v>
      </c>
      <c r="DN118" t="s">
        <v>59</v>
      </c>
      <c r="DO118" t="s">
        <v>218</v>
      </c>
      <c r="DP118" t="s">
        <v>59</v>
      </c>
      <c r="DQ118" t="s">
        <v>59</v>
      </c>
      <c r="DR118" t="s">
        <v>59</v>
      </c>
      <c r="DS118" t="s">
        <v>59</v>
      </c>
      <c r="DT118" t="s">
        <v>59</v>
      </c>
      <c r="DU118" t="s">
        <v>59</v>
      </c>
      <c r="DV118" t="s">
        <v>59</v>
      </c>
      <c r="DW118" t="s">
        <v>59</v>
      </c>
      <c r="DX118" t="s">
        <v>59</v>
      </c>
      <c r="DY118" t="s">
        <v>59</v>
      </c>
      <c r="DZ118" t="s">
        <v>59</v>
      </c>
      <c r="EA118" t="s">
        <v>59</v>
      </c>
      <c r="EB118" t="s">
        <v>59</v>
      </c>
      <c r="EC118" t="s">
        <v>218</v>
      </c>
      <c r="ED118" t="s">
        <v>59</v>
      </c>
      <c r="EE118" t="s">
        <v>59</v>
      </c>
      <c r="EF118" t="s">
        <v>59</v>
      </c>
      <c r="EG118" t="s">
        <v>59</v>
      </c>
      <c r="EH118" t="s">
        <v>59</v>
      </c>
      <c r="EI118" t="s">
        <v>59</v>
      </c>
      <c r="EJ118" t="s">
        <v>59</v>
      </c>
      <c r="EK118" t="s">
        <v>59</v>
      </c>
      <c r="EL118" t="s">
        <v>59</v>
      </c>
      <c r="EM118" t="s">
        <v>59</v>
      </c>
      <c r="EN118" t="s">
        <v>59</v>
      </c>
      <c r="EO118" t="s">
        <v>59</v>
      </c>
      <c r="EP118" t="s">
        <v>59</v>
      </c>
      <c r="EQ118" t="s">
        <v>59</v>
      </c>
      <c r="ER118" t="s">
        <v>59</v>
      </c>
      <c r="ES118" t="s">
        <v>218</v>
      </c>
      <c r="ET118" t="s">
        <v>59</v>
      </c>
      <c r="EU118" t="s">
        <v>59</v>
      </c>
      <c r="EV118" t="s">
        <v>59</v>
      </c>
      <c r="EW118" t="s">
        <v>59</v>
      </c>
      <c r="EX118" t="s">
        <v>59</v>
      </c>
      <c r="EY118" t="s">
        <v>59</v>
      </c>
      <c r="EZ118" t="s">
        <v>59</v>
      </c>
      <c r="FA118" t="s">
        <v>218</v>
      </c>
      <c r="FB118" t="s">
        <v>59</v>
      </c>
      <c r="FC118" t="s">
        <v>59</v>
      </c>
      <c r="FD118" t="s">
        <v>59</v>
      </c>
      <c r="FE118" t="s">
        <v>59</v>
      </c>
      <c r="FF118" t="s">
        <v>59</v>
      </c>
      <c r="FG118" t="s">
        <v>59</v>
      </c>
      <c r="FH118" t="s">
        <v>59</v>
      </c>
      <c r="FI118" t="s">
        <v>59</v>
      </c>
      <c r="FJ118" t="s">
        <v>59</v>
      </c>
      <c r="FK118" t="s">
        <v>59</v>
      </c>
      <c r="FL118" t="s">
        <v>59</v>
      </c>
      <c r="FM118" t="s">
        <v>59</v>
      </c>
      <c r="FN118" t="s">
        <v>59</v>
      </c>
      <c r="FO118" t="s">
        <v>59</v>
      </c>
      <c r="FP118" t="s">
        <v>59</v>
      </c>
      <c r="FQ118" t="s">
        <v>59</v>
      </c>
      <c r="FR118" t="s">
        <v>59</v>
      </c>
      <c r="FS118" t="s">
        <v>218</v>
      </c>
      <c r="FT118" t="s">
        <v>59</v>
      </c>
      <c r="FU118" t="s">
        <v>59</v>
      </c>
      <c r="FV118" t="s">
        <v>59</v>
      </c>
      <c r="FW118" t="s">
        <v>59</v>
      </c>
      <c r="FX118" t="s">
        <v>59</v>
      </c>
      <c r="FY118" t="s">
        <v>59</v>
      </c>
      <c r="FZ118" t="s">
        <v>59</v>
      </c>
      <c r="GA118" t="s">
        <v>59</v>
      </c>
      <c r="GB118" t="s">
        <v>59</v>
      </c>
      <c r="GC118" t="s">
        <v>59</v>
      </c>
      <c r="GD118" t="s">
        <v>59</v>
      </c>
      <c r="GE118" t="s">
        <v>59</v>
      </c>
      <c r="GF118" t="s">
        <v>59</v>
      </c>
      <c r="GG118" t="s">
        <v>59</v>
      </c>
      <c r="GH118" t="s">
        <v>59</v>
      </c>
      <c r="GI118" t="s">
        <v>59</v>
      </c>
      <c r="GJ118" t="s">
        <v>59</v>
      </c>
      <c r="GK118" t="s">
        <v>218</v>
      </c>
      <c r="GL118" t="s">
        <v>59</v>
      </c>
      <c r="GM118" t="s">
        <v>59</v>
      </c>
      <c r="GN118" t="s">
        <v>59</v>
      </c>
      <c r="GO118" t="s">
        <v>59</v>
      </c>
      <c r="GP118" t="s">
        <v>59</v>
      </c>
      <c r="GQ118" t="s">
        <v>218</v>
      </c>
      <c r="GR118" t="s">
        <v>59</v>
      </c>
      <c r="GS118" t="s">
        <v>59</v>
      </c>
      <c r="GT118" t="s">
        <v>59</v>
      </c>
      <c r="GU118" t="s">
        <v>59</v>
      </c>
      <c r="GV118" t="s">
        <v>218</v>
      </c>
      <c r="GW118" t="s">
        <v>59</v>
      </c>
      <c r="GX118" t="s">
        <v>59</v>
      </c>
      <c r="GY118" t="s">
        <v>59</v>
      </c>
      <c r="GZ118" t="s">
        <v>218</v>
      </c>
      <c r="HA118" t="s">
        <v>59</v>
      </c>
      <c r="HB118" t="s">
        <v>218</v>
      </c>
      <c r="HC118" t="s">
        <v>59</v>
      </c>
      <c r="HD118" t="s">
        <v>59</v>
      </c>
      <c r="HE118" t="s">
        <v>59</v>
      </c>
      <c r="HF118" t="s">
        <v>59</v>
      </c>
      <c r="HG118" t="s">
        <v>59</v>
      </c>
      <c r="HH118" t="s">
        <v>59</v>
      </c>
      <c r="HI118" t="s">
        <v>59</v>
      </c>
      <c r="HJ118" t="s">
        <v>59</v>
      </c>
      <c r="HK118" t="s">
        <v>59</v>
      </c>
      <c r="HL118" t="s">
        <v>218</v>
      </c>
      <c r="HM118" t="s">
        <v>218</v>
      </c>
      <c r="HN118" t="s">
        <v>218</v>
      </c>
      <c r="HO118" t="s">
        <v>218</v>
      </c>
      <c r="HP118" t="s">
        <v>59</v>
      </c>
      <c r="HQ118" t="s">
        <v>59</v>
      </c>
      <c r="HR118" t="s">
        <v>59</v>
      </c>
      <c r="HS118" t="s">
        <v>59</v>
      </c>
      <c r="HT118" t="s">
        <v>59</v>
      </c>
      <c r="HU118" t="s">
        <v>59</v>
      </c>
      <c r="HV118" t="s">
        <v>59</v>
      </c>
      <c r="HW118" t="s">
        <v>59</v>
      </c>
      <c r="HX118" t="s">
        <v>59</v>
      </c>
      <c r="HY118" t="s">
        <v>59</v>
      </c>
      <c r="HZ118" t="s">
        <v>59</v>
      </c>
      <c r="IA118" t="s">
        <v>59</v>
      </c>
      <c r="IB118" t="s">
        <v>59</v>
      </c>
      <c r="IC118" t="s">
        <v>59</v>
      </c>
      <c r="ID118" t="s">
        <v>59</v>
      </c>
      <c r="IE118" t="s">
        <v>59</v>
      </c>
      <c r="IF118" t="s">
        <v>59</v>
      </c>
      <c r="IG118" t="s">
        <v>59</v>
      </c>
      <c r="IH118" t="s">
        <v>59</v>
      </c>
      <c r="II118" t="s">
        <v>59</v>
      </c>
      <c r="IJ118" t="s">
        <v>129</v>
      </c>
      <c r="IK118" t="s">
        <v>191</v>
      </c>
      <c r="IL118" t="s">
        <v>128</v>
      </c>
      <c r="IM118" t="s">
        <v>199</v>
      </c>
      <c r="IN118">
        <v>29</v>
      </c>
      <c r="IO118" t="s">
        <v>2730</v>
      </c>
      <c r="IP118" t="s">
        <v>2730</v>
      </c>
      <c r="IQ118" t="s">
        <v>2730</v>
      </c>
      <c r="IR118">
        <v>15</v>
      </c>
      <c r="IS118" t="s">
        <v>2730</v>
      </c>
      <c r="IT118" t="s">
        <v>2730</v>
      </c>
      <c r="IU118" t="s">
        <v>2730</v>
      </c>
      <c r="IV118">
        <v>16</v>
      </c>
      <c r="IW118" t="s">
        <v>2730</v>
      </c>
      <c r="IX118" t="s">
        <v>2730</v>
      </c>
      <c r="IY118" t="s">
        <v>2730</v>
      </c>
      <c r="IZ118">
        <v>55</v>
      </c>
      <c r="JA118" t="s">
        <v>2730</v>
      </c>
      <c r="JB118" t="s">
        <v>2730</v>
      </c>
      <c r="JC118" t="s">
        <v>2730</v>
      </c>
      <c r="JD118">
        <v>24</v>
      </c>
      <c r="JE118" t="s">
        <v>2730</v>
      </c>
      <c r="JF118" t="s">
        <v>2730</v>
      </c>
      <c r="JG118" t="s">
        <v>2730</v>
      </c>
      <c r="JH118">
        <v>22</v>
      </c>
      <c r="JI118" t="s">
        <v>2730</v>
      </c>
      <c r="JJ118" t="s">
        <v>2730</v>
      </c>
      <c r="JK118" t="s">
        <v>2730</v>
      </c>
      <c r="JL118">
        <v>16</v>
      </c>
      <c r="JM118" t="s">
        <v>2730</v>
      </c>
      <c r="JN118" t="s">
        <v>2730</v>
      </c>
      <c r="JO118">
        <v>4</v>
      </c>
      <c r="JP118" t="s">
        <v>2730</v>
      </c>
      <c r="JQ118" t="s">
        <v>2730</v>
      </c>
    </row>
    <row r="119" spans="1:277">
      <c r="A119" s="149" t="str">
        <f>HYPERLINK("http://www.ofsted.gov.uk/inspection-reports/find-inspection-report/provider/ELS/133651 ","Ofsted School Webpage")</f>
        <v>Ofsted School Webpage</v>
      </c>
      <c r="B119">
        <v>1132601</v>
      </c>
      <c r="C119">
        <v>133651</v>
      </c>
      <c r="D119">
        <v>8736032</v>
      </c>
      <c r="E119" t="s">
        <v>283</v>
      </c>
      <c r="F119" t="s">
        <v>38</v>
      </c>
      <c r="G119" t="s">
        <v>180</v>
      </c>
      <c r="H119" t="s">
        <v>220</v>
      </c>
      <c r="I119" t="s">
        <v>220</v>
      </c>
      <c r="J119" t="s">
        <v>284</v>
      </c>
      <c r="K119" t="s">
        <v>285</v>
      </c>
      <c r="L119" t="s">
        <v>184</v>
      </c>
      <c r="M119" t="s">
        <v>185</v>
      </c>
      <c r="N119" t="s">
        <v>184</v>
      </c>
      <c r="O119" t="s">
        <v>2730</v>
      </c>
      <c r="P119" t="s">
        <v>186</v>
      </c>
      <c r="Q119">
        <v>10038904</v>
      </c>
      <c r="R119" s="120">
        <v>42997</v>
      </c>
      <c r="S119" s="120">
        <v>42998</v>
      </c>
      <c r="T119" s="120">
        <v>43027</v>
      </c>
      <c r="U119" t="s">
        <v>2730</v>
      </c>
      <c r="V119" t="s">
        <v>3120</v>
      </c>
      <c r="W119" t="s">
        <v>2730</v>
      </c>
      <c r="X119" t="s">
        <v>197</v>
      </c>
      <c r="Y119">
        <v>2</v>
      </c>
      <c r="Z119">
        <v>2</v>
      </c>
      <c r="AA119">
        <v>2</v>
      </c>
      <c r="AB119">
        <v>2</v>
      </c>
      <c r="AC119">
        <v>2</v>
      </c>
      <c r="AD119" t="s">
        <v>2730</v>
      </c>
      <c r="AE119" t="s">
        <v>2730</v>
      </c>
      <c r="AF119" t="s">
        <v>128</v>
      </c>
      <c r="AG119" t="s">
        <v>2730</v>
      </c>
      <c r="AH119" t="s">
        <v>2732</v>
      </c>
      <c r="AI119" t="s">
        <v>59</v>
      </c>
      <c r="AJ119" t="s">
        <v>59</v>
      </c>
      <c r="AK119" t="s">
        <v>59</v>
      </c>
      <c r="AL119" t="s">
        <v>59</v>
      </c>
      <c r="AM119" t="s">
        <v>59</v>
      </c>
      <c r="AN119" t="s">
        <v>59</v>
      </c>
      <c r="AO119" t="s">
        <v>59</v>
      </c>
      <c r="AP119" t="s">
        <v>59</v>
      </c>
      <c r="AQ119" t="s">
        <v>59</v>
      </c>
      <c r="AR119" t="s">
        <v>59</v>
      </c>
      <c r="AS119" t="s">
        <v>59</v>
      </c>
      <c r="AT119" t="s">
        <v>59</v>
      </c>
      <c r="AU119" t="s">
        <v>59</v>
      </c>
      <c r="AV119" t="s">
        <v>59</v>
      </c>
      <c r="AW119" t="s">
        <v>59</v>
      </c>
      <c r="AX119" t="s">
        <v>59</v>
      </c>
      <c r="AY119" t="s">
        <v>218</v>
      </c>
      <c r="AZ119" t="s">
        <v>59</v>
      </c>
      <c r="BA119" t="s">
        <v>59</v>
      </c>
      <c r="BB119" t="s">
        <v>59</v>
      </c>
      <c r="BC119" t="s">
        <v>59</v>
      </c>
      <c r="BD119" t="s">
        <v>59</v>
      </c>
      <c r="BE119" t="s">
        <v>59</v>
      </c>
      <c r="BF119" t="s">
        <v>59</v>
      </c>
      <c r="BG119" t="s">
        <v>218</v>
      </c>
      <c r="BH119" t="s">
        <v>218</v>
      </c>
      <c r="BI119" t="s">
        <v>59</v>
      </c>
      <c r="BJ119" t="s">
        <v>59</v>
      </c>
      <c r="BK119" t="s">
        <v>59</v>
      </c>
      <c r="BL119" t="s">
        <v>59</v>
      </c>
      <c r="BM119" t="s">
        <v>59</v>
      </c>
      <c r="BN119" t="s">
        <v>59</v>
      </c>
      <c r="BO119" t="s">
        <v>59</v>
      </c>
      <c r="BP119" t="s">
        <v>59</v>
      </c>
      <c r="BQ119" t="s">
        <v>59</v>
      </c>
      <c r="BR119" t="s">
        <v>59</v>
      </c>
      <c r="BS119" t="s">
        <v>59</v>
      </c>
      <c r="BT119" t="s">
        <v>59</v>
      </c>
      <c r="BU119" t="s">
        <v>59</v>
      </c>
      <c r="BV119" t="s">
        <v>59</v>
      </c>
      <c r="BW119" t="s">
        <v>59</v>
      </c>
      <c r="BX119" t="s">
        <v>59</v>
      </c>
      <c r="BY119" t="s">
        <v>59</v>
      </c>
      <c r="BZ119" t="s">
        <v>59</v>
      </c>
      <c r="CA119" t="s">
        <v>59</v>
      </c>
      <c r="CB119" t="s">
        <v>59</v>
      </c>
      <c r="CC119" t="s">
        <v>59</v>
      </c>
      <c r="CD119" t="s">
        <v>59</v>
      </c>
      <c r="CE119" t="s">
        <v>59</v>
      </c>
      <c r="CF119" t="s">
        <v>59</v>
      </c>
      <c r="CG119" t="s">
        <v>59</v>
      </c>
      <c r="CH119" t="s">
        <v>59</v>
      </c>
      <c r="CI119" t="s">
        <v>59</v>
      </c>
      <c r="CJ119" t="s">
        <v>59</v>
      </c>
      <c r="CK119" t="s">
        <v>59</v>
      </c>
      <c r="CL119" t="s">
        <v>59</v>
      </c>
      <c r="CM119" t="s">
        <v>59</v>
      </c>
      <c r="CN119" t="s">
        <v>59</v>
      </c>
      <c r="CO119" t="s">
        <v>218</v>
      </c>
      <c r="CP119" t="s">
        <v>218</v>
      </c>
      <c r="CQ119" t="s">
        <v>218</v>
      </c>
      <c r="CR119" t="s">
        <v>59</v>
      </c>
      <c r="CS119" t="s">
        <v>59</v>
      </c>
      <c r="CT119" t="s">
        <v>59</v>
      </c>
      <c r="CU119" t="s">
        <v>59</v>
      </c>
      <c r="CV119" t="s">
        <v>59</v>
      </c>
      <c r="CW119" t="s">
        <v>59</v>
      </c>
      <c r="CX119" t="s">
        <v>59</v>
      </c>
      <c r="CY119" t="s">
        <v>59</v>
      </c>
      <c r="CZ119" t="s">
        <v>59</v>
      </c>
      <c r="DA119" t="s">
        <v>59</v>
      </c>
      <c r="DB119" t="s">
        <v>59</v>
      </c>
      <c r="DC119" t="s">
        <v>59</v>
      </c>
      <c r="DD119" t="s">
        <v>59</v>
      </c>
      <c r="DE119" t="s">
        <v>59</v>
      </c>
      <c r="DF119" t="s">
        <v>59</v>
      </c>
      <c r="DG119" t="s">
        <v>59</v>
      </c>
      <c r="DH119" t="s">
        <v>59</v>
      </c>
      <c r="DI119" t="s">
        <v>59</v>
      </c>
      <c r="DJ119" t="s">
        <v>59</v>
      </c>
      <c r="DK119" t="s">
        <v>59</v>
      </c>
      <c r="DL119" t="s">
        <v>59</v>
      </c>
      <c r="DM119" t="s">
        <v>59</v>
      </c>
      <c r="DN119" t="s">
        <v>59</v>
      </c>
      <c r="DO119" t="s">
        <v>218</v>
      </c>
      <c r="DP119" t="s">
        <v>59</v>
      </c>
      <c r="DQ119" t="s">
        <v>218</v>
      </c>
      <c r="DR119" t="s">
        <v>218</v>
      </c>
      <c r="DS119" t="s">
        <v>218</v>
      </c>
      <c r="DT119" t="s">
        <v>218</v>
      </c>
      <c r="DU119" t="s">
        <v>218</v>
      </c>
      <c r="DV119" t="s">
        <v>218</v>
      </c>
      <c r="DW119" t="s">
        <v>218</v>
      </c>
      <c r="DX119" t="s">
        <v>218</v>
      </c>
      <c r="DY119" t="s">
        <v>218</v>
      </c>
      <c r="DZ119" t="s">
        <v>218</v>
      </c>
      <c r="EA119" t="s">
        <v>218</v>
      </c>
      <c r="EB119" t="s">
        <v>218</v>
      </c>
      <c r="EC119" t="s">
        <v>218</v>
      </c>
      <c r="ED119" t="s">
        <v>218</v>
      </c>
      <c r="EE119" t="s">
        <v>59</v>
      </c>
      <c r="EF119" t="s">
        <v>59</v>
      </c>
      <c r="EG119" t="s">
        <v>59</v>
      </c>
      <c r="EH119" t="s">
        <v>59</v>
      </c>
      <c r="EI119" t="s">
        <v>59</v>
      </c>
      <c r="EJ119" t="s">
        <v>59</v>
      </c>
      <c r="EK119" t="s">
        <v>59</v>
      </c>
      <c r="EL119" t="s">
        <v>59</v>
      </c>
      <c r="EM119" t="s">
        <v>59</v>
      </c>
      <c r="EN119" t="s">
        <v>59</v>
      </c>
      <c r="EO119" t="s">
        <v>59</v>
      </c>
      <c r="EP119" t="s">
        <v>59</v>
      </c>
      <c r="EQ119" t="s">
        <v>59</v>
      </c>
      <c r="ER119" t="s">
        <v>59</v>
      </c>
      <c r="ES119" t="s">
        <v>59</v>
      </c>
      <c r="ET119" t="s">
        <v>59</v>
      </c>
      <c r="EU119" t="s">
        <v>59</v>
      </c>
      <c r="EV119" t="s">
        <v>59</v>
      </c>
      <c r="EW119" t="s">
        <v>59</v>
      </c>
      <c r="EX119" t="s">
        <v>59</v>
      </c>
      <c r="EY119" t="s">
        <v>59</v>
      </c>
      <c r="EZ119" t="s">
        <v>59</v>
      </c>
      <c r="FA119" t="s">
        <v>59</v>
      </c>
      <c r="FB119" t="s">
        <v>218</v>
      </c>
      <c r="FC119" t="s">
        <v>218</v>
      </c>
      <c r="FD119" t="s">
        <v>218</v>
      </c>
      <c r="FE119" t="s">
        <v>218</v>
      </c>
      <c r="FF119" t="s">
        <v>218</v>
      </c>
      <c r="FG119" t="s">
        <v>218</v>
      </c>
      <c r="FH119" t="s">
        <v>59</v>
      </c>
      <c r="FI119" t="s">
        <v>59</v>
      </c>
      <c r="FJ119" t="s">
        <v>59</v>
      </c>
      <c r="FK119" t="s">
        <v>59</v>
      </c>
      <c r="FL119" t="s">
        <v>59</v>
      </c>
      <c r="FM119" t="s">
        <v>59</v>
      </c>
      <c r="FN119" t="s">
        <v>218</v>
      </c>
      <c r="FO119" t="s">
        <v>59</v>
      </c>
      <c r="FP119" t="s">
        <v>59</v>
      </c>
      <c r="FQ119" t="s">
        <v>59</v>
      </c>
      <c r="FR119" t="s">
        <v>59</v>
      </c>
      <c r="FS119" t="s">
        <v>218</v>
      </c>
      <c r="FT119" t="s">
        <v>59</v>
      </c>
      <c r="FU119" t="s">
        <v>59</v>
      </c>
      <c r="FV119" t="s">
        <v>59</v>
      </c>
      <c r="FW119" t="s">
        <v>59</v>
      </c>
      <c r="FX119" t="s">
        <v>59</v>
      </c>
      <c r="FY119" t="s">
        <v>59</v>
      </c>
      <c r="FZ119" t="s">
        <v>59</v>
      </c>
      <c r="GA119" t="s">
        <v>59</v>
      </c>
      <c r="GB119" t="s">
        <v>59</v>
      </c>
      <c r="GC119" t="s">
        <v>59</v>
      </c>
      <c r="GD119" t="s">
        <v>59</v>
      </c>
      <c r="GE119" t="s">
        <v>59</v>
      </c>
      <c r="GF119" t="s">
        <v>59</v>
      </c>
      <c r="GG119" t="s">
        <v>59</v>
      </c>
      <c r="GH119" t="s">
        <v>59</v>
      </c>
      <c r="GI119" t="s">
        <v>59</v>
      </c>
      <c r="GJ119" t="s">
        <v>59</v>
      </c>
      <c r="GK119" t="s">
        <v>218</v>
      </c>
      <c r="GL119" t="s">
        <v>59</v>
      </c>
      <c r="GM119" t="s">
        <v>59</v>
      </c>
      <c r="GN119" t="s">
        <v>59</v>
      </c>
      <c r="GO119" t="s">
        <v>59</v>
      </c>
      <c r="GP119" t="s">
        <v>59</v>
      </c>
      <c r="GQ119" t="s">
        <v>218</v>
      </c>
      <c r="GR119" t="s">
        <v>59</v>
      </c>
      <c r="GS119" t="s">
        <v>59</v>
      </c>
      <c r="GT119" t="s">
        <v>59</v>
      </c>
      <c r="GU119" t="s">
        <v>59</v>
      </c>
      <c r="GV119" t="s">
        <v>59</v>
      </c>
      <c r="GW119" t="s">
        <v>59</v>
      </c>
      <c r="GX119" t="s">
        <v>59</v>
      </c>
      <c r="GY119" t="s">
        <v>59</v>
      </c>
      <c r="GZ119" t="s">
        <v>59</v>
      </c>
      <c r="HA119" t="s">
        <v>218</v>
      </c>
      <c r="HB119" t="s">
        <v>218</v>
      </c>
      <c r="HC119" t="s">
        <v>59</v>
      </c>
      <c r="HD119" t="s">
        <v>59</v>
      </c>
      <c r="HE119" t="s">
        <v>59</v>
      </c>
      <c r="HF119" t="s">
        <v>59</v>
      </c>
      <c r="HG119" t="s">
        <v>59</v>
      </c>
      <c r="HH119" t="s">
        <v>59</v>
      </c>
      <c r="HI119" t="s">
        <v>59</v>
      </c>
      <c r="HJ119" t="s">
        <v>59</v>
      </c>
      <c r="HK119" t="s">
        <v>59</v>
      </c>
      <c r="HL119" t="s">
        <v>218</v>
      </c>
      <c r="HM119" t="s">
        <v>218</v>
      </c>
      <c r="HN119" t="s">
        <v>218</v>
      </c>
      <c r="HO119" t="s">
        <v>218</v>
      </c>
      <c r="HP119" t="s">
        <v>59</v>
      </c>
      <c r="HQ119" t="s">
        <v>59</v>
      </c>
      <c r="HR119" t="s">
        <v>59</v>
      </c>
      <c r="HS119" t="s">
        <v>59</v>
      </c>
      <c r="HT119" t="s">
        <v>59</v>
      </c>
      <c r="HU119" t="s">
        <v>59</v>
      </c>
      <c r="HV119" t="s">
        <v>59</v>
      </c>
      <c r="HW119" t="s">
        <v>59</v>
      </c>
      <c r="HX119" t="s">
        <v>59</v>
      </c>
      <c r="HY119" t="s">
        <v>59</v>
      </c>
      <c r="HZ119" t="s">
        <v>59</v>
      </c>
      <c r="IA119" t="s">
        <v>59</v>
      </c>
      <c r="IB119" t="s">
        <v>59</v>
      </c>
      <c r="IC119" t="s">
        <v>59</v>
      </c>
      <c r="ID119" t="s">
        <v>59</v>
      </c>
      <c r="IE119" t="s">
        <v>59</v>
      </c>
      <c r="IF119" t="s">
        <v>59</v>
      </c>
      <c r="IG119" t="s">
        <v>59</v>
      </c>
      <c r="IH119" t="s">
        <v>59</v>
      </c>
      <c r="II119" t="s">
        <v>59</v>
      </c>
      <c r="IJ119" t="s">
        <v>129</v>
      </c>
      <c r="IK119" t="s">
        <v>191</v>
      </c>
      <c r="IL119" t="s">
        <v>128</v>
      </c>
      <c r="IM119" t="s">
        <v>199</v>
      </c>
      <c r="IN119">
        <v>29</v>
      </c>
      <c r="IO119" t="s">
        <v>2730</v>
      </c>
      <c r="IP119" t="s">
        <v>2730</v>
      </c>
      <c r="IQ119" t="s">
        <v>2730</v>
      </c>
      <c r="IR119">
        <v>15</v>
      </c>
      <c r="IS119" t="s">
        <v>2730</v>
      </c>
      <c r="IT119" t="s">
        <v>2730</v>
      </c>
      <c r="IU119" t="s">
        <v>2730</v>
      </c>
      <c r="IV119">
        <v>16</v>
      </c>
      <c r="IW119" t="s">
        <v>2730</v>
      </c>
      <c r="IX119" t="s">
        <v>2730</v>
      </c>
      <c r="IY119" t="s">
        <v>2730</v>
      </c>
      <c r="IZ119">
        <v>38</v>
      </c>
      <c r="JA119" t="s">
        <v>2730</v>
      </c>
      <c r="JB119" t="s">
        <v>2730</v>
      </c>
      <c r="JC119" t="s">
        <v>2730</v>
      </c>
      <c r="JD119">
        <v>23</v>
      </c>
      <c r="JE119" t="s">
        <v>2730</v>
      </c>
      <c r="JF119" t="s">
        <v>2730</v>
      </c>
      <c r="JG119" t="s">
        <v>2730</v>
      </c>
      <c r="JH119">
        <v>23</v>
      </c>
      <c r="JI119" t="s">
        <v>2730</v>
      </c>
      <c r="JJ119" t="s">
        <v>2730</v>
      </c>
      <c r="JK119" t="s">
        <v>2730</v>
      </c>
      <c r="JL119">
        <v>16</v>
      </c>
      <c r="JM119" t="s">
        <v>2730</v>
      </c>
      <c r="JN119" t="s">
        <v>2730</v>
      </c>
      <c r="JO119">
        <v>4</v>
      </c>
      <c r="JP119" t="s">
        <v>2730</v>
      </c>
      <c r="JQ119" t="s">
        <v>2730</v>
      </c>
    </row>
    <row r="120" spans="1:277">
      <c r="A120" s="149" t="str">
        <f>HYPERLINK("http://www.ofsted.gov.uk/inspection-reports/find-inspection-report/provider/ELS/142623 ","Ofsted School Webpage")</f>
        <v>Ofsted School Webpage</v>
      </c>
      <c r="B120">
        <v>1230670</v>
      </c>
      <c r="C120">
        <v>142623</v>
      </c>
      <c r="D120">
        <v>3306025</v>
      </c>
      <c r="E120" t="s">
        <v>512</v>
      </c>
      <c r="F120" t="s">
        <v>37</v>
      </c>
      <c r="G120" t="s">
        <v>209</v>
      </c>
      <c r="H120" t="s">
        <v>193</v>
      </c>
      <c r="I120" t="s">
        <v>193</v>
      </c>
      <c r="J120" t="s">
        <v>210</v>
      </c>
      <c r="K120" t="s">
        <v>513</v>
      </c>
      <c r="L120" t="s">
        <v>184</v>
      </c>
      <c r="M120" t="s">
        <v>185</v>
      </c>
      <c r="N120" t="s">
        <v>184</v>
      </c>
      <c r="O120" t="s">
        <v>2730</v>
      </c>
      <c r="P120" t="s">
        <v>186</v>
      </c>
      <c r="Q120">
        <v>10020883</v>
      </c>
      <c r="R120" s="120">
        <v>42997</v>
      </c>
      <c r="S120" s="120">
        <v>42999</v>
      </c>
      <c r="T120" s="120">
        <v>43028</v>
      </c>
      <c r="U120" t="s">
        <v>2730</v>
      </c>
      <c r="V120" t="s">
        <v>249</v>
      </c>
      <c r="W120" t="s">
        <v>2730</v>
      </c>
      <c r="X120" t="s">
        <v>197</v>
      </c>
      <c r="Y120">
        <v>2</v>
      </c>
      <c r="Z120">
        <v>2</v>
      </c>
      <c r="AA120">
        <v>2</v>
      </c>
      <c r="AB120">
        <v>2</v>
      </c>
      <c r="AC120">
        <v>2</v>
      </c>
      <c r="AD120" t="s">
        <v>2730</v>
      </c>
      <c r="AE120">
        <v>2</v>
      </c>
      <c r="AF120" t="s">
        <v>128</v>
      </c>
      <c r="AG120" t="s">
        <v>2730</v>
      </c>
      <c r="AH120" t="s">
        <v>2732</v>
      </c>
      <c r="AI120" t="s">
        <v>59</v>
      </c>
      <c r="AJ120" t="s">
        <v>59</v>
      </c>
      <c r="AK120" t="s">
        <v>59</v>
      </c>
      <c r="AL120" t="s">
        <v>59</v>
      </c>
      <c r="AM120" t="s">
        <v>59</v>
      </c>
      <c r="AN120" t="s">
        <v>59</v>
      </c>
      <c r="AO120" t="s">
        <v>59</v>
      </c>
      <c r="AP120" t="s">
        <v>59</v>
      </c>
      <c r="AQ120" t="s">
        <v>59</v>
      </c>
      <c r="AR120" t="s">
        <v>59</v>
      </c>
      <c r="AS120" t="s">
        <v>59</v>
      </c>
      <c r="AT120" t="s">
        <v>59</v>
      </c>
      <c r="AU120" t="s">
        <v>59</v>
      </c>
      <c r="AV120" t="s">
        <v>59</v>
      </c>
      <c r="AW120" t="s">
        <v>59</v>
      </c>
      <c r="AX120" t="s">
        <v>59</v>
      </c>
      <c r="AY120" t="s">
        <v>59</v>
      </c>
      <c r="AZ120" t="s">
        <v>59</v>
      </c>
      <c r="BA120" t="s">
        <v>59</v>
      </c>
      <c r="BB120" t="s">
        <v>59</v>
      </c>
      <c r="BC120" t="s">
        <v>59</v>
      </c>
      <c r="BD120" t="s">
        <v>59</v>
      </c>
      <c r="BE120" t="s">
        <v>59</v>
      </c>
      <c r="BF120" t="s">
        <v>59</v>
      </c>
      <c r="BG120" t="s">
        <v>59</v>
      </c>
      <c r="BH120" t="s">
        <v>59</v>
      </c>
      <c r="BI120" t="s">
        <v>59</v>
      </c>
      <c r="BJ120" t="s">
        <v>59</v>
      </c>
      <c r="BK120" t="s">
        <v>59</v>
      </c>
      <c r="BL120" t="s">
        <v>59</v>
      </c>
      <c r="BM120" t="s">
        <v>59</v>
      </c>
      <c r="BN120" t="s">
        <v>59</v>
      </c>
      <c r="BO120" t="s">
        <v>59</v>
      </c>
      <c r="BP120" t="s">
        <v>59</v>
      </c>
      <c r="BQ120" t="s">
        <v>59</v>
      </c>
      <c r="BR120" t="s">
        <v>59</v>
      </c>
      <c r="BS120" t="s">
        <v>59</v>
      </c>
      <c r="BT120" t="s">
        <v>59</v>
      </c>
      <c r="BU120" t="s">
        <v>59</v>
      </c>
      <c r="BV120" t="s">
        <v>59</v>
      </c>
      <c r="BW120" t="s">
        <v>59</v>
      </c>
      <c r="BX120" t="s">
        <v>59</v>
      </c>
      <c r="BY120" t="s">
        <v>59</v>
      </c>
      <c r="BZ120" t="s">
        <v>59</v>
      </c>
      <c r="CA120" t="s">
        <v>59</v>
      </c>
      <c r="CB120" t="s">
        <v>59</v>
      </c>
      <c r="CC120" t="s">
        <v>59</v>
      </c>
      <c r="CD120" t="s">
        <v>59</v>
      </c>
      <c r="CE120" t="s">
        <v>59</v>
      </c>
      <c r="CF120" t="s">
        <v>59</v>
      </c>
      <c r="CG120" t="s">
        <v>59</v>
      </c>
      <c r="CH120" t="s">
        <v>59</v>
      </c>
      <c r="CI120" t="s">
        <v>59</v>
      </c>
      <c r="CJ120" t="s">
        <v>59</v>
      </c>
      <c r="CK120" t="s">
        <v>59</v>
      </c>
      <c r="CL120" t="s">
        <v>59</v>
      </c>
      <c r="CM120" t="s">
        <v>59</v>
      </c>
      <c r="CN120" t="s">
        <v>59</v>
      </c>
      <c r="CO120" t="s">
        <v>191</v>
      </c>
      <c r="CP120" t="s">
        <v>191</v>
      </c>
      <c r="CQ120" t="s">
        <v>191</v>
      </c>
      <c r="CR120" t="s">
        <v>59</v>
      </c>
      <c r="CS120" t="s">
        <v>59</v>
      </c>
      <c r="CT120" t="s">
        <v>59</v>
      </c>
      <c r="CU120" t="s">
        <v>59</v>
      </c>
      <c r="CV120" t="s">
        <v>59</v>
      </c>
      <c r="CW120" t="s">
        <v>59</v>
      </c>
      <c r="CX120" t="s">
        <v>59</v>
      </c>
      <c r="CY120" t="s">
        <v>59</v>
      </c>
      <c r="CZ120" t="s">
        <v>59</v>
      </c>
      <c r="DA120" t="s">
        <v>59</v>
      </c>
      <c r="DB120" t="s">
        <v>59</v>
      </c>
      <c r="DC120" t="s">
        <v>59</v>
      </c>
      <c r="DD120" t="s">
        <v>59</v>
      </c>
      <c r="DE120" t="s">
        <v>59</v>
      </c>
      <c r="DF120" t="s">
        <v>59</v>
      </c>
      <c r="DG120" t="s">
        <v>59</v>
      </c>
      <c r="DH120" t="s">
        <v>59</v>
      </c>
      <c r="DI120" t="s">
        <v>59</v>
      </c>
      <c r="DJ120" t="s">
        <v>59</v>
      </c>
      <c r="DK120" t="s">
        <v>59</v>
      </c>
      <c r="DL120" t="s">
        <v>59</v>
      </c>
      <c r="DM120" t="s">
        <v>59</v>
      </c>
      <c r="DN120" t="s">
        <v>59</v>
      </c>
      <c r="DO120" t="s">
        <v>59</v>
      </c>
      <c r="DP120" t="s">
        <v>59</v>
      </c>
      <c r="DQ120" t="s">
        <v>59</v>
      </c>
      <c r="DR120" t="s">
        <v>59</v>
      </c>
      <c r="DS120" t="s">
        <v>59</v>
      </c>
      <c r="DT120" t="s">
        <v>59</v>
      </c>
      <c r="DU120" t="s">
        <v>59</v>
      </c>
      <c r="DV120" t="s">
        <v>59</v>
      </c>
      <c r="DW120" t="s">
        <v>59</v>
      </c>
      <c r="DX120" t="s">
        <v>59</v>
      </c>
      <c r="DY120" t="s">
        <v>59</v>
      </c>
      <c r="DZ120" t="s">
        <v>59</v>
      </c>
      <c r="EA120" t="s">
        <v>59</v>
      </c>
      <c r="EB120" t="s">
        <v>59</v>
      </c>
      <c r="EC120" t="s">
        <v>59</v>
      </c>
      <c r="ED120" t="s">
        <v>59</v>
      </c>
      <c r="EE120" t="s">
        <v>59</v>
      </c>
      <c r="EF120" t="s">
        <v>59</v>
      </c>
      <c r="EG120" t="s">
        <v>59</v>
      </c>
      <c r="EH120" t="s">
        <v>59</v>
      </c>
      <c r="EI120" t="s">
        <v>59</v>
      </c>
      <c r="EJ120" t="s">
        <v>59</v>
      </c>
      <c r="EK120" t="s">
        <v>59</v>
      </c>
      <c r="EL120" t="s">
        <v>59</v>
      </c>
      <c r="EM120" t="s">
        <v>59</v>
      </c>
      <c r="EN120" t="s">
        <v>59</v>
      </c>
      <c r="EO120" t="s">
        <v>59</v>
      </c>
      <c r="EP120" t="s">
        <v>59</v>
      </c>
      <c r="EQ120" t="s">
        <v>59</v>
      </c>
      <c r="ER120" t="s">
        <v>59</v>
      </c>
      <c r="ES120" t="s">
        <v>59</v>
      </c>
      <c r="ET120" t="s">
        <v>59</v>
      </c>
      <c r="EU120" t="s">
        <v>59</v>
      </c>
      <c r="EV120" t="s">
        <v>59</v>
      </c>
      <c r="EW120" t="s">
        <v>59</v>
      </c>
      <c r="EX120" t="s">
        <v>59</v>
      </c>
      <c r="EY120" t="s">
        <v>59</v>
      </c>
      <c r="EZ120" t="s">
        <v>59</v>
      </c>
      <c r="FA120" t="s">
        <v>59</v>
      </c>
      <c r="FB120" t="s">
        <v>59</v>
      </c>
      <c r="FC120" t="s">
        <v>59</v>
      </c>
      <c r="FD120" t="s">
        <v>59</v>
      </c>
      <c r="FE120" t="s">
        <v>59</v>
      </c>
      <c r="FF120" t="s">
        <v>59</v>
      </c>
      <c r="FG120" t="s">
        <v>59</v>
      </c>
      <c r="FH120" t="s">
        <v>59</v>
      </c>
      <c r="FI120" t="s">
        <v>59</v>
      </c>
      <c r="FJ120" t="s">
        <v>59</v>
      </c>
      <c r="FK120" t="s">
        <v>59</v>
      </c>
      <c r="FL120" t="s">
        <v>59</v>
      </c>
      <c r="FM120" t="s">
        <v>59</v>
      </c>
      <c r="FN120" t="s">
        <v>59</v>
      </c>
      <c r="FO120" t="s">
        <v>59</v>
      </c>
      <c r="FP120" t="s">
        <v>59</v>
      </c>
      <c r="FQ120" t="s">
        <v>59</v>
      </c>
      <c r="FR120" t="s">
        <v>59</v>
      </c>
      <c r="FS120" t="s">
        <v>59</v>
      </c>
      <c r="FT120" t="s">
        <v>59</v>
      </c>
      <c r="FU120" t="s">
        <v>59</v>
      </c>
      <c r="FV120" t="s">
        <v>59</v>
      </c>
      <c r="FW120" t="s">
        <v>59</v>
      </c>
      <c r="FX120" t="s">
        <v>59</v>
      </c>
      <c r="FY120" t="s">
        <v>59</v>
      </c>
      <c r="FZ120" t="s">
        <v>59</v>
      </c>
      <c r="GA120" t="s">
        <v>59</v>
      </c>
      <c r="GB120" t="s">
        <v>59</v>
      </c>
      <c r="GC120" t="s">
        <v>59</v>
      </c>
      <c r="GD120" t="s">
        <v>59</v>
      </c>
      <c r="GE120" t="s">
        <v>59</v>
      </c>
      <c r="GF120" t="s">
        <v>59</v>
      </c>
      <c r="GG120" t="s">
        <v>59</v>
      </c>
      <c r="GH120" t="s">
        <v>59</v>
      </c>
      <c r="GI120" t="s">
        <v>59</v>
      </c>
      <c r="GJ120" t="s">
        <v>59</v>
      </c>
      <c r="GK120" t="s">
        <v>59</v>
      </c>
      <c r="GL120" t="s">
        <v>59</v>
      </c>
      <c r="GM120" t="s">
        <v>59</v>
      </c>
      <c r="GN120" t="s">
        <v>59</v>
      </c>
      <c r="GO120" t="s">
        <v>59</v>
      </c>
      <c r="GP120" t="s">
        <v>59</v>
      </c>
      <c r="GQ120" t="s">
        <v>59</v>
      </c>
      <c r="GR120" t="s">
        <v>59</v>
      </c>
      <c r="GS120" t="s">
        <v>59</v>
      </c>
      <c r="GT120" t="s">
        <v>59</v>
      </c>
      <c r="GU120" t="s">
        <v>59</v>
      </c>
      <c r="GV120" t="s">
        <v>59</v>
      </c>
      <c r="GW120" t="s">
        <v>59</v>
      </c>
      <c r="GX120" t="s">
        <v>59</v>
      </c>
      <c r="GY120" t="s">
        <v>59</v>
      </c>
      <c r="GZ120" t="s">
        <v>59</v>
      </c>
      <c r="HA120" t="s">
        <v>59</v>
      </c>
      <c r="HB120" t="s">
        <v>59</v>
      </c>
      <c r="HC120" t="s">
        <v>59</v>
      </c>
      <c r="HD120" t="s">
        <v>59</v>
      </c>
      <c r="HE120" t="s">
        <v>59</v>
      </c>
      <c r="HF120" t="s">
        <v>59</v>
      </c>
      <c r="HG120" t="s">
        <v>59</v>
      </c>
      <c r="HH120" t="s">
        <v>59</v>
      </c>
      <c r="HI120" t="s">
        <v>59</v>
      </c>
      <c r="HJ120" t="s">
        <v>59</v>
      </c>
      <c r="HK120" t="s">
        <v>59</v>
      </c>
      <c r="HL120" t="s">
        <v>59</v>
      </c>
      <c r="HM120" t="s">
        <v>59</v>
      </c>
      <c r="HN120" t="s">
        <v>59</v>
      </c>
      <c r="HO120" t="s">
        <v>59</v>
      </c>
      <c r="HP120" t="s">
        <v>59</v>
      </c>
      <c r="HQ120" t="s">
        <v>59</v>
      </c>
      <c r="HR120" t="s">
        <v>59</v>
      </c>
      <c r="HS120" t="s">
        <v>59</v>
      </c>
      <c r="HT120" t="s">
        <v>59</v>
      </c>
      <c r="HU120" t="s">
        <v>59</v>
      </c>
      <c r="HV120" t="s">
        <v>59</v>
      </c>
      <c r="HW120" t="s">
        <v>59</v>
      </c>
      <c r="HX120" t="s">
        <v>59</v>
      </c>
      <c r="HY120" t="s">
        <v>59</v>
      </c>
      <c r="HZ120" t="s">
        <v>59</v>
      </c>
      <c r="IA120" t="s">
        <v>59</v>
      </c>
      <c r="IB120" t="s">
        <v>59</v>
      </c>
      <c r="IC120" t="s">
        <v>59</v>
      </c>
      <c r="ID120" t="s">
        <v>59</v>
      </c>
      <c r="IE120" t="s">
        <v>59</v>
      </c>
      <c r="IF120" t="s">
        <v>59</v>
      </c>
      <c r="IG120" t="s">
        <v>59</v>
      </c>
      <c r="IH120" t="s">
        <v>59</v>
      </c>
      <c r="II120" t="s">
        <v>59</v>
      </c>
      <c r="IJ120" t="s">
        <v>129</v>
      </c>
      <c r="IK120" t="s">
        <v>198</v>
      </c>
      <c r="IL120" t="s">
        <v>128</v>
      </c>
      <c r="IM120" t="s">
        <v>199</v>
      </c>
      <c r="IN120">
        <v>32</v>
      </c>
      <c r="IO120" t="s">
        <v>2730</v>
      </c>
      <c r="IP120" t="s">
        <v>2730</v>
      </c>
      <c r="IQ120" t="s">
        <v>2730</v>
      </c>
      <c r="IR120">
        <v>15</v>
      </c>
      <c r="IS120" t="s">
        <v>2730</v>
      </c>
      <c r="IT120" t="s">
        <v>2730</v>
      </c>
      <c r="IU120" t="s">
        <v>2730</v>
      </c>
      <c r="IV120">
        <v>16</v>
      </c>
      <c r="IW120" t="s">
        <v>2730</v>
      </c>
      <c r="IX120">
        <v>3</v>
      </c>
      <c r="IY120" t="s">
        <v>2730</v>
      </c>
      <c r="IZ120">
        <v>59</v>
      </c>
      <c r="JA120" t="s">
        <v>2730</v>
      </c>
      <c r="JB120" t="s">
        <v>2730</v>
      </c>
      <c r="JC120" t="s">
        <v>2730</v>
      </c>
      <c r="JD120">
        <v>26</v>
      </c>
      <c r="JE120" t="s">
        <v>2730</v>
      </c>
      <c r="JF120" t="s">
        <v>2730</v>
      </c>
      <c r="JG120" t="s">
        <v>2730</v>
      </c>
      <c r="JH120">
        <v>30</v>
      </c>
      <c r="JI120" t="s">
        <v>2730</v>
      </c>
      <c r="JJ120" t="s">
        <v>2730</v>
      </c>
      <c r="JK120" t="s">
        <v>2730</v>
      </c>
      <c r="JL120">
        <v>16</v>
      </c>
      <c r="JM120" t="s">
        <v>2730</v>
      </c>
      <c r="JN120" t="s">
        <v>2730</v>
      </c>
      <c r="JO120">
        <v>4</v>
      </c>
      <c r="JP120" t="s">
        <v>2730</v>
      </c>
      <c r="JQ120" t="s">
        <v>2730</v>
      </c>
    </row>
    <row r="121" spans="1:277">
      <c r="A121" s="149" t="str">
        <f>HYPERLINK("http://www.ofsted.gov.uk/inspection-reports/find-inspection-report/provider/ELS/113944 ","Ofsted School Webpage")</f>
        <v>Ofsted School Webpage</v>
      </c>
      <c r="B121">
        <v>1135581</v>
      </c>
      <c r="C121">
        <v>113944</v>
      </c>
      <c r="D121">
        <v>8376004</v>
      </c>
      <c r="E121" t="s">
        <v>411</v>
      </c>
      <c r="F121" t="s">
        <v>37</v>
      </c>
      <c r="G121" t="s">
        <v>209</v>
      </c>
      <c r="H121" t="s">
        <v>225</v>
      </c>
      <c r="I121" t="s">
        <v>225</v>
      </c>
      <c r="J121" t="s">
        <v>290</v>
      </c>
      <c r="K121" t="s">
        <v>412</v>
      </c>
      <c r="L121" t="s">
        <v>413</v>
      </c>
      <c r="M121" t="s">
        <v>212</v>
      </c>
      <c r="N121" t="s">
        <v>413</v>
      </c>
      <c r="O121" t="s">
        <v>2730</v>
      </c>
      <c r="P121" t="s">
        <v>186</v>
      </c>
      <c r="Q121">
        <v>10033884</v>
      </c>
      <c r="R121" s="120">
        <v>42997</v>
      </c>
      <c r="S121" s="120">
        <v>42999</v>
      </c>
      <c r="T121" s="120">
        <v>43021</v>
      </c>
      <c r="U121" t="s">
        <v>2730</v>
      </c>
      <c r="V121" t="s">
        <v>196</v>
      </c>
      <c r="W121" t="s">
        <v>2730</v>
      </c>
      <c r="X121" t="s">
        <v>197</v>
      </c>
      <c r="Y121">
        <v>2</v>
      </c>
      <c r="Z121">
        <v>2</v>
      </c>
      <c r="AA121">
        <v>2</v>
      </c>
      <c r="AB121">
        <v>2</v>
      </c>
      <c r="AC121">
        <v>2</v>
      </c>
      <c r="AD121">
        <v>2</v>
      </c>
      <c r="AE121" t="s">
        <v>2730</v>
      </c>
      <c r="AF121" t="s">
        <v>128</v>
      </c>
      <c r="AG121" t="s">
        <v>2730</v>
      </c>
      <c r="AH121" t="s">
        <v>2732</v>
      </c>
      <c r="AI121" t="s">
        <v>59</v>
      </c>
      <c r="AJ121" t="s">
        <v>59</v>
      </c>
      <c r="AK121" t="s">
        <v>59</v>
      </c>
      <c r="AL121" t="s">
        <v>59</v>
      </c>
      <c r="AM121" t="s">
        <v>59</v>
      </c>
      <c r="AN121" t="s">
        <v>59</v>
      </c>
      <c r="AO121" t="s">
        <v>59</v>
      </c>
      <c r="AP121" t="s">
        <v>59</v>
      </c>
      <c r="AQ121" t="s">
        <v>59</v>
      </c>
      <c r="AR121" t="s">
        <v>59</v>
      </c>
      <c r="AS121" t="s">
        <v>59</v>
      </c>
      <c r="AT121" t="s">
        <v>59</v>
      </c>
      <c r="AU121" t="s">
        <v>59</v>
      </c>
      <c r="AV121" t="s">
        <v>59</v>
      </c>
      <c r="AW121" t="s">
        <v>59</v>
      </c>
      <c r="AX121" t="s">
        <v>59</v>
      </c>
      <c r="AY121" t="s">
        <v>59</v>
      </c>
      <c r="AZ121" t="s">
        <v>59</v>
      </c>
      <c r="BA121" t="s">
        <v>59</v>
      </c>
      <c r="BB121" t="s">
        <v>59</v>
      </c>
      <c r="BC121" t="s">
        <v>191</v>
      </c>
      <c r="BD121" t="s">
        <v>191</v>
      </c>
      <c r="BE121" t="s">
        <v>191</v>
      </c>
      <c r="BF121" t="s">
        <v>191</v>
      </c>
      <c r="BG121" t="s">
        <v>59</v>
      </c>
      <c r="BH121" t="s">
        <v>191</v>
      </c>
      <c r="BI121" t="s">
        <v>59</v>
      </c>
      <c r="BJ121" t="s">
        <v>59</v>
      </c>
      <c r="BK121" t="s">
        <v>59</v>
      </c>
      <c r="BL121" t="s">
        <v>59</v>
      </c>
      <c r="BM121" t="s">
        <v>59</v>
      </c>
      <c r="BN121" t="s">
        <v>59</v>
      </c>
      <c r="BO121" t="s">
        <v>59</v>
      </c>
      <c r="BP121" t="s">
        <v>59</v>
      </c>
      <c r="BQ121" t="s">
        <v>59</v>
      </c>
      <c r="BR121" t="s">
        <v>59</v>
      </c>
      <c r="BS121" t="s">
        <v>59</v>
      </c>
      <c r="BT121" t="s">
        <v>59</v>
      </c>
      <c r="BU121" t="s">
        <v>59</v>
      </c>
      <c r="BV121" t="s">
        <v>59</v>
      </c>
      <c r="BW121" t="s">
        <v>59</v>
      </c>
      <c r="BX121" t="s">
        <v>59</v>
      </c>
      <c r="BY121" t="s">
        <v>59</v>
      </c>
      <c r="BZ121" t="s">
        <v>59</v>
      </c>
      <c r="CA121" t="s">
        <v>59</v>
      </c>
      <c r="CB121" t="s">
        <v>59</v>
      </c>
      <c r="CC121" t="s">
        <v>59</v>
      </c>
      <c r="CD121" t="s">
        <v>59</v>
      </c>
      <c r="CE121" t="s">
        <v>59</v>
      </c>
      <c r="CF121" t="s">
        <v>59</v>
      </c>
      <c r="CG121" t="s">
        <v>59</v>
      </c>
      <c r="CH121" t="s">
        <v>59</v>
      </c>
      <c r="CI121" t="s">
        <v>59</v>
      </c>
      <c r="CJ121" t="s">
        <v>59</v>
      </c>
      <c r="CK121" t="s">
        <v>59</v>
      </c>
      <c r="CL121" t="s">
        <v>59</v>
      </c>
      <c r="CM121" t="s">
        <v>59</v>
      </c>
      <c r="CN121" t="s">
        <v>59</v>
      </c>
      <c r="CO121" t="s">
        <v>191</v>
      </c>
      <c r="CP121" t="s">
        <v>191</v>
      </c>
      <c r="CQ121" t="s">
        <v>191</v>
      </c>
      <c r="CR121" t="s">
        <v>59</v>
      </c>
      <c r="CS121" t="s">
        <v>59</v>
      </c>
      <c r="CT121" t="s">
        <v>59</v>
      </c>
      <c r="CU121" t="s">
        <v>59</v>
      </c>
      <c r="CV121" t="s">
        <v>59</v>
      </c>
      <c r="CW121" t="s">
        <v>59</v>
      </c>
      <c r="CX121" t="s">
        <v>59</v>
      </c>
      <c r="CY121" t="s">
        <v>59</v>
      </c>
      <c r="CZ121" t="s">
        <v>59</v>
      </c>
      <c r="DA121" t="s">
        <v>59</v>
      </c>
      <c r="DB121" t="s">
        <v>59</v>
      </c>
      <c r="DC121" t="s">
        <v>59</v>
      </c>
      <c r="DD121" t="s">
        <v>59</v>
      </c>
      <c r="DE121" t="s">
        <v>59</v>
      </c>
      <c r="DF121" t="s">
        <v>59</v>
      </c>
      <c r="DG121" t="s">
        <v>59</v>
      </c>
      <c r="DH121" t="s">
        <v>59</v>
      </c>
      <c r="DI121" t="s">
        <v>59</v>
      </c>
      <c r="DJ121" t="s">
        <v>59</v>
      </c>
      <c r="DK121" t="s">
        <v>59</v>
      </c>
      <c r="DL121" t="s">
        <v>59</v>
      </c>
      <c r="DM121" t="s">
        <v>59</v>
      </c>
      <c r="DN121" t="s">
        <v>59</v>
      </c>
      <c r="DO121" t="s">
        <v>191</v>
      </c>
      <c r="DP121" t="s">
        <v>59</v>
      </c>
      <c r="DQ121" t="s">
        <v>59</v>
      </c>
      <c r="DR121" t="s">
        <v>59</v>
      </c>
      <c r="DS121" t="s">
        <v>59</v>
      </c>
      <c r="DT121" t="s">
        <v>203</v>
      </c>
      <c r="DU121" t="s">
        <v>59</v>
      </c>
      <c r="DV121" t="s">
        <v>59</v>
      </c>
      <c r="DW121" t="s">
        <v>59</v>
      </c>
      <c r="DX121" t="s">
        <v>59</v>
      </c>
      <c r="DY121" t="s">
        <v>59</v>
      </c>
      <c r="DZ121" t="s">
        <v>59</v>
      </c>
      <c r="EA121" t="s">
        <v>59</v>
      </c>
      <c r="EB121" t="s">
        <v>59</v>
      </c>
      <c r="EC121" t="s">
        <v>191</v>
      </c>
      <c r="ED121" t="s">
        <v>59</v>
      </c>
      <c r="EE121" t="s">
        <v>59</v>
      </c>
      <c r="EF121" t="s">
        <v>59</v>
      </c>
      <c r="EG121" t="s">
        <v>59</v>
      </c>
      <c r="EH121" t="s">
        <v>59</v>
      </c>
      <c r="EI121" t="s">
        <v>59</v>
      </c>
      <c r="EJ121" t="s">
        <v>59</v>
      </c>
      <c r="EK121" t="s">
        <v>59</v>
      </c>
      <c r="EL121" t="s">
        <v>203</v>
      </c>
      <c r="EM121" t="s">
        <v>203</v>
      </c>
      <c r="EN121" t="s">
        <v>203</v>
      </c>
      <c r="EO121" t="s">
        <v>203</v>
      </c>
      <c r="EP121" t="s">
        <v>203</v>
      </c>
      <c r="EQ121" t="s">
        <v>203</v>
      </c>
      <c r="ER121" t="s">
        <v>203</v>
      </c>
      <c r="ES121" t="s">
        <v>203</v>
      </c>
      <c r="ET121" t="s">
        <v>203</v>
      </c>
      <c r="EU121" t="s">
        <v>203</v>
      </c>
      <c r="EV121" t="s">
        <v>203</v>
      </c>
      <c r="EW121" t="s">
        <v>203</v>
      </c>
      <c r="EX121" t="s">
        <v>203</v>
      </c>
      <c r="EY121" t="s">
        <v>203</v>
      </c>
      <c r="EZ121" t="s">
        <v>203</v>
      </c>
      <c r="FA121" t="s">
        <v>203</v>
      </c>
      <c r="FB121" t="s">
        <v>203</v>
      </c>
      <c r="FC121" t="s">
        <v>203</v>
      </c>
      <c r="FD121" t="s">
        <v>203</v>
      </c>
      <c r="FE121" t="s">
        <v>203</v>
      </c>
      <c r="FF121" t="s">
        <v>203</v>
      </c>
      <c r="FG121" t="s">
        <v>203</v>
      </c>
      <c r="FH121" t="s">
        <v>203</v>
      </c>
      <c r="FI121" t="s">
        <v>203</v>
      </c>
      <c r="FJ121" t="s">
        <v>203</v>
      </c>
      <c r="FK121" t="s">
        <v>203</v>
      </c>
      <c r="FL121" t="s">
        <v>59</v>
      </c>
      <c r="FM121" t="s">
        <v>59</v>
      </c>
      <c r="FN121" t="s">
        <v>59</v>
      </c>
      <c r="FO121" t="s">
        <v>191</v>
      </c>
      <c r="FP121" t="s">
        <v>59</v>
      </c>
      <c r="FQ121" t="s">
        <v>59</v>
      </c>
      <c r="FR121" t="s">
        <v>59</v>
      </c>
      <c r="FS121" t="s">
        <v>59</v>
      </c>
      <c r="FT121" t="s">
        <v>59</v>
      </c>
      <c r="FU121" t="s">
        <v>59</v>
      </c>
      <c r="FV121" t="s">
        <v>59</v>
      </c>
      <c r="FW121" t="s">
        <v>59</v>
      </c>
      <c r="FX121" t="s">
        <v>59</v>
      </c>
      <c r="FY121" t="s">
        <v>59</v>
      </c>
      <c r="FZ121" t="s">
        <v>59</v>
      </c>
      <c r="GA121" t="s">
        <v>59</v>
      </c>
      <c r="GB121" t="s">
        <v>59</v>
      </c>
      <c r="GC121" t="s">
        <v>59</v>
      </c>
      <c r="GD121" t="s">
        <v>59</v>
      </c>
      <c r="GE121" t="s">
        <v>59</v>
      </c>
      <c r="GF121" t="s">
        <v>59</v>
      </c>
      <c r="GG121" t="s">
        <v>59</v>
      </c>
      <c r="GH121" t="s">
        <v>59</v>
      </c>
      <c r="GI121" t="s">
        <v>59</v>
      </c>
      <c r="GJ121" t="s">
        <v>59</v>
      </c>
      <c r="GK121" t="s">
        <v>191</v>
      </c>
      <c r="GL121" t="s">
        <v>59</v>
      </c>
      <c r="GM121" t="s">
        <v>59</v>
      </c>
      <c r="GN121" t="s">
        <v>203</v>
      </c>
      <c r="GO121" t="s">
        <v>59</v>
      </c>
      <c r="GP121" t="s">
        <v>59</v>
      </c>
      <c r="GQ121" t="s">
        <v>59</v>
      </c>
      <c r="GR121" t="s">
        <v>59</v>
      </c>
      <c r="GS121" t="s">
        <v>59</v>
      </c>
      <c r="GT121" t="s">
        <v>191</v>
      </c>
      <c r="GU121" t="s">
        <v>191</v>
      </c>
      <c r="GV121" t="s">
        <v>59</v>
      </c>
      <c r="GW121" t="s">
        <v>59</v>
      </c>
      <c r="GX121" t="s">
        <v>59</v>
      </c>
      <c r="GY121" t="s">
        <v>59</v>
      </c>
      <c r="GZ121" t="s">
        <v>59</v>
      </c>
      <c r="HA121" t="s">
        <v>59</v>
      </c>
      <c r="HB121" t="s">
        <v>59</v>
      </c>
      <c r="HC121" t="s">
        <v>59</v>
      </c>
      <c r="HD121" t="s">
        <v>59</v>
      </c>
      <c r="HE121" t="s">
        <v>59</v>
      </c>
      <c r="HF121" t="s">
        <v>191</v>
      </c>
      <c r="HG121" t="s">
        <v>59</v>
      </c>
      <c r="HH121" t="s">
        <v>59</v>
      </c>
      <c r="HI121" t="s">
        <v>59</v>
      </c>
      <c r="HJ121" t="s">
        <v>59</v>
      </c>
      <c r="HK121" t="s">
        <v>59</v>
      </c>
      <c r="HL121" t="s">
        <v>59</v>
      </c>
      <c r="HM121" t="s">
        <v>191</v>
      </c>
      <c r="HN121" t="s">
        <v>191</v>
      </c>
      <c r="HO121" t="s">
        <v>191</v>
      </c>
      <c r="HP121" t="s">
        <v>59</v>
      </c>
      <c r="HQ121" t="s">
        <v>59</v>
      </c>
      <c r="HR121" t="s">
        <v>59</v>
      </c>
      <c r="HS121" t="s">
        <v>59</v>
      </c>
      <c r="HT121" t="s">
        <v>59</v>
      </c>
      <c r="HU121" t="s">
        <v>59</v>
      </c>
      <c r="HV121" t="s">
        <v>59</v>
      </c>
      <c r="HW121" t="s">
        <v>59</v>
      </c>
      <c r="HX121" t="s">
        <v>59</v>
      </c>
      <c r="HY121" t="s">
        <v>59</v>
      </c>
      <c r="HZ121" t="s">
        <v>59</v>
      </c>
      <c r="IA121" t="s">
        <v>59</v>
      </c>
      <c r="IB121" t="s">
        <v>59</v>
      </c>
      <c r="IC121" t="s">
        <v>59</v>
      </c>
      <c r="ID121" t="s">
        <v>59</v>
      </c>
      <c r="IE121" t="s">
        <v>59</v>
      </c>
      <c r="IF121" t="s">
        <v>59</v>
      </c>
      <c r="IG121" t="s">
        <v>59</v>
      </c>
      <c r="IH121" t="s">
        <v>59</v>
      </c>
      <c r="II121" t="s">
        <v>59</v>
      </c>
      <c r="IJ121" t="s">
        <v>128</v>
      </c>
      <c r="IK121" t="s">
        <v>129</v>
      </c>
      <c r="IL121" t="s">
        <v>128</v>
      </c>
      <c r="IM121" t="s">
        <v>199</v>
      </c>
      <c r="IN121">
        <v>27</v>
      </c>
      <c r="IO121" t="s">
        <v>2730</v>
      </c>
      <c r="IP121">
        <v>5</v>
      </c>
      <c r="IQ121" t="s">
        <v>2730</v>
      </c>
      <c r="IR121">
        <v>15</v>
      </c>
      <c r="IS121" t="s">
        <v>2730</v>
      </c>
      <c r="IT121" t="s">
        <v>2730</v>
      </c>
      <c r="IU121" t="s">
        <v>2730</v>
      </c>
      <c r="IV121">
        <v>16</v>
      </c>
      <c r="IW121" t="s">
        <v>2730</v>
      </c>
      <c r="IX121">
        <v>3</v>
      </c>
      <c r="IY121" t="s">
        <v>2730</v>
      </c>
      <c r="IZ121">
        <v>30</v>
      </c>
      <c r="JA121">
        <v>27</v>
      </c>
      <c r="JB121">
        <v>2</v>
      </c>
      <c r="JC121" t="s">
        <v>2730</v>
      </c>
      <c r="JD121">
        <v>24</v>
      </c>
      <c r="JE121" t="s">
        <v>2730</v>
      </c>
      <c r="JF121">
        <v>2</v>
      </c>
      <c r="JG121" t="s">
        <v>2730</v>
      </c>
      <c r="JH121">
        <v>23</v>
      </c>
      <c r="JI121">
        <v>1</v>
      </c>
      <c r="JJ121">
        <v>6</v>
      </c>
      <c r="JK121" t="s">
        <v>2730</v>
      </c>
      <c r="JL121">
        <v>16</v>
      </c>
      <c r="JM121" t="s">
        <v>2730</v>
      </c>
      <c r="JN121" t="s">
        <v>2730</v>
      </c>
      <c r="JO121">
        <v>4</v>
      </c>
      <c r="JP121" t="s">
        <v>2730</v>
      </c>
      <c r="JQ121" t="s">
        <v>2730</v>
      </c>
    </row>
    <row r="122" spans="1:277">
      <c r="A122" s="149" t="str">
        <f>HYPERLINK("http://www.ofsted.gov.uk/inspection-reports/find-inspection-report/provider/ELS/113567 ","Ofsted School Webpage")</f>
        <v>Ofsted School Webpage</v>
      </c>
      <c r="B122">
        <v>1135586</v>
      </c>
      <c r="C122">
        <v>113567</v>
      </c>
      <c r="D122">
        <v>8786004</v>
      </c>
      <c r="E122" t="s">
        <v>366</v>
      </c>
      <c r="F122" t="s">
        <v>37</v>
      </c>
      <c r="G122" t="s">
        <v>209</v>
      </c>
      <c r="H122" t="s">
        <v>225</v>
      </c>
      <c r="I122" t="s">
        <v>225</v>
      </c>
      <c r="J122" t="s">
        <v>367</v>
      </c>
      <c r="K122" t="s">
        <v>368</v>
      </c>
      <c r="L122" t="s">
        <v>184</v>
      </c>
      <c r="M122" t="s">
        <v>185</v>
      </c>
      <c r="N122" t="s">
        <v>292</v>
      </c>
      <c r="O122" t="s">
        <v>2730</v>
      </c>
      <c r="P122" t="s">
        <v>186</v>
      </c>
      <c r="Q122">
        <v>10033881</v>
      </c>
      <c r="R122" s="120">
        <v>43025</v>
      </c>
      <c r="S122" s="120">
        <v>43027</v>
      </c>
      <c r="T122" s="120">
        <v>43059</v>
      </c>
      <c r="U122" t="s">
        <v>2730</v>
      </c>
      <c r="V122" t="s">
        <v>196</v>
      </c>
      <c r="W122" t="s">
        <v>2730</v>
      </c>
      <c r="X122" t="s">
        <v>197</v>
      </c>
      <c r="Y122">
        <v>2</v>
      </c>
      <c r="Z122">
        <v>2</v>
      </c>
      <c r="AA122">
        <v>2</v>
      </c>
      <c r="AB122">
        <v>2</v>
      </c>
      <c r="AC122">
        <v>2</v>
      </c>
      <c r="AD122">
        <v>2</v>
      </c>
      <c r="AE122" t="s">
        <v>2730</v>
      </c>
      <c r="AF122" t="s">
        <v>128</v>
      </c>
      <c r="AG122" t="s">
        <v>2730</v>
      </c>
      <c r="AH122" t="s">
        <v>2732</v>
      </c>
      <c r="AI122" t="s">
        <v>59</v>
      </c>
      <c r="AJ122" t="s">
        <v>59</v>
      </c>
      <c r="AK122" t="s">
        <v>59</v>
      </c>
      <c r="AL122" t="s">
        <v>59</v>
      </c>
      <c r="AM122" t="s">
        <v>59</v>
      </c>
      <c r="AN122" t="s">
        <v>59</v>
      </c>
      <c r="AO122" t="s">
        <v>59</v>
      </c>
      <c r="AP122" t="s">
        <v>59</v>
      </c>
      <c r="AQ122" t="s">
        <v>59</v>
      </c>
      <c r="AR122" t="s">
        <v>59</v>
      </c>
      <c r="AS122" t="s">
        <v>59</v>
      </c>
      <c r="AT122" t="s">
        <v>59</v>
      </c>
      <c r="AU122" t="s">
        <v>59</v>
      </c>
      <c r="AV122" t="s">
        <v>59</v>
      </c>
      <c r="AW122" t="s">
        <v>59</v>
      </c>
      <c r="AX122" t="s">
        <v>59</v>
      </c>
      <c r="AY122" t="s">
        <v>59</v>
      </c>
      <c r="AZ122" t="s">
        <v>59</v>
      </c>
      <c r="BA122" t="s">
        <v>59</v>
      </c>
      <c r="BB122" t="s">
        <v>59</v>
      </c>
      <c r="BC122" t="s">
        <v>59</v>
      </c>
      <c r="BD122" t="s">
        <v>59</v>
      </c>
      <c r="BE122" t="s">
        <v>59</v>
      </c>
      <c r="BF122" t="s">
        <v>59</v>
      </c>
      <c r="BG122" t="s">
        <v>59</v>
      </c>
      <c r="BH122" t="s">
        <v>218</v>
      </c>
      <c r="BI122" t="s">
        <v>59</v>
      </c>
      <c r="BJ122" t="s">
        <v>59</v>
      </c>
      <c r="BK122" t="s">
        <v>59</v>
      </c>
      <c r="BL122" t="s">
        <v>59</v>
      </c>
      <c r="BM122" t="s">
        <v>59</v>
      </c>
      <c r="BN122" t="s">
        <v>59</v>
      </c>
      <c r="BO122" t="s">
        <v>59</v>
      </c>
      <c r="BP122" t="s">
        <v>59</v>
      </c>
      <c r="BQ122" t="s">
        <v>59</v>
      </c>
      <c r="BR122" t="s">
        <v>59</v>
      </c>
      <c r="BS122" t="s">
        <v>59</v>
      </c>
      <c r="BT122" t="s">
        <v>59</v>
      </c>
      <c r="BU122" t="s">
        <v>59</v>
      </c>
      <c r="BV122" t="s">
        <v>59</v>
      </c>
      <c r="BW122" t="s">
        <v>59</v>
      </c>
      <c r="BX122" t="s">
        <v>59</v>
      </c>
      <c r="BY122" t="s">
        <v>59</v>
      </c>
      <c r="BZ122" t="s">
        <v>59</v>
      </c>
      <c r="CA122" t="s">
        <v>59</v>
      </c>
      <c r="CB122" t="s">
        <v>59</v>
      </c>
      <c r="CC122" t="s">
        <v>59</v>
      </c>
      <c r="CD122" t="s">
        <v>59</v>
      </c>
      <c r="CE122" t="s">
        <v>59</v>
      </c>
      <c r="CF122" t="s">
        <v>59</v>
      </c>
      <c r="CG122" t="s">
        <v>59</v>
      </c>
      <c r="CH122" t="s">
        <v>59</v>
      </c>
      <c r="CI122" t="s">
        <v>59</v>
      </c>
      <c r="CJ122" t="s">
        <v>59</v>
      </c>
      <c r="CK122" t="s">
        <v>59</v>
      </c>
      <c r="CL122" t="s">
        <v>59</v>
      </c>
      <c r="CM122" t="s">
        <v>59</v>
      </c>
      <c r="CN122" t="s">
        <v>59</v>
      </c>
      <c r="CO122" t="s">
        <v>59</v>
      </c>
      <c r="CP122" t="s">
        <v>59</v>
      </c>
      <c r="CQ122" t="s">
        <v>59</v>
      </c>
      <c r="CR122" t="s">
        <v>59</v>
      </c>
      <c r="CS122" t="s">
        <v>59</v>
      </c>
      <c r="CT122" t="s">
        <v>59</v>
      </c>
      <c r="CU122" t="s">
        <v>59</v>
      </c>
      <c r="CV122" t="s">
        <v>59</v>
      </c>
      <c r="CW122" t="s">
        <v>59</v>
      </c>
      <c r="CX122" t="s">
        <v>59</v>
      </c>
      <c r="CY122" t="s">
        <v>59</v>
      </c>
      <c r="CZ122" t="s">
        <v>59</v>
      </c>
      <c r="DA122" t="s">
        <v>59</v>
      </c>
      <c r="DB122" t="s">
        <v>59</v>
      </c>
      <c r="DC122" t="s">
        <v>59</v>
      </c>
      <c r="DD122" t="s">
        <v>59</v>
      </c>
      <c r="DE122" t="s">
        <v>59</v>
      </c>
      <c r="DF122" t="s">
        <v>59</v>
      </c>
      <c r="DG122" t="s">
        <v>59</v>
      </c>
      <c r="DH122" t="s">
        <v>59</v>
      </c>
      <c r="DI122" t="s">
        <v>59</v>
      </c>
      <c r="DJ122" t="s">
        <v>59</v>
      </c>
      <c r="DK122" t="s">
        <v>59</v>
      </c>
      <c r="DL122" t="s">
        <v>59</v>
      </c>
      <c r="DM122" t="s">
        <v>59</v>
      </c>
      <c r="DN122" t="s">
        <v>59</v>
      </c>
      <c r="DO122" t="s">
        <v>218</v>
      </c>
      <c r="DP122" t="s">
        <v>59</v>
      </c>
      <c r="DQ122" t="s">
        <v>59</v>
      </c>
      <c r="DR122" t="s">
        <v>59</v>
      </c>
      <c r="DS122" t="s">
        <v>59</v>
      </c>
      <c r="DT122" t="s">
        <v>59</v>
      </c>
      <c r="DU122" t="s">
        <v>59</v>
      </c>
      <c r="DV122" t="s">
        <v>59</v>
      </c>
      <c r="DW122" t="s">
        <v>59</v>
      </c>
      <c r="DX122" t="s">
        <v>59</v>
      </c>
      <c r="DY122" t="s">
        <v>59</v>
      </c>
      <c r="DZ122" t="s">
        <v>59</v>
      </c>
      <c r="EA122" t="s">
        <v>59</v>
      </c>
      <c r="EB122" t="s">
        <v>59</v>
      </c>
      <c r="EC122" t="s">
        <v>59</v>
      </c>
      <c r="ED122" t="s">
        <v>59</v>
      </c>
      <c r="EE122" t="s">
        <v>59</v>
      </c>
      <c r="EF122" t="s">
        <v>59</v>
      </c>
      <c r="EG122" t="s">
        <v>59</v>
      </c>
      <c r="EH122" t="s">
        <v>59</v>
      </c>
      <c r="EI122" t="s">
        <v>59</v>
      </c>
      <c r="EJ122" t="s">
        <v>59</v>
      </c>
      <c r="EK122" t="s">
        <v>59</v>
      </c>
      <c r="EL122" t="s">
        <v>59</v>
      </c>
      <c r="EM122" t="s">
        <v>59</v>
      </c>
      <c r="EN122" t="s">
        <v>59</v>
      </c>
      <c r="EO122" t="s">
        <v>59</v>
      </c>
      <c r="EP122" t="s">
        <v>59</v>
      </c>
      <c r="EQ122" t="s">
        <v>59</v>
      </c>
      <c r="ER122" t="s">
        <v>59</v>
      </c>
      <c r="ES122" t="s">
        <v>59</v>
      </c>
      <c r="ET122" t="s">
        <v>59</v>
      </c>
      <c r="EU122" t="s">
        <v>59</v>
      </c>
      <c r="EV122" t="s">
        <v>59</v>
      </c>
      <c r="EW122" t="s">
        <v>59</v>
      </c>
      <c r="EX122" t="s">
        <v>59</v>
      </c>
      <c r="EY122" t="s">
        <v>59</v>
      </c>
      <c r="EZ122" t="s">
        <v>59</v>
      </c>
      <c r="FA122" t="s">
        <v>59</v>
      </c>
      <c r="FB122" t="s">
        <v>59</v>
      </c>
      <c r="FC122" t="s">
        <v>59</v>
      </c>
      <c r="FD122" t="s">
        <v>59</v>
      </c>
      <c r="FE122" t="s">
        <v>59</v>
      </c>
      <c r="FF122" t="s">
        <v>59</v>
      </c>
      <c r="FG122" t="s">
        <v>59</v>
      </c>
      <c r="FH122" t="s">
        <v>59</v>
      </c>
      <c r="FI122" t="s">
        <v>59</v>
      </c>
      <c r="FJ122" t="s">
        <v>59</v>
      </c>
      <c r="FK122" t="s">
        <v>59</v>
      </c>
      <c r="FL122" t="s">
        <v>59</v>
      </c>
      <c r="FM122" t="s">
        <v>59</v>
      </c>
      <c r="FN122" t="s">
        <v>59</v>
      </c>
      <c r="FO122" t="s">
        <v>59</v>
      </c>
      <c r="FP122" t="s">
        <v>59</v>
      </c>
      <c r="FQ122" t="s">
        <v>59</v>
      </c>
      <c r="FR122" t="s">
        <v>59</v>
      </c>
      <c r="FS122" t="s">
        <v>59</v>
      </c>
      <c r="FT122" t="s">
        <v>59</v>
      </c>
      <c r="FU122" t="s">
        <v>59</v>
      </c>
      <c r="FV122" t="s">
        <v>59</v>
      </c>
      <c r="FW122" t="s">
        <v>59</v>
      </c>
      <c r="FX122" t="s">
        <v>59</v>
      </c>
      <c r="FY122" t="s">
        <v>59</v>
      </c>
      <c r="FZ122" t="s">
        <v>59</v>
      </c>
      <c r="GA122" t="s">
        <v>59</v>
      </c>
      <c r="GB122" t="s">
        <v>59</v>
      </c>
      <c r="GC122" t="s">
        <v>59</v>
      </c>
      <c r="GD122" t="s">
        <v>59</v>
      </c>
      <c r="GE122" t="s">
        <v>59</v>
      </c>
      <c r="GF122" t="s">
        <v>59</v>
      </c>
      <c r="GG122" t="s">
        <v>59</v>
      </c>
      <c r="GH122" t="s">
        <v>59</v>
      </c>
      <c r="GI122" t="s">
        <v>59</v>
      </c>
      <c r="GJ122" t="s">
        <v>59</v>
      </c>
      <c r="GK122" t="s">
        <v>218</v>
      </c>
      <c r="GL122" t="s">
        <v>59</v>
      </c>
      <c r="GM122" t="s">
        <v>59</v>
      </c>
      <c r="GN122" t="s">
        <v>59</v>
      </c>
      <c r="GO122" t="s">
        <v>59</v>
      </c>
      <c r="GP122" t="s">
        <v>59</v>
      </c>
      <c r="GQ122" t="s">
        <v>59</v>
      </c>
      <c r="GR122" t="s">
        <v>59</v>
      </c>
      <c r="GS122" t="s">
        <v>59</v>
      </c>
      <c r="GT122" t="s">
        <v>59</v>
      </c>
      <c r="GU122" t="s">
        <v>59</v>
      </c>
      <c r="GV122" t="s">
        <v>59</v>
      </c>
      <c r="GW122" t="s">
        <v>59</v>
      </c>
      <c r="GX122" t="s">
        <v>59</v>
      </c>
      <c r="GY122" t="s">
        <v>59</v>
      </c>
      <c r="GZ122" t="s">
        <v>59</v>
      </c>
      <c r="HA122" t="s">
        <v>59</v>
      </c>
      <c r="HB122" t="s">
        <v>218</v>
      </c>
      <c r="HC122" t="s">
        <v>59</v>
      </c>
      <c r="HD122" t="s">
        <v>59</v>
      </c>
      <c r="HE122" t="s">
        <v>59</v>
      </c>
      <c r="HF122" t="s">
        <v>59</v>
      </c>
      <c r="HG122" t="s">
        <v>59</v>
      </c>
      <c r="HH122" t="s">
        <v>59</v>
      </c>
      <c r="HI122" t="s">
        <v>59</v>
      </c>
      <c r="HJ122" t="s">
        <v>59</v>
      </c>
      <c r="HK122" t="s">
        <v>59</v>
      </c>
      <c r="HL122" t="s">
        <v>59</v>
      </c>
      <c r="HM122" t="s">
        <v>218</v>
      </c>
      <c r="HN122" t="s">
        <v>218</v>
      </c>
      <c r="HO122" t="s">
        <v>218</v>
      </c>
      <c r="HP122" t="s">
        <v>59</v>
      </c>
      <c r="HQ122" t="s">
        <v>59</v>
      </c>
      <c r="HR122" t="s">
        <v>59</v>
      </c>
      <c r="HS122" t="s">
        <v>59</v>
      </c>
      <c r="HT122" t="s">
        <v>59</v>
      </c>
      <c r="HU122" t="s">
        <v>59</v>
      </c>
      <c r="HV122" t="s">
        <v>2730</v>
      </c>
      <c r="HW122" t="s">
        <v>59</v>
      </c>
      <c r="HX122" t="s">
        <v>59</v>
      </c>
      <c r="HY122" t="s">
        <v>59</v>
      </c>
      <c r="HZ122" t="s">
        <v>59</v>
      </c>
      <c r="IA122" t="s">
        <v>59</v>
      </c>
      <c r="IB122" t="s">
        <v>59</v>
      </c>
      <c r="IC122" t="s">
        <v>59</v>
      </c>
      <c r="ID122" t="s">
        <v>59</v>
      </c>
      <c r="IE122" t="s">
        <v>59</v>
      </c>
      <c r="IF122" t="s">
        <v>59</v>
      </c>
      <c r="IG122" t="s">
        <v>59</v>
      </c>
      <c r="IH122" t="s">
        <v>59</v>
      </c>
      <c r="II122" t="s">
        <v>59</v>
      </c>
      <c r="IJ122" t="s">
        <v>129</v>
      </c>
      <c r="IK122" t="s">
        <v>191</v>
      </c>
      <c r="IL122" t="s">
        <v>128</v>
      </c>
      <c r="IM122" t="s">
        <v>199</v>
      </c>
      <c r="IN122">
        <v>31</v>
      </c>
      <c r="IO122" t="s">
        <v>2730</v>
      </c>
      <c r="IP122" t="s">
        <v>2730</v>
      </c>
      <c r="IQ122" t="s">
        <v>2730</v>
      </c>
      <c r="IR122">
        <v>15</v>
      </c>
      <c r="IS122" t="s">
        <v>2730</v>
      </c>
      <c r="IT122" t="s">
        <v>2730</v>
      </c>
      <c r="IU122" t="s">
        <v>2730</v>
      </c>
      <c r="IV122">
        <v>19</v>
      </c>
      <c r="IW122" t="s">
        <v>2730</v>
      </c>
      <c r="IX122" t="s">
        <v>2730</v>
      </c>
      <c r="IY122" t="s">
        <v>2730</v>
      </c>
      <c r="IZ122">
        <v>58</v>
      </c>
      <c r="JA122" t="s">
        <v>2730</v>
      </c>
      <c r="JB122" t="s">
        <v>2730</v>
      </c>
      <c r="JC122" t="s">
        <v>2730</v>
      </c>
      <c r="JD122">
        <v>25</v>
      </c>
      <c r="JE122" t="s">
        <v>2730</v>
      </c>
      <c r="JF122" t="s">
        <v>2730</v>
      </c>
      <c r="JG122" t="s">
        <v>2730</v>
      </c>
      <c r="JH122">
        <v>26</v>
      </c>
      <c r="JI122" t="s">
        <v>2730</v>
      </c>
      <c r="JJ122" t="s">
        <v>2730</v>
      </c>
      <c r="JK122" t="s">
        <v>2730</v>
      </c>
      <c r="JL122">
        <v>15</v>
      </c>
      <c r="JM122" t="s">
        <v>2730</v>
      </c>
      <c r="JN122" t="s">
        <v>2730</v>
      </c>
      <c r="JO122">
        <v>4</v>
      </c>
      <c r="JP122" t="s">
        <v>2730</v>
      </c>
      <c r="JQ122" t="s">
        <v>2730</v>
      </c>
    </row>
    <row r="123" spans="1:277">
      <c r="A123" s="149" t="str">
        <f>HYPERLINK("http://www.ofsted.gov.uk/inspection-reports/find-inspection-report/provider/ELS/143036 ","Ofsted School Webpage")</f>
        <v>Ofsted School Webpage</v>
      </c>
      <c r="B123">
        <v>1241378</v>
      </c>
      <c r="C123">
        <v>143036</v>
      </c>
      <c r="D123">
        <v>3086006</v>
      </c>
      <c r="E123" t="s">
        <v>258</v>
      </c>
      <c r="F123" t="s">
        <v>37</v>
      </c>
      <c r="G123" t="s">
        <v>209</v>
      </c>
      <c r="H123" t="s">
        <v>232</v>
      </c>
      <c r="I123" t="s">
        <v>232</v>
      </c>
      <c r="J123" t="s">
        <v>259</v>
      </c>
      <c r="K123" t="s">
        <v>260</v>
      </c>
      <c r="L123" t="s">
        <v>184</v>
      </c>
      <c r="M123" t="s">
        <v>185</v>
      </c>
      <c r="N123" t="s">
        <v>184</v>
      </c>
      <c r="O123" t="s">
        <v>2730</v>
      </c>
      <c r="P123" t="s">
        <v>186</v>
      </c>
      <c r="Q123">
        <v>10035818</v>
      </c>
      <c r="R123" s="120">
        <v>43039</v>
      </c>
      <c r="S123" s="120">
        <v>43041</v>
      </c>
      <c r="T123" s="120">
        <v>43069</v>
      </c>
      <c r="U123" t="s">
        <v>2730</v>
      </c>
      <c r="V123" t="s">
        <v>249</v>
      </c>
      <c r="W123" t="s">
        <v>2730</v>
      </c>
      <c r="X123" t="s">
        <v>197</v>
      </c>
      <c r="Y123">
        <v>2</v>
      </c>
      <c r="Z123">
        <v>2</v>
      </c>
      <c r="AA123">
        <v>2</v>
      </c>
      <c r="AB123">
        <v>2</v>
      </c>
      <c r="AC123">
        <v>2</v>
      </c>
      <c r="AD123" t="s">
        <v>2730</v>
      </c>
      <c r="AE123" t="s">
        <v>2730</v>
      </c>
      <c r="AF123" t="s">
        <v>128</v>
      </c>
      <c r="AG123" t="s">
        <v>2730</v>
      </c>
      <c r="AH123" t="s">
        <v>2732</v>
      </c>
      <c r="AI123" t="s">
        <v>59</v>
      </c>
      <c r="AJ123" t="s">
        <v>59</v>
      </c>
      <c r="AK123" t="s">
        <v>59</v>
      </c>
      <c r="AL123" t="s">
        <v>59</v>
      </c>
      <c r="AM123" t="s">
        <v>59</v>
      </c>
      <c r="AN123" t="s">
        <v>59</v>
      </c>
      <c r="AO123" t="s">
        <v>59</v>
      </c>
      <c r="AP123" t="s">
        <v>59</v>
      </c>
      <c r="AQ123" t="s">
        <v>59</v>
      </c>
      <c r="AR123" t="s">
        <v>59</v>
      </c>
      <c r="AS123" t="s">
        <v>59</v>
      </c>
      <c r="AT123" t="s">
        <v>59</v>
      </c>
      <c r="AU123" t="s">
        <v>59</v>
      </c>
      <c r="AV123" t="s">
        <v>59</v>
      </c>
      <c r="AW123" t="s">
        <v>59</v>
      </c>
      <c r="AX123" t="s">
        <v>59</v>
      </c>
      <c r="AY123" t="s">
        <v>218</v>
      </c>
      <c r="AZ123" t="s">
        <v>59</v>
      </c>
      <c r="BA123" t="s">
        <v>59</v>
      </c>
      <c r="BB123" t="s">
        <v>59</v>
      </c>
      <c r="BC123" t="s">
        <v>59</v>
      </c>
      <c r="BD123" t="s">
        <v>59</v>
      </c>
      <c r="BE123" t="s">
        <v>59</v>
      </c>
      <c r="BF123" t="s">
        <v>59</v>
      </c>
      <c r="BG123" t="s">
        <v>218</v>
      </c>
      <c r="BH123" t="s">
        <v>218</v>
      </c>
      <c r="BI123" t="s">
        <v>59</v>
      </c>
      <c r="BJ123" t="s">
        <v>59</v>
      </c>
      <c r="BK123" t="s">
        <v>59</v>
      </c>
      <c r="BL123" t="s">
        <v>59</v>
      </c>
      <c r="BM123" t="s">
        <v>59</v>
      </c>
      <c r="BN123" t="s">
        <v>59</v>
      </c>
      <c r="BO123" t="s">
        <v>59</v>
      </c>
      <c r="BP123" t="s">
        <v>59</v>
      </c>
      <c r="BQ123" t="s">
        <v>59</v>
      </c>
      <c r="BR123" t="s">
        <v>59</v>
      </c>
      <c r="BS123" t="s">
        <v>59</v>
      </c>
      <c r="BT123" t="s">
        <v>59</v>
      </c>
      <c r="BU123" t="s">
        <v>59</v>
      </c>
      <c r="BV123" t="s">
        <v>59</v>
      </c>
      <c r="BW123" t="s">
        <v>59</v>
      </c>
      <c r="BX123" t="s">
        <v>59</v>
      </c>
      <c r="BY123" t="s">
        <v>59</v>
      </c>
      <c r="BZ123" t="s">
        <v>59</v>
      </c>
      <c r="CA123" t="s">
        <v>59</v>
      </c>
      <c r="CB123" t="s">
        <v>59</v>
      </c>
      <c r="CC123" t="s">
        <v>59</v>
      </c>
      <c r="CD123" t="s">
        <v>59</v>
      </c>
      <c r="CE123" t="s">
        <v>59</v>
      </c>
      <c r="CF123" t="s">
        <v>59</v>
      </c>
      <c r="CG123" t="s">
        <v>59</v>
      </c>
      <c r="CH123" t="s">
        <v>59</v>
      </c>
      <c r="CI123" t="s">
        <v>59</v>
      </c>
      <c r="CJ123" t="s">
        <v>59</v>
      </c>
      <c r="CK123" t="s">
        <v>59</v>
      </c>
      <c r="CL123" t="s">
        <v>59</v>
      </c>
      <c r="CM123" t="s">
        <v>59</v>
      </c>
      <c r="CN123" t="s">
        <v>59</v>
      </c>
      <c r="CO123" t="s">
        <v>218</v>
      </c>
      <c r="CP123" t="s">
        <v>218</v>
      </c>
      <c r="CQ123" t="s">
        <v>218</v>
      </c>
      <c r="CR123" t="s">
        <v>59</v>
      </c>
      <c r="CS123" t="s">
        <v>59</v>
      </c>
      <c r="CT123" t="s">
        <v>59</v>
      </c>
      <c r="CU123" t="s">
        <v>59</v>
      </c>
      <c r="CV123" t="s">
        <v>59</v>
      </c>
      <c r="CW123" t="s">
        <v>59</v>
      </c>
      <c r="CX123" t="s">
        <v>59</v>
      </c>
      <c r="CY123" t="s">
        <v>59</v>
      </c>
      <c r="CZ123" t="s">
        <v>59</v>
      </c>
      <c r="DA123" t="s">
        <v>59</v>
      </c>
      <c r="DB123" t="s">
        <v>59</v>
      </c>
      <c r="DC123" t="s">
        <v>59</v>
      </c>
      <c r="DD123" t="s">
        <v>59</v>
      </c>
      <c r="DE123" t="s">
        <v>59</v>
      </c>
      <c r="DF123" t="s">
        <v>59</v>
      </c>
      <c r="DG123" t="s">
        <v>59</v>
      </c>
      <c r="DH123" t="s">
        <v>59</v>
      </c>
      <c r="DI123" t="s">
        <v>59</v>
      </c>
      <c r="DJ123" t="s">
        <v>59</v>
      </c>
      <c r="DK123" t="s">
        <v>59</v>
      </c>
      <c r="DL123" t="s">
        <v>59</v>
      </c>
      <c r="DM123" t="s">
        <v>59</v>
      </c>
      <c r="DN123" t="s">
        <v>59</v>
      </c>
      <c r="DO123" t="s">
        <v>218</v>
      </c>
      <c r="DP123" t="s">
        <v>59</v>
      </c>
      <c r="DQ123" t="s">
        <v>218</v>
      </c>
      <c r="DR123" t="s">
        <v>218</v>
      </c>
      <c r="DS123" t="s">
        <v>218</v>
      </c>
      <c r="DT123" t="s">
        <v>218</v>
      </c>
      <c r="DU123" t="s">
        <v>218</v>
      </c>
      <c r="DV123" t="s">
        <v>218</v>
      </c>
      <c r="DW123" t="s">
        <v>218</v>
      </c>
      <c r="DX123" t="s">
        <v>218</v>
      </c>
      <c r="DY123" t="s">
        <v>218</v>
      </c>
      <c r="DZ123" t="s">
        <v>218</v>
      </c>
      <c r="EA123" t="s">
        <v>218</v>
      </c>
      <c r="EB123" t="s">
        <v>218</v>
      </c>
      <c r="EC123" t="s">
        <v>218</v>
      </c>
      <c r="ED123" t="s">
        <v>218</v>
      </c>
      <c r="EE123" t="s">
        <v>59</v>
      </c>
      <c r="EF123" t="s">
        <v>59</v>
      </c>
      <c r="EG123" t="s">
        <v>59</v>
      </c>
      <c r="EH123" t="s">
        <v>59</v>
      </c>
      <c r="EI123" t="s">
        <v>59</v>
      </c>
      <c r="EJ123" t="s">
        <v>59</v>
      </c>
      <c r="EK123" t="s">
        <v>59</v>
      </c>
      <c r="EL123" t="s">
        <v>59</v>
      </c>
      <c r="EM123" t="s">
        <v>59</v>
      </c>
      <c r="EN123" t="s">
        <v>59</v>
      </c>
      <c r="EO123" t="s">
        <v>59</v>
      </c>
      <c r="EP123" t="s">
        <v>59</v>
      </c>
      <c r="EQ123" t="s">
        <v>59</v>
      </c>
      <c r="ER123" t="s">
        <v>59</v>
      </c>
      <c r="ES123" t="s">
        <v>59</v>
      </c>
      <c r="ET123" t="s">
        <v>59</v>
      </c>
      <c r="EU123" t="s">
        <v>59</v>
      </c>
      <c r="EV123" t="s">
        <v>59</v>
      </c>
      <c r="EW123" t="s">
        <v>59</v>
      </c>
      <c r="EX123" t="s">
        <v>59</v>
      </c>
      <c r="EY123" t="s">
        <v>59</v>
      </c>
      <c r="EZ123" t="s">
        <v>59</v>
      </c>
      <c r="FA123" t="s">
        <v>59</v>
      </c>
      <c r="FB123" t="s">
        <v>218</v>
      </c>
      <c r="FC123" t="s">
        <v>218</v>
      </c>
      <c r="FD123" t="s">
        <v>218</v>
      </c>
      <c r="FE123" t="s">
        <v>218</v>
      </c>
      <c r="FF123" t="s">
        <v>218</v>
      </c>
      <c r="FG123" t="s">
        <v>218</v>
      </c>
      <c r="FH123" t="s">
        <v>59</v>
      </c>
      <c r="FI123" t="s">
        <v>59</v>
      </c>
      <c r="FJ123" t="s">
        <v>59</v>
      </c>
      <c r="FK123" t="s">
        <v>59</v>
      </c>
      <c r="FL123" t="s">
        <v>59</v>
      </c>
      <c r="FM123" t="s">
        <v>59</v>
      </c>
      <c r="FN123" t="s">
        <v>59</v>
      </c>
      <c r="FO123" t="s">
        <v>59</v>
      </c>
      <c r="FP123" t="s">
        <v>59</v>
      </c>
      <c r="FQ123" t="s">
        <v>59</v>
      </c>
      <c r="FR123" t="s">
        <v>59</v>
      </c>
      <c r="FS123" t="s">
        <v>218</v>
      </c>
      <c r="FT123" t="s">
        <v>59</v>
      </c>
      <c r="FU123" t="s">
        <v>59</v>
      </c>
      <c r="FV123" t="s">
        <v>59</v>
      </c>
      <c r="FW123" t="s">
        <v>59</v>
      </c>
      <c r="FX123" t="s">
        <v>59</v>
      </c>
      <c r="FY123" t="s">
        <v>59</v>
      </c>
      <c r="FZ123" t="s">
        <v>59</v>
      </c>
      <c r="GA123" t="s">
        <v>59</v>
      </c>
      <c r="GB123" t="s">
        <v>59</v>
      </c>
      <c r="GC123" t="s">
        <v>59</v>
      </c>
      <c r="GD123" t="s">
        <v>59</v>
      </c>
      <c r="GE123" t="s">
        <v>59</v>
      </c>
      <c r="GF123" t="s">
        <v>59</v>
      </c>
      <c r="GG123" t="s">
        <v>59</v>
      </c>
      <c r="GH123" t="s">
        <v>218</v>
      </c>
      <c r="GI123" t="s">
        <v>218</v>
      </c>
      <c r="GJ123" t="s">
        <v>218</v>
      </c>
      <c r="GK123" t="s">
        <v>218</v>
      </c>
      <c r="GL123" t="s">
        <v>59</v>
      </c>
      <c r="GM123" t="s">
        <v>59</v>
      </c>
      <c r="GN123" t="s">
        <v>59</v>
      </c>
      <c r="GO123" t="s">
        <v>59</v>
      </c>
      <c r="GP123" t="s">
        <v>59</v>
      </c>
      <c r="GQ123" t="s">
        <v>218</v>
      </c>
      <c r="GR123" t="s">
        <v>59</v>
      </c>
      <c r="GS123" t="s">
        <v>59</v>
      </c>
      <c r="GT123" t="s">
        <v>218</v>
      </c>
      <c r="GU123" t="s">
        <v>218</v>
      </c>
      <c r="GV123" t="s">
        <v>59</v>
      </c>
      <c r="GW123" t="s">
        <v>59</v>
      </c>
      <c r="GX123" t="s">
        <v>59</v>
      </c>
      <c r="GY123" t="s">
        <v>59</v>
      </c>
      <c r="GZ123" t="s">
        <v>59</v>
      </c>
      <c r="HA123" t="s">
        <v>218</v>
      </c>
      <c r="HB123" t="s">
        <v>218</v>
      </c>
      <c r="HC123" t="s">
        <v>59</v>
      </c>
      <c r="HD123" t="s">
        <v>59</v>
      </c>
      <c r="HE123" t="s">
        <v>59</v>
      </c>
      <c r="HF123" t="s">
        <v>59</v>
      </c>
      <c r="HG123" t="s">
        <v>59</v>
      </c>
      <c r="HH123" t="s">
        <v>59</v>
      </c>
      <c r="HI123" t="s">
        <v>59</v>
      </c>
      <c r="HJ123" t="s">
        <v>59</v>
      </c>
      <c r="HK123" t="s">
        <v>59</v>
      </c>
      <c r="HL123" t="s">
        <v>218</v>
      </c>
      <c r="HM123" t="s">
        <v>218</v>
      </c>
      <c r="HN123" t="s">
        <v>218</v>
      </c>
      <c r="HO123" t="s">
        <v>218</v>
      </c>
      <c r="HP123" t="s">
        <v>59</v>
      </c>
      <c r="HQ123" t="s">
        <v>59</v>
      </c>
      <c r="HR123" t="s">
        <v>59</v>
      </c>
      <c r="HS123" t="s">
        <v>59</v>
      </c>
      <c r="HT123" t="s">
        <v>59</v>
      </c>
      <c r="HU123" t="s">
        <v>59</v>
      </c>
      <c r="HV123" t="s">
        <v>59</v>
      </c>
      <c r="HW123" t="s">
        <v>59</v>
      </c>
      <c r="HX123" t="s">
        <v>59</v>
      </c>
      <c r="HY123" t="s">
        <v>59</v>
      </c>
      <c r="HZ123" t="s">
        <v>59</v>
      </c>
      <c r="IA123" t="s">
        <v>59</v>
      </c>
      <c r="IB123" t="s">
        <v>59</v>
      </c>
      <c r="IC123" t="s">
        <v>59</v>
      </c>
      <c r="ID123" t="s">
        <v>59</v>
      </c>
      <c r="IE123" t="s">
        <v>59</v>
      </c>
      <c r="IF123" t="s">
        <v>59</v>
      </c>
      <c r="IG123" t="s">
        <v>59</v>
      </c>
      <c r="IH123" t="s">
        <v>59</v>
      </c>
      <c r="II123" t="s">
        <v>59</v>
      </c>
      <c r="IJ123" t="s">
        <v>129</v>
      </c>
      <c r="IK123" t="s">
        <v>191</v>
      </c>
      <c r="IL123" t="s">
        <v>128</v>
      </c>
      <c r="IM123" t="s">
        <v>199</v>
      </c>
      <c r="IN123">
        <v>29</v>
      </c>
      <c r="IO123" t="s">
        <v>2730</v>
      </c>
      <c r="IP123" t="s">
        <v>2730</v>
      </c>
      <c r="IQ123" t="s">
        <v>2730</v>
      </c>
      <c r="IR123">
        <v>15</v>
      </c>
      <c r="IS123" t="s">
        <v>2730</v>
      </c>
      <c r="IT123" t="s">
        <v>2730</v>
      </c>
      <c r="IU123" t="s">
        <v>2730</v>
      </c>
      <c r="IV123">
        <v>16</v>
      </c>
      <c r="IW123" t="s">
        <v>2730</v>
      </c>
      <c r="IX123" t="s">
        <v>2730</v>
      </c>
      <c r="IY123" t="s">
        <v>2730</v>
      </c>
      <c r="IZ123">
        <v>38</v>
      </c>
      <c r="JA123" t="s">
        <v>2730</v>
      </c>
      <c r="JB123" t="s">
        <v>2730</v>
      </c>
      <c r="JC123" t="s">
        <v>2730</v>
      </c>
      <c r="JD123">
        <v>21</v>
      </c>
      <c r="JE123" t="s">
        <v>2730</v>
      </c>
      <c r="JF123" t="s">
        <v>2730</v>
      </c>
      <c r="JG123" t="s">
        <v>2730</v>
      </c>
      <c r="JH123">
        <v>21</v>
      </c>
      <c r="JI123" t="s">
        <v>2730</v>
      </c>
      <c r="JJ123" t="s">
        <v>2730</v>
      </c>
      <c r="JK123" t="s">
        <v>2730</v>
      </c>
      <c r="JL123">
        <v>16</v>
      </c>
      <c r="JM123" t="s">
        <v>2730</v>
      </c>
      <c r="JN123" t="s">
        <v>2730</v>
      </c>
      <c r="JO123">
        <v>4</v>
      </c>
      <c r="JP123" t="s">
        <v>2730</v>
      </c>
      <c r="JQ123" t="s">
        <v>2730</v>
      </c>
    </row>
    <row r="124" spans="1:277">
      <c r="A124" s="149" t="str">
        <f>HYPERLINK("http://www.ofsted.gov.uk/inspection-reports/find-inspection-report/provider/ELS/122933 ","Ofsted School Webpage")</f>
        <v>Ofsted School Webpage</v>
      </c>
      <c r="B124">
        <v>1134849</v>
      </c>
      <c r="C124">
        <v>122933</v>
      </c>
      <c r="D124">
        <v>8916015</v>
      </c>
      <c r="E124" t="s">
        <v>2070</v>
      </c>
      <c r="F124" t="s">
        <v>37</v>
      </c>
      <c r="G124" t="s">
        <v>209</v>
      </c>
      <c r="H124" t="s">
        <v>214</v>
      </c>
      <c r="I124" t="s">
        <v>214</v>
      </c>
      <c r="J124" t="s">
        <v>320</v>
      </c>
      <c r="K124" t="s">
        <v>2071</v>
      </c>
      <c r="L124" t="s">
        <v>184</v>
      </c>
      <c r="M124" t="s">
        <v>185</v>
      </c>
      <c r="N124" t="s">
        <v>184</v>
      </c>
      <c r="O124" t="s">
        <v>2730</v>
      </c>
      <c r="P124" t="s">
        <v>186</v>
      </c>
      <c r="Q124">
        <v>10033529</v>
      </c>
      <c r="R124" s="120">
        <v>43046</v>
      </c>
      <c r="S124" s="120">
        <v>43048</v>
      </c>
      <c r="T124" s="120">
        <v>43080</v>
      </c>
      <c r="U124" t="s">
        <v>2730</v>
      </c>
      <c r="V124" t="s">
        <v>196</v>
      </c>
      <c r="W124" t="s">
        <v>2730</v>
      </c>
      <c r="X124" t="s">
        <v>197</v>
      </c>
      <c r="Y124">
        <v>2</v>
      </c>
      <c r="Z124">
        <v>2</v>
      </c>
      <c r="AA124">
        <v>1</v>
      </c>
      <c r="AB124">
        <v>2</v>
      </c>
      <c r="AC124">
        <v>2</v>
      </c>
      <c r="AD124">
        <v>2</v>
      </c>
      <c r="AE124" t="s">
        <v>2730</v>
      </c>
      <c r="AF124" t="s">
        <v>128</v>
      </c>
      <c r="AG124" t="s">
        <v>2730</v>
      </c>
      <c r="AH124" t="s">
        <v>2732</v>
      </c>
      <c r="AI124" t="s">
        <v>59</v>
      </c>
      <c r="AJ124" t="s">
        <v>59</v>
      </c>
      <c r="AK124" t="s">
        <v>59</v>
      </c>
      <c r="AL124" t="s">
        <v>59</v>
      </c>
      <c r="AM124" t="s">
        <v>59</v>
      </c>
      <c r="AN124" t="s">
        <v>59</v>
      </c>
      <c r="AO124" t="s">
        <v>59</v>
      </c>
      <c r="AP124" t="s">
        <v>59</v>
      </c>
      <c r="AQ124" t="s">
        <v>59</v>
      </c>
      <c r="AR124" t="s">
        <v>59</v>
      </c>
      <c r="AS124" t="s">
        <v>59</v>
      </c>
      <c r="AT124" t="s">
        <v>59</v>
      </c>
      <c r="AU124" t="s">
        <v>59</v>
      </c>
      <c r="AV124" t="s">
        <v>59</v>
      </c>
      <c r="AW124" t="s">
        <v>59</v>
      </c>
      <c r="AX124" t="s">
        <v>59</v>
      </c>
      <c r="AY124" t="s">
        <v>191</v>
      </c>
      <c r="AZ124" t="s">
        <v>59</v>
      </c>
      <c r="BA124" t="s">
        <v>59</v>
      </c>
      <c r="BB124" t="s">
        <v>59</v>
      </c>
      <c r="BC124" t="s">
        <v>59</v>
      </c>
      <c r="BD124" t="s">
        <v>59</v>
      </c>
      <c r="BE124" t="s">
        <v>59</v>
      </c>
      <c r="BF124" t="s">
        <v>59</v>
      </c>
      <c r="BG124" t="s">
        <v>59</v>
      </c>
      <c r="BH124" t="s">
        <v>191</v>
      </c>
      <c r="BI124" t="s">
        <v>59</v>
      </c>
      <c r="BJ124" t="s">
        <v>59</v>
      </c>
      <c r="BK124" t="s">
        <v>59</v>
      </c>
      <c r="BL124" t="s">
        <v>59</v>
      </c>
      <c r="BM124" t="s">
        <v>59</v>
      </c>
      <c r="BN124" t="s">
        <v>59</v>
      </c>
      <c r="BO124" t="s">
        <v>59</v>
      </c>
      <c r="BP124" t="s">
        <v>59</v>
      </c>
      <c r="BQ124" t="s">
        <v>59</v>
      </c>
      <c r="BR124" t="s">
        <v>59</v>
      </c>
      <c r="BS124" t="s">
        <v>59</v>
      </c>
      <c r="BT124" t="s">
        <v>59</v>
      </c>
      <c r="BU124" t="s">
        <v>59</v>
      </c>
      <c r="BV124" t="s">
        <v>59</v>
      </c>
      <c r="BW124" t="s">
        <v>59</v>
      </c>
      <c r="BX124" t="s">
        <v>59</v>
      </c>
      <c r="BY124" t="s">
        <v>59</v>
      </c>
      <c r="BZ124" t="s">
        <v>59</v>
      </c>
      <c r="CA124" t="s">
        <v>59</v>
      </c>
      <c r="CB124" t="s">
        <v>59</v>
      </c>
      <c r="CC124" t="s">
        <v>59</v>
      </c>
      <c r="CD124" t="s">
        <v>59</v>
      </c>
      <c r="CE124" t="s">
        <v>59</v>
      </c>
      <c r="CF124" t="s">
        <v>59</v>
      </c>
      <c r="CG124" t="s">
        <v>59</v>
      </c>
      <c r="CH124" t="s">
        <v>59</v>
      </c>
      <c r="CI124" t="s">
        <v>59</v>
      </c>
      <c r="CJ124" t="s">
        <v>59</v>
      </c>
      <c r="CK124" t="s">
        <v>59</v>
      </c>
      <c r="CL124" t="s">
        <v>59</v>
      </c>
      <c r="CM124" t="s">
        <v>59</v>
      </c>
      <c r="CN124" t="s">
        <v>59</v>
      </c>
      <c r="CO124" t="s">
        <v>191</v>
      </c>
      <c r="CP124" t="s">
        <v>191</v>
      </c>
      <c r="CQ124" t="s">
        <v>191</v>
      </c>
      <c r="CR124" t="s">
        <v>59</v>
      </c>
      <c r="CS124" t="s">
        <v>59</v>
      </c>
      <c r="CT124" t="s">
        <v>59</v>
      </c>
      <c r="CU124" t="s">
        <v>59</v>
      </c>
      <c r="CV124" t="s">
        <v>59</v>
      </c>
      <c r="CW124" t="s">
        <v>59</v>
      </c>
      <c r="CX124" t="s">
        <v>59</v>
      </c>
      <c r="CY124" t="s">
        <v>59</v>
      </c>
      <c r="CZ124" t="s">
        <v>59</v>
      </c>
      <c r="DA124" t="s">
        <v>59</v>
      </c>
      <c r="DB124" t="s">
        <v>59</v>
      </c>
      <c r="DC124" t="s">
        <v>59</v>
      </c>
      <c r="DD124" t="s">
        <v>59</v>
      </c>
      <c r="DE124" t="s">
        <v>59</v>
      </c>
      <c r="DF124" t="s">
        <v>59</v>
      </c>
      <c r="DG124" t="s">
        <v>59</v>
      </c>
      <c r="DH124" t="s">
        <v>59</v>
      </c>
      <c r="DI124" t="s">
        <v>59</v>
      </c>
      <c r="DJ124" t="s">
        <v>59</v>
      </c>
      <c r="DK124" t="s">
        <v>59</v>
      </c>
      <c r="DL124" t="s">
        <v>59</v>
      </c>
      <c r="DM124" t="s">
        <v>59</v>
      </c>
      <c r="DN124" t="s">
        <v>59</v>
      </c>
      <c r="DO124" t="s">
        <v>191</v>
      </c>
      <c r="DP124" t="s">
        <v>59</v>
      </c>
      <c r="DQ124" t="s">
        <v>191</v>
      </c>
      <c r="DR124" t="s">
        <v>191</v>
      </c>
      <c r="DS124" t="s">
        <v>191</v>
      </c>
      <c r="DT124" t="s">
        <v>191</v>
      </c>
      <c r="DU124" t="s">
        <v>191</v>
      </c>
      <c r="DV124" t="s">
        <v>191</v>
      </c>
      <c r="DW124" t="s">
        <v>191</v>
      </c>
      <c r="DX124" t="s">
        <v>191</v>
      </c>
      <c r="DY124" t="s">
        <v>191</v>
      </c>
      <c r="DZ124" t="s">
        <v>191</v>
      </c>
      <c r="EA124" t="s">
        <v>191</v>
      </c>
      <c r="EB124" t="s">
        <v>191</v>
      </c>
      <c r="EC124" t="s">
        <v>191</v>
      </c>
      <c r="ED124" t="s">
        <v>59</v>
      </c>
      <c r="EE124" t="s">
        <v>191</v>
      </c>
      <c r="EF124" t="s">
        <v>191</v>
      </c>
      <c r="EG124" t="s">
        <v>191</v>
      </c>
      <c r="EH124" t="s">
        <v>191</v>
      </c>
      <c r="EI124" t="s">
        <v>191</v>
      </c>
      <c r="EJ124" t="s">
        <v>191</v>
      </c>
      <c r="EK124" t="s">
        <v>191</v>
      </c>
      <c r="EL124" t="s">
        <v>191</v>
      </c>
      <c r="EM124" t="s">
        <v>59</v>
      </c>
      <c r="EN124" t="s">
        <v>59</v>
      </c>
      <c r="EO124" t="s">
        <v>59</v>
      </c>
      <c r="EP124" t="s">
        <v>59</v>
      </c>
      <c r="EQ124" t="s">
        <v>59</v>
      </c>
      <c r="ER124" t="s">
        <v>59</v>
      </c>
      <c r="ES124" t="s">
        <v>59</v>
      </c>
      <c r="ET124" t="s">
        <v>59</v>
      </c>
      <c r="EU124" t="s">
        <v>59</v>
      </c>
      <c r="EV124" t="s">
        <v>59</v>
      </c>
      <c r="EW124" t="s">
        <v>59</v>
      </c>
      <c r="EX124" t="s">
        <v>59</v>
      </c>
      <c r="EY124" t="s">
        <v>59</v>
      </c>
      <c r="EZ124" t="s">
        <v>59</v>
      </c>
      <c r="FA124" t="s">
        <v>59</v>
      </c>
      <c r="FB124" t="s">
        <v>191</v>
      </c>
      <c r="FC124" t="s">
        <v>191</v>
      </c>
      <c r="FD124" t="s">
        <v>191</v>
      </c>
      <c r="FE124" t="s">
        <v>191</v>
      </c>
      <c r="FF124" t="s">
        <v>191</v>
      </c>
      <c r="FG124" t="s">
        <v>191</v>
      </c>
      <c r="FH124" t="s">
        <v>191</v>
      </c>
      <c r="FI124" t="s">
        <v>191</v>
      </c>
      <c r="FJ124" t="s">
        <v>191</v>
      </c>
      <c r="FK124" t="s">
        <v>191</v>
      </c>
      <c r="FL124" t="s">
        <v>59</v>
      </c>
      <c r="FM124" t="s">
        <v>59</v>
      </c>
      <c r="FN124" t="s">
        <v>59</v>
      </c>
      <c r="FO124" t="s">
        <v>59</v>
      </c>
      <c r="FP124" t="s">
        <v>59</v>
      </c>
      <c r="FQ124" t="s">
        <v>59</v>
      </c>
      <c r="FR124" t="s">
        <v>59</v>
      </c>
      <c r="FS124" t="s">
        <v>191</v>
      </c>
      <c r="FT124" t="s">
        <v>59</v>
      </c>
      <c r="FU124" t="s">
        <v>59</v>
      </c>
      <c r="FV124" t="s">
        <v>59</v>
      </c>
      <c r="FW124" t="s">
        <v>59</v>
      </c>
      <c r="FX124" t="s">
        <v>59</v>
      </c>
      <c r="FY124" t="s">
        <v>59</v>
      </c>
      <c r="FZ124" t="s">
        <v>59</v>
      </c>
      <c r="GA124" t="s">
        <v>59</v>
      </c>
      <c r="GB124" t="s">
        <v>59</v>
      </c>
      <c r="GC124" t="s">
        <v>59</v>
      </c>
      <c r="GD124" t="s">
        <v>59</v>
      </c>
      <c r="GE124" t="s">
        <v>59</v>
      </c>
      <c r="GF124" t="s">
        <v>59</v>
      </c>
      <c r="GG124" t="s">
        <v>59</v>
      </c>
      <c r="GH124" t="s">
        <v>59</v>
      </c>
      <c r="GI124" t="s">
        <v>59</v>
      </c>
      <c r="GJ124" t="s">
        <v>59</v>
      </c>
      <c r="GK124" t="s">
        <v>191</v>
      </c>
      <c r="GL124" t="s">
        <v>59</v>
      </c>
      <c r="GM124" t="s">
        <v>59</v>
      </c>
      <c r="GN124" t="s">
        <v>59</v>
      </c>
      <c r="GO124" t="s">
        <v>59</v>
      </c>
      <c r="GP124" t="s">
        <v>59</v>
      </c>
      <c r="GQ124" t="s">
        <v>191</v>
      </c>
      <c r="GR124" t="s">
        <v>59</v>
      </c>
      <c r="GS124" t="s">
        <v>59</v>
      </c>
      <c r="GT124" t="s">
        <v>59</v>
      </c>
      <c r="GU124" t="s">
        <v>191</v>
      </c>
      <c r="GV124" t="s">
        <v>191</v>
      </c>
      <c r="GW124" t="s">
        <v>59</v>
      </c>
      <c r="GX124" t="s">
        <v>59</v>
      </c>
      <c r="GY124" t="s">
        <v>59</v>
      </c>
      <c r="GZ124" t="s">
        <v>59</v>
      </c>
      <c r="HA124" t="s">
        <v>191</v>
      </c>
      <c r="HB124" t="s">
        <v>191</v>
      </c>
      <c r="HC124" t="s">
        <v>59</v>
      </c>
      <c r="HD124" t="s">
        <v>59</v>
      </c>
      <c r="HE124" t="s">
        <v>59</v>
      </c>
      <c r="HF124" t="s">
        <v>59</v>
      </c>
      <c r="HG124" t="s">
        <v>59</v>
      </c>
      <c r="HH124" t="s">
        <v>59</v>
      </c>
      <c r="HI124" t="s">
        <v>59</v>
      </c>
      <c r="HJ124" t="s">
        <v>59</v>
      </c>
      <c r="HK124" t="s">
        <v>59</v>
      </c>
      <c r="HL124" t="s">
        <v>191</v>
      </c>
      <c r="HM124" t="s">
        <v>191</v>
      </c>
      <c r="HN124" t="s">
        <v>191</v>
      </c>
      <c r="HO124" t="s">
        <v>191</v>
      </c>
      <c r="HP124" t="s">
        <v>59</v>
      </c>
      <c r="HQ124" t="s">
        <v>59</v>
      </c>
      <c r="HR124" t="s">
        <v>59</v>
      </c>
      <c r="HS124" t="s">
        <v>59</v>
      </c>
      <c r="HT124" t="s">
        <v>59</v>
      </c>
      <c r="HU124" t="s">
        <v>59</v>
      </c>
      <c r="HV124" t="s">
        <v>59</v>
      </c>
      <c r="HW124" t="s">
        <v>59</v>
      </c>
      <c r="HX124" t="s">
        <v>59</v>
      </c>
      <c r="HY124" t="s">
        <v>59</v>
      </c>
      <c r="HZ124" t="s">
        <v>59</v>
      </c>
      <c r="IA124" t="s">
        <v>59</v>
      </c>
      <c r="IB124" t="s">
        <v>59</v>
      </c>
      <c r="IC124" t="s">
        <v>59</v>
      </c>
      <c r="ID124" t="s">
        <v>59</v>
      </c>
      <c r="IE124" t="s">
        <v>59</v>
      </c>
      <c r="IF124" t="s">
        <v>59</v>
      </c>
      <c r="IG124" t="s">
        <v>59</v>
      </c>
      <c r="IH124" t="s">
        <v>59</v>
      </c>
      <c r="II124" t="s">
        <v>59</v>
      </c>
      <c r="IJ124" t="s">
        <v>129</v>
      </c>
      <c r="IK124" t="s">
        <v>198</v>
      </c>
      <c r="IL124" t="s">
        <v>128</v>
      </c>
      <c r="IM124" t="s">
        <v>199</v>
      </c>
      <c r="IN124">
        <v>30</v>
      </c>
      <c r="IO124" t="s">
        <v>2730</v>
      </c>
      <c r="IP124">
        <v>2</v>
      </c>
      <c r="IQ124" t="s">
        <v>2730</v>
      </c>
      <c r="IR124">
        <v>15</v>
      </c>
      <c r="IS124" t="s">
        <v>2730</v>
      </c>
      <c r="IT124" t="s">
        <v>2730</v>
      </c>
      <c r="IU124" t="s">
        <v>2730</v>
      </c>
      <c r="IV124">
        <v>16</v>
      </c>
      <c r="IW124" t="s">
        <v>2730</v>
      </c>
      <c r="IX124">
        <v>3</v>
      </c>
      <c r="IY124" t="s">
        <v>2730</v>
      </c>
      <c r="IZ124">
        <v>27</v>
      </c>
      <c r="JA124" t="s">
        <v>2730</v>
      </c>
      <c r="JB124">
        <v>32</v>
      </c>
      <c r="JC124" t="s">
        <v>2730</v>
      </c>
      <c r="JD124">
        <v>24</v>
      </c>
      <c r="JE124" t="s">
        <v>2730</v>
      </c>
      <c r="JF124">
        <v>2</v>
      </c>
      <c r="JG124" t="s">
        <v>2730</v>
      </c>
      <c r="JH124">
        <v>21</v>
      </c>
      <c r="JI124" t="s">
        <v>2730</v>
      </c>
      <c r="JJ124">
        <v>9</v>
      </c>
      <c r="JK124" t="s">
        <v>2730</v>
      </c>
      <c r="JL124">
        <v>16</v>
      </c>
      <c r="JM124" t="s">
        <v>2730</v>
      </c>
      <c r="JN124" t="s">
        <v>2730</v>
      </c>
      <c r="JO124">
        <v>4</v>
      </c>
      <c r="JP124" t="s">
        <v>2730</v>
      </c>
      <c r="JQ124" t="s">
        <v>2730</v>
      </c>
    </row>
    <row r="125" spans="1:277">
      <c r="A125" s="149" t="str">
        <f>HYPERLINK("http://www.ofsted.gov.uk/inspection-reports/find-inspection-report/provider/ELS/116594 ","Ofsted School Webpage")</f>
        <v>Ofsted School Webpage</v>
      </c>
      <c r="B125">
        <v>1135531</v>
      </c>
      <c r="C125">
        <v>116594</v>
      </c>
      <c r="D125">
        <v>8506062</v>
      </c>
      <c r="E125" t="s">
        <v>417</v>
      </c>
      <c r="F125" t="s">
        <v>37</v>
      </c>
      <c r="G125" t="s">
        <v>209</v>
      </c>
      <c r="H125" t="s">
        <v>181</v>
      </c>
      <c r="I125" t="s">
        <v>181</v>
      </c>
      <c r="J125" t="s">
        <v>201</v>
      </c>
      <c r="K125" t="s">
        <v>418</v>
      </c>
      <c r="L125" t="s">
        <v>413</v>
      </c>
      <c r="M125" t="s">
        <v>212</v>
      </c>
      <c r="N125" t="s">
        <v>413</v>
      </c>
      <c r="O125" t="s">
        <v>2730</v>
      </c>
      <c r="P125" t="s">
        <v>186</v>
      </c>
      <c r="Q125">
        <v>10006334</v>
      </c>
      <c r="R125" s="120">
        <v>43018</v>
      </c>
      <c r="S125" s="120">
        <v>43020</v>
      </c>
      <c r="T125" s="120">
        <v>43060</v>
      </c>
      <c r="U125" t="s">
        <v>2730</v>
      </c>
      <c r="V125" t="s">
        <v>267</v>
      </c>
      <c r="W125" t="s">
        <v>2730</v>
      </c>
      <c r="X125" t="s">
        <v>197</v>
      </c>
      <c r="Y125">
        <v>4</v>
      </c>
      <c r="Z125">
        <v>4</v>
      </c>
      <c r="AA125">
        <v>4</v>
      </c>
      <c r="AB125">
        <v>2</v>
      </c>
      <c r="AC125">
        <v>2</v>
      </c>
      <c r="AD125" t="s">
        <v>2730</v>
      </c>
      <c r="AE125">
        <v>4</v>
      </c>
      <c r="AF125" t="s">
        <v>129</v>
      </c>
      <c r="AG125" t="s">
        <v>2730</v>
      </c>
      <c r="AH125" t="s">
        <v>2733</v>
      </c>
      <c r="AI125" t="s">
        <v>60</v>
      </c>
      <c r="AJ125" t="s">
        <v>59</v>
      </c>
      <c r="AK125" t="s">
        <v>60</v>
      </c>
      <c r="AL125" t="s">
        <v>60</v>
      </c>
      <c r="AM125" t="s">
        <v>59</v>
      </c>
      <c r="AN125" t="s">
        <v>60</v>
      </c>
      <c r="AO125" t="s">
        <v>59</v>
      </c>
      <c r="AP125" t="s">
        <v>60</v>
      </c>
      <c r="AQ125" t="s">
        <v>60</v>
      </c>
      <c r="AR125" t="s">
        <v>60</v>
      </c>
      <c r="AS125" t="s">
        <v>60</v>
      </c>
      <c r="AT125" t="s">
        <v>60</v>
      </c>
      <c r="AU125" t="s">
        <v>60</v>
      </c>
      <c r="AV125" t="s">
        <v>59</v>
      </c>
      <c r="AW125" t="s">
        <v>59</v>
      </c>
      <c r="AX125" t="s">
        <v>59</v>
      </c>
      <c r="AY125" t="s">
        <v>191</v>
      </c>
      <c r="AZ125" t="s">
        <v>59</v>
      </c>
      <c r="BA125" t="s">
        <v>59</v>
      </c>
      <c r="BB125" t="s">
        <v>59</v>
      </c>
      <c r="BC125" t="s">
        <v>59</v>
      </c>
      <c r="BD125" t="s">
        <v>59</v>
      </c>
      <c r="BE125" t="s">
        <v>59</v>
      </c>
      <c r="BF125" t="s">
        <v>59</v>
      </c>
      <c r="BG125" t="s">
        <v>191</v>
      </c>
      <c r="BH125" t="s">
        <v>59</v>
      </c>
      <c r="BI125" t="s">
        <v>59</v>
      </c>
      <c r="BJ125" t="s">
        <v>59</v>
      </c>
      <c r="BK125" t="s">
        <v>59</v>
      </c>
      <c r="BL125" t="s">
        <v>59</v>
      </c>
      <c r="BM125" t="s">
        <v>59</v>
      </c>
      <c r="BN125" t="s">
        <v>59</v>
      </c>
      <c r="BO125" t="s">
        <v>59</v>
      </c>
      <c r="BP125" t="s">
        <v>59</v>
      </c>
      <c r="BQ125" t="s">
        <v>59</v>
      </c>
      <c r="BR125" t="s">
        <v>59</v>
      </c>
      <c r="BS125" t="s">
        <v>59</v>
      </c>
      <c r="BT125" t="s">
        <v>59</v>
      </c>
      <c r="BU125" t="s">
        <v>59</v>
      </c>
      <c r="BV125" t="s">
        <v>59</v>
      </c>
      <c r="BW125" t="s">
        <v>59</v>
      </c>
      <c r="BX125" t="s">
        <v>59</v>
      </c>
      <c r="BY125" t="s">
        <v>59</v>
      </c>
      <c r="BZ125" t="s">
        <v>59</v>
      </c>
      <c r="CA125" t="s">
        <v>59</v>
      </c>
      <c r="CB125" t="s">
        <v>59</v>
      </c>
      <c r="CC125" t="s">
        <v>59</v>
      </c>
      <c r="CD125" t="s">
        <v>59</v>
      </c>
      <c r="CE125" t="s">
        <v>59</v>
      </c>
      <c r="CF125" t="s">
        <v>59</v>
      </c>
      <c r="CG125" t="s">
        <v>59</v>
      </c>
      <c r="CH125" t="s">
        <v>59</v>
      </c>
      <c r="CI125" t="s">
        <v>59</v>
      </c>
      <c r="CJ125" t="s">
        <v>59</v>
      </c>
      <c r="CK125" t="s">
        <v>59</v>
      </c>
      <c r="CL125" t="s">
        <v>60</v>
      </c>
      <c r="CM125" t="s">
        <v>60</v>
      </c>
      <c r="CN125" t="s">
        <v>60</v>
      </c>
      <c r="CO125" t="s">
        <v>60</v>
      </c>
      <c r="CP125" t="s">
        <v>60</v>
      </c>
      <c r="CQ125" t="s">
        <v>60</v>
      </c>
      <c r="CR125" t="s">
        <v>60</v>
      </c>
      <c r="CS125" t="s">
        <v>60</v>
      </c>
      <c r="CT125" t="s">
        <v>60</v>
      </c>
      <c r="CU125" t="s">
        <v>59</v>
      </c>
      <c r="CV125" t="s">
        <v>59</v>
      </c>
      <c r="CW125" t="s">
        <v>59</v>
      </c>
      <c r="CX125" t="s">
        <v>60</v>
      </c>
      <c r="CY125" t="s">
        <v>59</v>
      </c>
      <c r="CZ125" t="s">
        <v>59</v>
      </c>
      <c r="DA125" t="s">
        <v>59</v>
      </c>
      <c r="DB125" t="s">
        <v>60</v>
      </c>
      <c r="DC125" t="s">
        <v>60</v>
      </c>
      <c r="DD125" t="s">
        <v>60</v>
      </c>
      <c r="DE125" t="s">
        <v>60</v>
      </c>
      <c r="DF125" t="s">
        <v>60</v>
      </c>
      <c r="DG125" t="s">
        <v>60</v>
      </c>
      <c r="DH125" t="s">
        <v>60</v>
      </c>
      <c r="DI125" t="s">
        <v>60</v>
      </c>
      <c r="DJ125" t="s">
        <v>60</v>
      </c>
      <c r="DK125" t="s">
        <v>60</v>
      </c>
      <c r="DL125" t="s">
        <v>60</v>
      </c>
      <c r="DM125" t="s">
        <v>60</v>
      </c>
      <c r="DN125" t="s">
        <v>60</v>
      </c>
      <c r="DO125" t="s">
        <v>60</v>
      </c>
      <c r="DP125" t="s">
        <v>60</v>
      </c>
      <c r="DQ125" t="s">
        <v>191</v>
      </c>
      <c r="DR125" t="s">
        <v>191</v>
      </c>
      <c r="DS125" t="s">
        <v>191</v>
      </c>
      <c r="DT125" t="s">
        <v>191</v>
      </c>
      <c r="DU125" t="s">
        <v>191</v>
      </c>
      <c r="DV125" t="s">
        <v>191</v>
      </c>
      <c r="DW125" t="s">
        <v>191</v>
      </c>
      <c r="DX125" t="s">
        <v>191</v>
      </c>
      <c r="DY125" t="s">
        <v>191</v>
      </c>
      <c r="DZ125" t="s">
        <v>191</v>
      </c>
      <c r="EA125" t="s">
        <v>191</v>
      </c>
      <c r="EB125" t="s">
        <v>191</v>
      </c>
      <c r="EC125" t="s">
        <v>191</v>
      </c>
      <c r="ED125" t="s">
        <v>191</v>
      </c>
      <c r="EE125" t="s">
        <v>59</v>
      </c>
      <c r="EF125" t="s">
        <v>59</v>
      </c>
      <c r="EG125" t="s">
        <v>59</v>
      </c>
      <c r="EH125" t="s">
        <v>59</v>
      </c>
      <c r="EI125" t="s">
        <v>59</v>
      </c>
      <c r="EJ125" t="s">
        <v>59</v>
      </c>
      <c r="EK125" t="s">
        <v>59</v>
      </c>
      <c r="EL125" t="s">
        <v>59</v>
      </c>
      <c r="EM125" t="s">
        <v>59</v>
      </c>
      <c r="EN125" t="s">
        <v>60</v>
      </c>
      <c r="EO125" t="s">
        <v>59</v>
      </c>
      <c r="EP125" t="s">
        <v>60</v>
      </c>
      <c r="EQ125" t="s">
        <v>60</v>
      </c>
      <c r="ER125" t="s">
        <v>60</v>
      </c>
      <c r="ES125" t="s">
        <v>60</v>
      </c>
      <c r="ET125" t="s">
        <v>60</v>
      </c>
      <c r="EU125" t="s">
        <v>60</v>
      </c>
      <c r="EV125" t="s">
        <v>60</v>
      </c>
      <c r="EW125" t="s">
        <v>60</v>
      </c>
      <c r="EX125" t="s">
        <v>60</v>
      </c>
      <c r="EY125" t="s">
        <v>60</v>
      </c>
      <c r="EZ125" t="s">
        <v>60</v>
      </c>
      <c r="FA125" t="s">
        <v>60</v>
      </c>
      <c r="FB125" t="s">
        <v>191</v>
      </c>
      <c r="FC125" t="s">
        <v>191</v>
      </c>
      <c r="FD125" t="s">
        <v>191</v>
      </c>
      <c r="FE125" t="s">
        <v>191</v>
      </c>
      <c r="FF125" t="s">
        <v>191</v>
      </c>
      <c r="FG125" t="s">
        <v>191</v>
      </c>
      <c r="FH125" t="s">
        <v>59</v>
      </c>
      <c r="FI125" t="s">
        <v>59</v>
      </c>
      <c r="FJ125" t="s">
        <v>59</v>
      </c>
      <c r="FK125" t="s">
        <v>59</v>
      </c>
      <c r="FL125" t="s">
        <v>59</v>
      </c>
      <c r="FM125" t="s">
        <v>59</v>
      </c>
      <c r="FN125" t="s">
        <v>59</v>
      </c>
      <c r="FO125" t="s">
        <v>59</v>
      </c>
      <c r="FP125" t="s">
        <v>59</v>
      </c>
      <c r="FQ125" t="s">
        <v>59</v>
      </c>
      <c r="FR125" t="s">
        <v>59</v>
      </c>
      <c r="FS125" t="s">
        <v>191</v>
      </c>
      <c r="FT125" t="s">
        <v>59</v>
      </c>
      <c r="FU125" t="s">
        <v>59</v>
      </c>
      <c r="FV125" t="s">
        <v>59</v>
      </c>
      <c r="FW125" t="s">
        <v>59</v>
      </c>
      <c r="FX125" t="s">
        <v>59</v>
      </c>
      <c r="FY125" t="s">
        <v>59</v>
      </c>
      <c r="FZ125" t="s">
        <v>59</v>
      </c>
      <c r="GA125" t="s">
        <v>59</v>
      </c>
      <c r="GB125" t="s">
        <v>59</v>
      </c>
      <c r="GC125" t="s">
        <v>59</v>
      </c>
      <c r="GD125" t="s">
        <v>59</v>
      </c>
      <c r="GE125" t="s">
        <v>59</v>
      </c>
      <c r="GF125" t="s">
        <v>59</v>
      </c>
      <c r="GG125" t="s">
        <v>59</v>
      </c>
      <c r="GH125" t="s">
        <v>59</v>
      </c>
      <c r="GI125" t="s">
        <v>59</v>
      </c>
      <c r="GJ125" t="s">
        <v>59</v>
      </c>
      <c r="GK125" t="s">
        <v>59</v>
      </c>
      <c r="GL125" t="s">
        <v>60</v>
      </c>
      <c r="GM125" t="s">
        <v>60</v>
      </c>
      <c r="GN125" t="s">
        <v>59</v>
      </c>
      <c r="GO125" t="s">
        <v>59</v>
      </c>
      <c r="GP125" t="s">
        <v>59</v>
      </c>
      <c r="GQ125" t="s">
        <v>59</v>
      </c>
      <c r="GR125" t="s">
        <v>59</v>
      </c>
      <c r="GS125" t="s">
        <v>59</v>
      </c>
      <c r="GT125" t="s">
        <v>191</v>
      </c>
      <c r="GU125" t="s">
        <v>191</v>
      </c>
      <c r="GV125" t="s">
        <v>59</v>
      </c>
      <c r="GW125" t="s">
        <v>59</v>
      </c>
      <c r="GX125" t="s">
        <v>59</v>
      </c>
      <c r="GY125" t="s">
        <v>59</v>
      </c>
      <c r="GZ125" t="s">
        <v>191</v>
      </c>
      <c r="HA125" t="s">
        <v>59</v>
      </c>
      <c r="HB125" t="s">
        <v>191</v>
      </c>
      <c r="HC125" t="s">
        <v>59</v>
      </c>
      <c r="HD125" t="s">
        <v>60</v>
      </c>
      <c r="HE125" t="s">
        <v>60</v>
      </c>
      <c r="HF125" t="s">
        <v>191</v>
      </c>
      <c r="HG125" t="s">
        <v>60</v>
      </c>
      <c r="HH125" t="s">
        <v>60</v>
      </c>
      <c r="HI125" t="s">
        <v>59</v>
      </c>
      <c r="HJ125" t="s">
        <v>59</v>
      </c>
      <c r="HK125" t="s">
        <v>59</v>
      </c>
      <c r="HL125" t="s">
        <v>59</v>
      </c>
      <c r="HM125" t="s">
        <v>59</v>
      </c>
      <c r="HN125" t="s">
        <v>59</v>
      </c>
      <c r="HO125" t="s">
        <v>59</v>
      </c>
      <c r="HP125" t="s">
        <v>59</v>
      </c>
      <c r="HQ125" t="s">
        <v>59</v>
      </c>
      <c r="HR125" t="s">
        <v>59</v>
      </c>
      <c r="HS125" t="s">
        <v>59</v>
      </c>
      <c r="HT125" t="s">
        <v>59</v>
      </c>
      <c r="HU125" t="s">
        <v>59</v>
      </c>
      <c r="HV125" t="s">
        <v>59</v>
      </c>
      <c r="HW125" t="s">
        <v>59</v>
      </c>
      <c r="HX125" t="s">
        <v>59</v>
      </c>
      <c r="HY125" t="s">
        <v>59</v>
      </c>
      <c r="HZ125" t="s">
        <v>59</v>
      </c>
      <c r="IA125" t="s">
        <v>59</v>
      </c>
      <c r="IB125" t="s">
        <v>59</v>
      </c>
      <c r="IC125" t="s">
        <v>59</v>
      </c>
      <c r="ID125" t="s">
        <v>59</v>
      </c>
      <c r="IE125" t="s">
        <v>59</v>
      </c>
      <c r="IF125" t="s">
        <v>60</v>
      </c>
      <c r="IG125" t="s">
        <v>60</v>
      </c>
      <c r="IH125" t="s">
        <v>60</v>
      </c>
      <c r="II125" t="s">
        <v>60</v>
      </c>
      <c r="IJ125" t="s">
        <v>129</v>
      </c>
      <c r="IK125" t="s">
        <v>198</v>
      </c>
      <c r="IL125" t="s">
        <v>128</v>
      </c>
      <c r="IM125" t="s">
        <v>199</v>
      </c>
      <c r="IN125">
        <v>25</v>
      </c>
      <c r="IO125" t="s">
        <v>2730</v>
      </c>
      <c r="IP125">
        <v>2</v>
      </c>
      <c r="IQ125">
        <v>5</v>
      </c>
      <c r="IR125">
        <v>15</v>
      </c>
      <c r="IS125" t="s">
        <v>2730</v>
      </c>
      <c r="IT125" t="s">
        <v>2730</v>
      </c>
      <c r="IU125" t="s">
        <v>2730</v>
      </c>
      <c r="IV125">
        <v>6</v>
      </c>
      <c r="IW125" t="s">
        <v>2730</v>
      </c>
      <c r="IX125" t="s">
        <v>2730</v>
      </c>
      <c r="IY125">
        <v>13</v>
      </c>
      <c r="IZ125">
        <v>14</v>
      </c>
      <c r="JA125" t="s">
        <v>2730</v>
      </c>
      <c r="JB125">
        <v>20</v>
      </c>
      <c r="JC125">
        <v>25</v>
      </c>
      <c r="JD125">
        <v>25</v>
      </c>
      <c r="JE125" t="s">
        <v>2730</v>
      </c>
      <c r="JF125">
        <v>1</v>
      </c>
      <c r="JG125" t="s">
        <v>2730</v>
      </c>
      <c r="JH125">
        <v>19</v>
      </c>
      <c r="JI125" t="s">
        <v>2730</v>
      </c>
      <c r="JJ125">
        <v>5</v>
      </c>
      <c r="JK125">
        <v>6</v>
      </c>
      <c r="JL125">
        <v>16</v>
      </c>
      <c r="JM125" t="s">
        <v>2730</v>
      </c>
      <c r="JN125" t="s">
        <v>2730</v>
      </c>
      <c r="JO125" t="s">
        <v>2730</v>
      </c>
      <c r="JP125" t="s">
        <v>2730</v>
      </c>
      <c r="JQ125">
        <v>4</v>
      </c>
    </row>
    <row r="126" spans="1:277">
      <c r="A126" s="149" t="str">
        <f>HYPERLINK("http://www.ofsted.gov.uk/inspection-reports/find-inspection-report/provider/ELS/102939 ","Ofsted School Webpage")</f>
        <v>Ofsted School Webpage</v>
      </c>
      <c r="B126">
        <v>1134217</v>
      </c>
      <c r="C126">
        <v>102939</v>
      </c>
      <c r="D126">
        <v>3186055</v>
      </c>
      <c r="E126" t="s">
        <v>231</v>
      </c>
      <c r="F126" t="s">
        <v>37</v>
      </c>
      <c r="G126" t="s">
        <v>209</v>
      </c>
      <c r="H126" t="s">
        <v>232</v>
      </c>
      <c r="I126" t="s">
        <v>232</v>
      </c>
      <c r="J126" t="s">
        <v>233</v>
      </c>
      <c r="K126" t="s">
        <v>234</v>
      </c>
      <c r="L126" t="s">
        <v>184</v>
      </c>
      <c r="M126" t="s">
        <v>185</v>
      </c>
      <c r="N126" t="s">
        <v>212</v>
      </c>
      <c r="O126" t="s">
        <v>2730</v>
      </c>
      <c r="P126" t="s">
        <v>186</v>
      </c>
      <c r="Q126">
        <v>10038158</v>
      </c>
      <c r="R126" s="120">
        <v>42990</v>
      </c>
      <c r="S126" s="120">
        <v>42992</v>
      </c>
      <c r="T126" s="120">
        <v>43020</v>
      </c>
      <c r="U126" t="s">
        <v>2730</v>
      </c>
      <c r="V126" t="s">
        <v>196</v>
      </c>
      <c r="W126" t="s">
        <v>2730</v>
      </c>
      <c r="X126" t="s">
        <v>197</v>
      </c>
      <c r="Y126">
        <v>1</v>
      </c>
      <c r="Z126">
        <v>1</v>
      </c>
      <c r="AA126">
        <v>1</v>
      </c>
      <c r="AB126">
        <v>1</v>
      </c>
      <c r="AC126">
        <v>1</v>
      </c>
      <c r="AD126">
        <v>1</v>
      </c>
      <c r="AE126" t="s">
        <v>2730</v>
      </c>
      <c r="AF126" t="s">
        <v>128</v>
      </c>
      <c r="AG126" t="s">
        <v>2730</v>
      </c>
      <c r="AH126" t="s">
        <v>2732</v>
      </c>
      <c r="AI126" t="s">
        <v>59</v>
      </c>
      <c r="AJ126" t="s">
        <v>59</v>
      </c>
      <c r="AK126" t="s">
        <v>59</v>
      </c>
      <c r="AL126" t="s">
        <v>59</v>
      </c>
      <c r="AM126" t="s">
        <v>59</v>
      </c>
      <c r="AN126" t="s">
        <v>59</v>
      </c>
      <c r="AO126" t="s">
        <v>59</v>
      </c>
      <c r="AP126" t="s">
        <v>59</v>
      </c>
      <c r="AQ126" t="s">
        <v>59</v>
      </c>
      <c r="AR126" t="s">
        <v>59</v>
      </c>
      <c r="AS126" t="s">
        <v>59</v>
      </c>
      <c r="AT126" t="s">
        <v>59</v>
      </c>
      <c r="AU126" t="s">
        <v>59</v>
      </c>
      <c r="AV126" t="s">
        <v>59</v>
      </c>
      <c r="AW126" t="s">
        <v>59</v>
      </c>
      <c r="AX126" t="s">
        <v>59</v>
      </c>
      <c r="AY126" t="s">
        <v>191</v>
      </c>
      <c r="AZ126" t="s">
        <v>59</v>
      </c>
      <c r="BA126" t="s">
        <v>59</v>
      </c>
      <c r="BB126" t="s">
        <v>59</v>
      </c>
      <c r="BC126" t="s">
        <v>191</v>
      </c>
      <c r="BD126" t="s">
        <v>191</v>
      </c>
      <c r="BE126" t="s">
        <v>191</v>
      </c>
      <c r="BF126" t="s">
        <v>191</v>
      </c>
      <c r="BG126" t="s">
        <v>59</v>
      </c>
      <c r="BH126" t="s">
        <v>191</v>
      </c>
      <c r="BI126" t="s">
        <v>59</v>
      </c>
      <c r="BJ126" t="s">
        <v>59</v>
      </c>
      <c r="BK126" t="s">
        <v>59</v>
      </c>
      <c r="BL126" t="s">
        <v>59</v>
      </c>
      <c r="BM126" t="s">
        <v>59</v>
      </c>
      <c r="BN126" t="s">
        <v>59</v>
      </c>
      <c r="BO126" t="s">
        <v>59</v>
      </c>
      <c r="BP126" t="s">
        <v>59</v>
      </c>
      <c r="BQ126" t="s">
        <v>59</v>
      </c>
      <c r="BR126" t="s">
        <v>59</v>
      </c>
      <c r="BS126" t="s">
        <v>59</v>
      </c>
      <c r="BT126" t="s">
        <v>59</v>
      </c>
      <c r="BU126" t="s">
        <v>59</v>
      </c>
      <c r="BV126" t="s">
        <v>59</v>
      </c>
      <c r="BW126" t="s">
        <v>59</v>
      </c>
      <c r="BX126" t="s">
        <v>59</v>
      </c>
      <c r="BY126" t="s">
        <v>59</v>
      </c>
      <c r="BZ126" t="s">
        <v>59</v>
      </c>
      <c r="CA126" t="s">
        <v>59</v>
      </c>
      <c r="CB126" t="s">
        <v>59</v>
      </c>
      <c r="CC126" t="s">
        <v>59</v>
      </c>
      <c r="CD126" t="s">
        <v>59</v>
      </c>
      <c r="CE126" t="s">
        <v>59</v>
      </c>
      <c r="CF126" t="s">
        <v>59</v>
      </c>
      <c r="CG126" t="s">
        <v>59</v>
      </c>
      <c r="CH126" t="s">
        <v>59</v>
      </c>
      <c r="CI126" t="s">
        <v>59</v>
      </c>
      <c r="CJ126" t="s">
        <v>59</v>
      </c>
      <c r="CK126" t="s">
        <v>59</v>
      </c>
      <c r="CL126" t="s">
        <v>59</v>
      </c>
      <c r="CM126" t="s">
        <v>59</v>
      </c>
      <c r="CN126" t="s">
        <v>59</v>
      </c>
      <c r="CO126" t="s">
        <v>191</v>
      </c>
      <c r="CP126" t="s">
        <v>191</v>
      </c>
      <c r="CQ126" t="s">
        <v>191</v>
      </c>
      <c r="CR126" t="s">
        <v>59</v>
      </c>
      <c r="CS126" t="s">
        <v>59</v>
      </c>
      <c r="CT126" t="s">
        <v>59</v>
      </c>
      <c r="CU126" t="s">
        <v>59</v>
      </c>
      <c r="CV126" t="s">
        <v>59</v>
      </c>
      <c r="CW126" t="s">
        <v>59</v>
      </c>
      <c r="CX126" t="s">
        <v>59</v>
      </c>
      <c r="CY126" t="s">
        <v>59</v>
      </c>
      <c r="CZ126" t="s">
        <v>59</v>
      </c>
      <c r="DA126" t="s">
        <v>59</v>
      </c>
      <c r="DB126" t="s">
        <v>59</v>
      </c>
      <c r="DC126" t="s">
        <v>59</v>
      </c>
      <c r="DD126" t="s">
        <v>59</v>
      </c>
      <c r="DE126" t="s">
        <v>59</v>
      </c>
      <c r="DF126" t="s">
        <v>59</v>
      </c>
      <c r="DG126" t="s">
        <v>59</v>
      </c>
      <c r="DH126" t="s">
        <v>59</v>
      </c>
      <c r="DI126" t="s">
        <v>59</v>
      </c>
      <c r="DJ126" t="s">
        <v>59</v>
      </c>
      <c r="DK126" t="s">
        <v>59</v>
      </c>
      <c r="DL126" t="s">
        <v>59</v>
      </c>
      <c r="DM126" t="s">
        <v>59</v>
      </c>
      <c r="DN126" t="s">
        <v>59</v>
      </c>
      <c r="DO126" t="s">
        <v>191</v>
      </c>
      <c r="DP126" t="s">
        <v>59</v>
      </c>
      <c r="DQ126" t="s">
        <v>191</v>
      </c>
      <c r="DR126" t="s">
        <v>191</v>
      </c>
      <c r="DS126" t="s">
        <v>191</v>
      </c>
      <c r="DT126" t="s">
        <v>191</v>
      </c>
      <c r="DU126" t="s">
        <v>191</v>
      </c>
      <c r="DV126" t="s">
        <v>191</v>
      </c>
      <c r="DW126" t="s">
        <v>191</v>
      </c>
      <c r="DX126" t="s">
        <v>191</v>
      </c>
      <c r="DY126" t="s">
        <v>191</v>
      </c>
      <c r="DZ126" t="s">
        <v>191</v>
      </c>
      <c r="EA126" t="s">
        <v>191</v>
      </c>
      <c r="EB126" t="s">
        <v>191</v>
      </c>
      <c r="EC126" t="s">
        <v>191</v>
      </c>
      <c r="ED126" t="s">
        <v>191</v>
      </c>
      <c r="EE126" t="s">
        <v>59</v>
      </c>
      <c r="EF126" t="s">
        <v>59</v>
      </c>
      <c r="EG126" t="s">
        <v>59</v>
      </c>
      <c r="EH126" t="s">
        <v>59</v>
      </c>
      <c r="EI126" t="s">
        <v>59</v>
      </c>
      <c r="EJ126" t="s">
        <v>59</v>
      </c>
      <c r="EK126" t="s">
        <v>59</v>
      </c>
      <c r="EL126" t="s">
        <v>59</v>
      </c>
      <c r="EM126" t="s">
        <v>59</v>
      </c>
      <c r="EN126" t="s">
        <v>59</v>
      </c>
      <c r="EO126" t="s">
        <v>59</v>
      </c>
      <c r="EP126" t="s">
        <v>59</v>
      </c>
      <c r="EQ126" t="s">
        <v>59</v>
      </c>
      <c r="ER126" t="s">
        <v>59</v>
      </c>
      <c r="ES126" t="s">
        <v>59</v>
      </c>
      <c r="ET126" t="s">
        <v>59</v>
      </c>
      <c r="EU126" t="s">
        <v>59</v>
      </c>
      <c r="EV126" t="s">
        <v>59</v>
      </c>
      <c r="EW126" t="s">
        <v>59</v>
      </c>
      <c r="EX126" t="s">
        <v>59</v>
      </c>
      <c r="EY126" t="s">
        <v>59</v>
      </c>
      <c r="EZ126" t="s">
        <v>59</v>
      </c>
      <c r="FA126" t="s">
        <v>59</v>
      </c>
      <c r="FB126" t="s">
        <v>191</v>
      </c>
      <c r="FC126" t="s">
        <v>191</v>
      </c>
      <c r="FD126" t="s">
        <v>191</v>
      </c>
      <c r="FE126" t="s">
        <v>191</v>
      </c>
      <c r="FF126" t="s">
        <v>191</v>
      </c>
      <c r="FG126" t="s">
        <v>191</v>
      </c>
      <c r="FH126" t="s">
        <v>59</v>
      </c>
      <c r="FI126" t="s">
        <v>59</v>
      </c>
      <c r="FJ126" t="s">
        <v>59</v>
      </c>
      <c r="FK126" t="s">
        <v>59</v>
      </c>
      <c r="FL126" t="s">
        <v>59</v>
      </c>
      <c r="FM126" t="s">
        <v>59</v>
      </c>
      <c r="FN126" t="s">
        <v>59</v>
      </c>
      <c r="FO126" t="s">
        <v>191</v>
      </c>
      <c r="FP126" t="s">
        <v>191</v>
      </c>
      <c r="FQ126" t="s">
        <v>59</v>
      </c>
      <c r="FR126" t="s">
        <v>59</v>
      </c>
      <c r="FS126" t="s">
        <v>191</v>
      </c>
      <c r="FT126" t="s">
        <v>59</v>
      </c>
      <c r="FU126" t="s">
        <v>59</v>
      </c>
      <c r="FV126" t="s">
        <v>59</v>
      </c>
      <c r="FW126" t="s">
        <v>59</v>
      </c>
      <c r="FX126" t="s">
        <v>59</v>
      </c>
      <c r="FY126" t="s">
        <v>59</v>
      </c>
      <c r="FZ126" t="s">
        <v>59</v>
      </c>
      <c r="GA126" t="s">
        <v>59</v>
      </c>
      <c r="GB126" t="s">
        <v>59</v>
      </c>
      <c r="GC126" t="s">
        <v>59</v>
      </c>
      <c r="GD126" t="s">
        <v>59</v>
      </c>
      <c r="GE126" t="s">
        <v>59</v>
      </c>
      <c r="GF126" t="s">
        <v>203</v>
      </c>
      <c r="GG126" t="s">
        <v>59</v>
      </c>
      <c r="GH126" t="s">
        <v>59</v>
      </c>
      <c r="GI126" t="s">
        <v>59</v>
      </c>
      <c r="GJ126" t="s">
        <v>59</v>
      </c>
      <c r="GK126" t="s">
        <v>191</v>
      </c>
      <c r="GL126" t="s">
        <v>59</v>
      </c>
      <c r="GM126" t="s">
        <v>59</v>
      </c>
      <c r="GN126" t="s">
        <v>59</v>
      </c>
      <c r="GO126" t="s">
        <v>59</v>
      </c>
      <c r="GP126" t="s">
        <v>59</v>
      </c>
      <c r="GQ126" t="s">
        <v>59</v>
      </c>
      <c r="GR126" t="s">
        <v>59</v>
      </c>
      <c r="GS126" t="s">
        <v>59</v>
      </c>
      <c r="GT126" t="s">
        <v>191</v>
      </c>
      <c r="GU126" t="s">
        <v>191</v>
      </c>
      <c r="GV126" t="s">
        <v>59</v>
      </c>
      <c r="GW126" t="s">
        <v>59</v>
      </c>
      <c r="GX126" t="s">
        <v>59</v>
      </c>
      <c r="GY126" t="s">
        <v>59</v>
      </c>
      <c r="GZ126" t="s">
        <v>59</v>
      </c>
      <c r="HA126" t="s">
        <v>191</v>
      </c>
      <c r="HB126" t="s">
        <v>59</v>
      </c>
      <c r="HC126" t="s">
        <v>59</v>
      </c>
      <c r="HD126" t="s">
        <v>59</v>
      </c>
      <c r="HE126" t="s">
        <v>59</v>
      </c>
      <c r="HF126" t="s">
        <v>59</v>
      </c>
      <c r="HG126" t="s">
        <v>59</v>
      </c>
      <c r="HH126" t="s">
        <v>59</v>
      </c>
      <c r="HI126" t="s">
        <v>59</v>
      </c>
      <c r="HJ126" t="s">
        <v>59</v>
      </c>
      <c r="HK126" t="s">
        <v>59</v>
      </c>
      <c r="HL126" t="s">
        <v>59</v>
      </c>
      <c r="HM126" t="s">
        <v>59</v>
      </c>
      <c r="HN126" t="s">
        <v>59</v>
      </c>
      <c r="HO126" t="s">
        <v>59</v>
      </c>
      <c r="HP126" t="s">
        <v>59</v>
      </c>
      <c r="HQ126" t="s">
        <v>59</v>
      </c>
      <c r="HR126" t="s">
        <v>59</v>
      </c>
      <c r="HS126" t="s">
        <v>59</v>
      </c>
      <c r="HT126" t="s">
        <v>59</v>
      </c>
      <c r="HU126" t="s">
        <v>59</v>
      </c>
      <c r="HV126" t="s">
        <v>59</v>
      </c>
      <c r="HW126" t="s">
        <v>59</v>
      </c>
      <c r="HX126" t="s">
        <v>59</v>
      </c>
      <c r="HY126" t="s">
        <v>59</v>
      </c>
      <c r="HZ126" t="s">
        <v>59</v>
      </c>
      <c r="IA126" t="s">
        <v>59</v>
      </c>
      <c r="IB126" t="s">
        <v>59</v>
      </c>
      <c r="IC126" t="s">
        <v>59</v>
      </c>
      <c r="ID126" t="s">
        <v>59</v>
      </c>
      <c r="IE126" t="s">
        <v>59</v>
      </c>
      <c r="IF126" t="s">
        <v>59</v>
      </c>
      <c r="IG126" t="s">
        <v>59</v>
      </c>
      <c r="IH126" t="s">
        <v>59</v>
      </c>
      <c r="II126" t="s">
        <v>59</v>
      </c>
      <c r="IJ126" t="s">
        <v>129</v>
      </c>
      <c r="IK126" t="s">
        <v>198</v>
      </c>
      <c r="IL126" t="s">
        <v>128</v>
      </c>
      <c r="IM126" t="s">
        <v>199</v>
      </c>
      <c r="IN126">
        <v>26</v>
      </c>
      <c r="IO126" t="s">
        <v>2730</v>
      </c>
      <c r="IP126">
        <v>6</v>
      </c>
      <c r="IQ126" t="s">
        <v>2730</v>
      </c>
      <c r="IR126">
        <v>15</v>
      </c>
      <c r="IS126" t="s">
        <v>2730</v>
      </c>
      <c r="IT126" t="s">
        <v>2730</v>
      </c>
      <c r="IU126" t="s">
        <v>2730</v>
      </c>
      <c r="IV126">
        <v>16</v>
      </c>
      <c r="IW126" t="s">
        <v>2730</v>
      </c>
      <c r="IX126">
        <v>3</v>
      </c>
      <c r="IY126" t="s">
        <v>2730</v>
      </c>
      <c r="IZ126">
        <v>38</v>
      </c>
      <c r="JA126" t="s">
        <v>2730</v>
      </c>
      <c r="JB126">
        <v>21</v>
      </c>
      <c r="JC126" t="s">
        <v>2730</v>
      </c>
      <c r="JD126">
        <v>21</v>
      </c>
      <c r="JE126">
        <v>1</v>
      </c>
      <c r="JF126">
        <v>4</v>
      </c>
      <c r="JG126" t="s">
        <v>2730</v>
      </c>
      <c r="JH126">
        <v>27</v>
      </c>
      <c r="JI126" t="s">
        <v>2730</v>
      </c>
      <c r="JJ126">
        <v>3</v>
      </c>
      <c r="JK126" t="s">
        <v>2730</v>
      </c>
      <c r="JL126">
        <v>16</v>
      </c>
      <c r="JM126" t="s">
        <v>2730</v>
      </c>
      <c r="JN126" t="s">
        <v>2730</v>
      </c>
      <c r="JO126">
        <v>4</v>
      </c>
      <c r="JP126" t="s">
        <v>2730</v>
      </c>
      <c r="JQ126" t="s">
        <v>2730</v>
      </c>
    </row>
    <row r="127" spans="1:277">
      <c r="A127" s="149" t="str">
        <f>HYPERLINK("http://www.ofsted.gov.uk/inspection-reports/find-inspection-report/provider/ELS/143038 ","Ofsted School Webpage")</f>
        <v>Ofsted School Webpage</v>
      </c>
      <c r="B127">
        <v>1241483</v>
      </c>
      <c r="C127">
        <v>143038</v>
      </c>
      <c r="D127">
        <v>3336011</v>
      </c>
      <c r="E127" t="s">
        <v>353</v>
      </c>
      <c r="F127" t="s">
        <v>37</v>
      </c>
      <c r="G127" t="s">
        <v>209</v>
      </c>
      <c r="H127" t="s">
        <v>193</v>
      </c>
      <c r="I127" t="s">
        <v>193</v>
      </c>
      <c r="J127" t="s">
        <v>354</v>
      </c>
      <c r="K127" t="s">
        <v>355</v>
      </c>
      <c r="L127" t="s">
        <v>184</v>
      </c>
      <c r="M127" t="s">
        <v>185</v>
      </c>
      <c r="N127" t="s">
        <v>184</v>
      </c>
      <c r="O127" t="s">
        <v>2730</v>
      </c>
      <c r="P127" t="s">
        <v>186</v>
      </c>
      <c r="Q127">
        <v>10033587</v>
      </c>
      <c r="R127" s="120">
        <v>43018</v>
      </c>
      <c r="S127" s="120">
        <v>43020</v>
      </c>
      <c r="T127" s="120">
        <v>43060</v>
      </c>
      <c r="U127" t="s">
        <v>2730</v>
      </c>
      <c r="V127" t="s">
        <v>249</v>
      </c>
      <c r="W127" t="s">
        <v>2730</v>
      </c>
      <c r="X127" t="s">
        <v>197</v>
      </c>
      <c r="Y127">
        <v>2</v>
      </c>
      <c r="Z127">
        <v>2</v>
      </c>
      <c r="AA127">
        <v>2</v>
      </c>
      <c r="AB127">
        <v>2</v>
      </c>
      <c r="AC127">
        <v>2</v>
      </c>
      <c r="AD127" t="s">
        <v>2730</v>
      </c>
      <c r="AE127">
        <v>2</v>
      </c>
      <c r="AF127" t="s">
        <v>128</v>
      </c>
      <c r="AG127" t="s">
        <v>2730</v>
      </c>
      <c r="AH127" t="s">
        <v>2732</v>
      </c>
      <c r="AI127" t="s">
        <v>59</v>
      </c>
      <c r="AJ127" t="s">
        <v>59</v>
      </c>
      <c r="AK127" t="s">
        <v>59</v>
      </c>
      <c r="AL127" t="s">
        <v>59</v>
      </c>
      <c r="AM127" t="s">
        <v>59</v>
      </c>
      <c r="AN127" t="s">
        <v>59</v>
      </c>
      <c r="AO127" t="s">
        <v>59</v>
      </c>
      <c r="AP127" t="s">
        <v>59</v>
      </c>
      <c r="AQ127" t="s">
        <v>59</v>
      </c>
      <c r="AR127" t="s">
        <v>59</v>
      </c>
      <c r="AS127" t="s">
        <v>59</v>
      </c>
      <c r="AT127" t="s">
        <v>59</v>
      </c>
      <c r="AU127" t="s">
        <v>59</v>
      </c>
      <c r="AV127" t="s">
        <v>59</v>
      </c>
      <c r="AW127" t="s">
        <v>59</v>
      </c>
      <c r="AX127" t="s">
        <v>59</v>
      </c>
      <c r="AY127" t="s">
        <v>59</v>
      </c>
      <c r="AZ127" t="s">
        <v>59</v>
      </c>
      <c r="BA127" t="s">
        <v>59</v>
      </c>
      <c r="BB127" t="s">
        <v>59</v>
      </c>
      <c r="BC127" t="s">
        <v>59</v>
      </c>
      <c r="BD127" t="s">
        <v>59</v>
      </c>
      <c r="BE127" t="s">
        <v>59</v>
      </c>
      <c r="BF127" t="s">
        <v>59</v>
      </c>
      <c r="BG127" t="s">
        <v>59</v>
      </c>
      <c r="BH127" t="s">
        <v>59</v>
      </c>
      <c r="BI127" t="s">
        <v>59</v>
      </c>
      <c r="BJ127" t="s">
        <v>59</v>
      </c>
      <c r="BK127" t="s">
        <v>59</v>
      </c>
      <c r="BL127" t="s">
        <v>59</v>
      </c>
      <c r="BM127" t="s">
        <v>59</v>
      </c>
      <c r="BN127" t="s">
        <v>59</v>
      </c>
      <c r="BO127" t="s">
        <v>59</v>
      </c>
      <c r="BP127" t="s">
        <v>59</v>
      </c>
      <c r="BQ127" t="s">
        <v>59</v>
      </c>
      <c r="BR127" t="s">
        <v>59</v>
      </c>
      <c r="BS127" t="s">
        <v>59</v>
      </c>
      <c r="BT127" t="s">
        <v>59</v>
      </c>
      <c r="BU127" t="s">
        <v>59</v>
      </c>
      <c r="BV127" t="s">
        <v>59</v>
      </c>
      <c r="BW127" t="s">
        <v>59</v>
      </c>
      <c r="BX127" t="s">
        <v>59</v>
      </c>
      <c r="BY127" t="s">
        <v>59</v>
      </c>
      <c r="BZ127" t="s">
        <v>59</v>
      </c>
      <c r="CA127" t="s">
        <v>59</v>
      </c>
      <c r="CB127" t="s">
        <v>59</v>
      </c>
      <c r="CC127" t="s">
        <v>59</v>
      </c>
      <c r="CD127" t="s">
        <v>59</v>
      </c>
      <c r="CE127" t="s">
        <v>59</v>
      </c>
      <c r="CF127" t="s">
        <v>59</v>
      </c>
      <c r="CG127" t="s">
        <v>59</v>
      </c>
      <c r="CH127" t="s">
        <v>59</v>
      </c>
      <c r="CI127" t="s">
        <v>59</v>
      </c>
      <c r="CJ127" t="s">
        <v>59</v>
      </c>
      <c r="CK127" t="s">
        <v>59</v>
      </c>
      <c r="CL127" t="s">
        <v>59</v>
      </c>
      <c r="CM127" t="s">
        <v>59</v>
      </c>
      <c r="CN127" t="s">
        <v>59</v>
      </c>
      <c r="CO127" t="s">
        <v>59</v>
      </c>
      <c r="CP127" t="s">
        <v>59</v>
      </c>
      <c r="CQ127" t="s">
        <v>59</v>
      </c>
      <c r="CR127" t="s">
        <v>59</v>
      </c>
      <c r="CS127" t="s">
        <v>59</v>
      </c>
      <c r="CT127" t="s">
        <v>59</v>
      </c>
      <c r="CU127" t="s">
        <v>59</v>
      </c>
      <c r="CV127" t="s">
        <v>59</v>
      </c>
      <c r="CW127" t="s">
        <v>59</v>
      </c>
      <c r="CX127" t="s">
        <v>59</v>
      </c>
      <c r="CY127" t="s">
        <v>59</v>
      </c>
      <c r="CZ127" t="s">
        <v>59</v>
      </c>
      <c r="DA127" t="s">
        <v>59</v>
      </c>
      <c r="DB127" t="s">
        <v>59</v>
      </c>
      <c r="DC127" t="s">
        <v>59</v>
      </c>
      <c r="DD127" t="s">
        <v>59</v>
      </c>
      <c r="DE127" t="s">
        <v>59</v>
      </c>
      <c r="DF127" t="s">
        <v>59</v>
      </c>
      <c r="DG127" t="s">
        <v>59</v>
      </c>
      <c r="DH127" t="s">
        <v>59</v>
      </c>
      <c r="DI127" t="s">
        <v>59</v>
      </c>
      <c r="DJ127" t="s">
        <v>59</v>
      </c>
      <c r="DK127" t="s">
        <v>59</v>
      </c>
      <c r="DL127" t="s">
        <v>59</v>
      </c>
      <c r="DM127" t="s">
        <v>59</v>
      </c>
      <c r="DN127" t="s">
        <v>59</v>
      </c>
      <c r="DO127" t="s">
        <v>218</v>
      </c>
      <c r="DP127" t="s">
        <v>59</v>
      </c>
      <c r="DQ127" t="s">
        <v>59</v>
      </c>
      <c r="DR127" t="s">
        <v>59</v>
      </c>
      <c r="DS127" t="s">
        <v>59</v>
      </c>
      <c r="DT127" t="s">
        <v>59</v>
      </c>
      <c r="DU127" t="s">
        <v>59</v>
      </c>
      <c r="DV127" t="s">
        <v>59</v>
      </c>
      <c r="DW127" t="s">
        <v>59</v>
      </c>
      <c r="DX127" t="s">
        <v>59</v>
      </c>
      <c r="DY127" t="s">
        <v>59</v>
      </c>
      <c r="DZ127" t="s">
        <v>59</v>
      </c>
      <c r="EA127" t="s">
        <v>59</v>
      </c>
      <c r="EB127" t="s">
        <v>59</v>
      </c>
      <c r="EC127" t="s">
        <v>59</v>
      </c>
      <c r="ED127" t="s">
        <v>59</v>
      </c>
      <c r="EE127" t="s">
        <v>59</v>
      </c>
      <c r="EF127" t="s">
        <v>59</v>
      </c>
      <c r="EG127" t="s">
        <v>59</v>
      </c>
      <c r="EH127" t="s">
        <v>59</v>
      </c>
      <c r="EI127" t="s">
        <v>59</v>
      </c>
      <c r="EJ127" t="s">
        <v>59</v>
      </c>
      <c r="EK127" t="s">
        <v>59</v>
      </c>
      <c r="EL127" t="s">
        <v>59</v>
      </c>
      <c r="EM127" t="s">
        <v>59</v>
      </c>
      <c r="EN127" t="s">
        <v>59</v>
      </c>
      <c r="EO127" t="s">
        <v>59</v>
      </c>
      <c r="EP127" t="s">
        <v>59</v>
      </c>
      <c r="EQ127" t="s">
        <v>59</v>
      </c>
      <c r="ER127" t="s">
        <v>59</v>
      </c>
      <c r="ES127" t="s">
        <v>59</v>
      </c>
      <c r="ET127" t="s">
        <v>59</v>
      </c>
      <c r="EU127" t="s">
        <v>59</v>
      </c>
      <c r="EV127" t="s">
        <v>59</v>
      </c>
      <c r="EW127" t="s">
        <v>59</v>
      </c>
      <c r="EX127" t="s">
        <v>59</v>
      </c>
      <c r="EY127" t="s">
        <v>59</v>
      </c>
      <c r="EZ127" t="s">
        <v>59</v>
      </c>
      <c r="FA127" t="s">
        <v>59</v>
      </c>
      <c r="FB127" t="s">
        <v>59</v>
      </c>
      <c r="FC127" t="s">
        <v>59</v>
      </c>
      <c r="FD127" t="s">
        <v>59</v>
      </c>
      <c r="FE127" t="s">
        <v>59</v>
      </c>
      <c r="FF127" t="s">
        <v>59</v>
      </c>
      <c r="FG127" t="s">
        <v>59</v>
      </c>
      <c r="FH127" t="s">
        <v>59</v>
      </c>
      <c r="FI127" t="s">
        <v>59</v>
      </c>
      <c r="FJ127" t="s">
        <v>59</v>
      </c>
      <c r="FK127" t="s">
        <v>59</v>
      </c>
      <c r="FL127" t="s">
        <v>59</v>
      </c>
      <c r="FM127" t="s">
        <v>59</v>
      </c>
      <c r="FN127" t="s">
        <v>59</v>
      </c>
      <c r="FO127" t="s">
        <v>59</v>
      </c>
      <c r="FP127" t="s">
        <v>59</v>
      </c>
      <c r="FQ127" t="s">
        <v>59</v>
      </c>
      <c r="FR127" t="s">
        <v>59</v>
      </c>
      <c r="FS127" t="s">
        <v>59</v>
      </c>
      <c r="FT127" t="s">
        <v>59</v>
      </c>
      <c r="FU127" t="s">
        <v>59</v>
      </c>
      <c r="FV127" t="s">
        <v>59</v>
      </c>
      <c r="FW127" t="s">
        <v>59</v>
      </c>
      <c r="FX127" t="s">
        <v>59</v>
      </c>
      <c r="FY127" t="s">
        <v>59</v>
      </c>
      <c r="FZ127" t="s">
        <v>59</v>
      </c>
      <c r="GA127" t="s">
        <v>59</v>
      </c>
      <c r="GB127" t="s">
        <v>59</v>
      </c>
      <c r="GC127" t="s">
        <v>59</v>
      </c>
      <c r="GD127" t="s">
        <v>59</v>
      </c>
      <c r="GE127" t="s">
        <v>59</v>
      </c>
      <c r="GF127" t="s">
        <v>59</v>
      </c>
      <c r="GG127" t="s">
        <v>59</v>
      </c>
      <c r="GH127" t="s">
        <v>59</v>
      </c>
      <c r="GI127" t="s">
        <v>59</v>
      </c>
      <c r="GJ127" t="s">
        <v>59</v>
      </c>
      <c r="GK127" t="s">
        <v>218</v>
      </c>
      <c r="GL127" t="s">
        <v>59</v>
      </c>
      <c r="GM127" t="s">
        <v>59</v>
      </c>
      <c r="GN127" t="s">
        <v>59</v>
      </c>
      <c r="GO127" t="s">
        <v>59</v>
      </c>
      <c r="GP127" t="s">
        <v>59</v>
      </c>
      <c r="GQ127" t="s">
        <v>218</v>
      </c>
      <c r="GR127" t="s">
        <v>59</v>
      </c>
      <c r="GS127" t="s">
        <v>59</v>
      </c>
      <c r="GT127" t="s">
        <v>59</v>
      </c>
      <c r="GU127" t="s">
        <v>59</v>
      </c>
      <c r="GV127" t="s">
        <v>59</v>
      </c>
      <c r="GW127" t="s">
        <v>59</v>
      </c>
      <c r="GX127" t="s">
        <v>59</v>
      </c>
      <c r="GY127" t="s">
        <v>59</v>
      </c>
      <c r="GZ127" t="s">
        <v>59</v>
      </c>
      <c r="HA127" t="s">
        <v>59</v>
      </c>
      <c r="HB127" t="s">
        <v>59</v>
      </c>
      <c r="HC127" t="s">
        <v>59</v>
      </c>
      <c r="HD127" t="s">
        <v>59</v>
      </c>
      <c r="HE127" t="s">
        <v>59</v>
      </c>
      <c r="HF127" t="s">
        <v>59</v>
      </c>
      <c r="HG127" t="s">
        <v>59</v>
      </c>
      <c r="HH127" t="s">
        <v>59</v>
      </c>
      <c r="HI127" t="s">
        <v>59</v>
      </c>
      <c r="HJ127" t="s">
        <v>59</v>
      </c>
      <c r="HK127" t="s">
        <v>59</v>
      </c>
      <c r="HL127" t="s">
        <v>59</v>
      </c>
      <c r="HM127" t="s">
        <v>59</v>
      </c>
      <c r="HN127" t="s">
        <v>59</v>
      </c>
      <c r="HO127" t="s">
        <v>59</v>
      </c>
      <c r="HP127" t="s">
        <v>59</v>
      </c>
      <c r="HQ127" t="s">
        <v>59</v>
      </c>
      <c r="HR127" t="s">
        <v>59</v>
      </c>
      <c r="HS127" t="s">
        <v>59</v>
      </c>
      <c r="HT127" t="s">
        <v>59</v>
      </c>
      <c r="HU127" t="s">
        <v>59</v>
      </c>
      <c r="HV127" t="s">
        <v>59</v>
      </c>
      <c r="HW127" t="s">
        <v>59</v>
      </c>
      <c r="HX127" t="s">
        <v>59</v>
      </c>
      <c r="HY127" t="s">
        <v>59</v>
      </c>
      <c r="HZ127" t="s">
        <v>59</v>
      </c>
      <c r="IA127" t="s">
        <v>59</v>
      </c>
      <c r="IB127" t="s">
        <v>59</v>
      </c>
      <c r="IC127" t="s">
        <v>59</v>
      </c>
      <c r="ID127" t="s">
        <v>59</v>
      </c>
      <c r="IE127" t="s">
        <v>59</v>
      </c>
      <c r="IF127" t="s">
        <v>59</v>
      </c>
      <c r="IG127" t="s">
        <v>59</v>
      </c>
      <c r="IH127" t="s">
        <v>59</v>
      </c>
      <c r="II127" t="s">
        <v>59</v>
      </c>
      <c r="IJ127" t="s">
        <v>129</v>
      </c>
      <c r="IK127" t="s">
        <v>191</v>
      </c>
      <c r="IL127" t="s">
        <v>128</v>
      </c>
      <c r="IM127" t="s">
        <v>199</v>
      </c>
      <c r="IN127">
        <v>32</v>
      </c>
      <c r="IO127" t="s">
        <v>2730</v>
      </c>
      <c r="IP127" t="s">
        <v>2730</v>
      </c>
      <c r="IQ127" t="s">
        <v>2730</v>
      </c>
      <c r="IR127">
        <v>15</v>
      </c>
      <c r="IS127" t="s">
        <v>2730</v>
      </c>
      <c r="IT127" t="s">
        <v>2730</v>
      </c>
      <c r="IU127" t="s">
        <v>2730</v>
      </c>
      <c r="IV127">
        <v>19</v>
      </c>
      <c r="IW127" t="s">
        <v>2730</v>
      </c>
      <c r="IX127" t="s">
        <v>2730</v>
      </c>
      <c r="IY127" t="s">
        <v>2730</v>
      </c>
      <c r="IZ127">
        <v>58</v>
      </c>
      <c r="JA127" t="s">
        <v>2730</v>
      </c>
      <c r="JB127" t="s">
        <v>2730</v>
      </c>
      <c r="JC127" t="s">
        <v>2730</v>
      </c>
      <c r="JD127">
        <v>25</v>
      </c>
      <c r="JE127" t="s">
        <v>2730</v>
      </c>
      <c r="JF127" t="s">
        <v>2730</v>
      </c>
      <c r="JG127" t="s">
        <v>2730</v>
      </c>
      <c r="JH127">
        <v>29</v>
      </c>
      <c r="JI127" t="s">
        <v>2730</v>
      </c>
      <c r="JJ127" t="s">
        <v>2730</v>
      </c>
      <c r="JK127" t="s">
        <v>2730</v>
      </c>
      <c r="JL127">
        <v>16</v>
      </c>
      <c r="JM127" t="s">
        <v>2730</v>
      </c>
      <c r="JN127" t="s">
        <v>2730</v>
      </c>
      <c r="JO127">
        <v>4</v>
      </c>
      <c r="JP127" t="s">
        <v>2730</v>
      </c>
      <c r="JQ127" t="s">
        <v>2730</v>
      </c>
    </row>
    <row r="128" spans="1:277">
      <c r="A128" s="149" t="str">
        <f>HYPERLINK("http://www.ofsted.gov.uk/inspection-reports/find-inspection-report/provider/ELS/143048 ","Ofsted School Webpage")</f>
        <v>Ofsted School Webpage</v>
      </c>
      <c r="B128">
        <v>1243713</v>
      </c>
      <c r="C128">
        <v>143048</v>
      </c>
      <c r="D128">
        <v>3186007</v>
      </c>
      <c r="E128" t="s">
        <v>2690</v>
      </c>
      <c r="F128" t="s">
        <v>37</v>
      </c>
      <c r="G128" t="s">
        <v>209</v>
      </c>
      <c r="H128" t="s">
        <v>232</v>
      </c>
      <c r="I128" t="s">
        <v>232</v>
      </c>
      <c r="J128" t="s">
        <v>233</v>
      </c>
      <c r="K128" t="s">
        <v>2691</v>
      </c>
      <c r="L128" t="s">
        <v>184</v>
      </c>
      <c r="M128" t="s">
        <v>185</v>
      </c>
      <c r="N128" t="s">
        <v>184</v>
      </c>
      <c r="O128" t="s">
        <v>2730</v>
      </c>
      <c r="P128" t="s">
        <v>186</v>
      </c>
      <c r="Q128">
        <v>10041013</v>
      </c>
      <c r="R128" s="120">
        <v>43060</v>
      </c>
      <c r="S128" s="120">
        <v>43062</v>
      </c>
      <c r="T128" s="120">
        <v>43091</v>
      </c>
      <c r="U128" t="s">
        <v>2730</v>
      </c>
      <c r="V128" t="s">
        <v>249</v>
      </c>
      <c r="W128" t="s">
        <v>2730</v>
      </c>
      <c r="X128" t="s">
        <v>197</v>
      </c>
      <c r="Y128">
        <v>2</v>
      </c>
      <c r="Z128">
        <v>2</v>
      </c>
      <c r="AA128">
        <v>2</v>
      </c>
      <c r="AB128">
        <v>2</v>
      </c>
      <c r="AC128">
        <v>2</v>
      </c>
      <c r="AD128" t="s">
        <v>2730</v>
      </c>
      <c r="AE128" t="s">
        <v>2730</v>
      </c>
      <c r="AF128" t="s">
        <v>128</v>
      </c>
      <c r="AG128" t="s">
        <v>2730</v>
      </c>
      <c r="AH128" t="s">
        <v>2732</v>
      </c>
      <c r="AI128" t="s">
        <v>59</v>
      </c>
      <c r="AJ128" t="s">
        <v>59</v>
      </c>
      <c r="AK128" t="s">
        <v>59</v>
      </c>
      <c r="AL128" t="s">
        <v>59</v>
      </c>
      <c r="AM128" t="s">
        <v>59</v>
      </c>
      <c r="AN128" t="s">
        <v>59</v>
      </c>
      <c r="AO128" t="s">
        <v>59</v>
      </c>
      <c r="AP128" t="s">
        <v>59</v>
      </c>
      <c r="AQ128" t="s">
        <v>59</v>
      </c>
      <c r="AR128" t="s">
        <v>59</v>
      </c>
      <c r="AS128" t="s">
        <v>59</v>
      </c>
      <c r="AT128" t="s">
        <v>59</v>
      </c>
      <c r="AU128" t="s">
        <v>59</v>
      </c>
      <c r="AV128" t="s">
        <v>59</v>
      </c>
      <c r="AW128" t="s">
        <v>59</v>
      </c>
      <c r="AX128" t="s">
        <v>59</v>
      </c>
      <c r="AY128" t="s">
        <v>59</v>
      </c>
      <c r="AZ128" t="s">
        <v>59</v>
      </c>
      <c r="BA128" t="s">
        <v>59</v>
      </c>
      <c r="BB128" t="s">
        <v>59</v>
      </c>
      <c r="BC128" t="s">
        <v>218</v>
      </c>
      <c r="BD128" t="s">
        <v>218</v>
      </c>
      <c r="BE128" t="s">
        <v>218</v>
      </c>
      <c r="BF128" t="s">
        <v>218</v>
      </c>
      <c r="BG128" t="s">
        <v>218</v>
      </c>
      <c r="BH128" t="s">
        <v>218</v>
      </c>
      <c r="BI128" t="s">
        <v>59</v>
      </c>
      <c r="BJ128" t="s">
        <v>59</v>
      </c>
      <c r="BK128" t="s">
        <v>59</v>
      </c>
      <c r="BL128" t="s">
        <v>59</v>
      </c>
      <c r="BM128" t="s">
        <v>59</v>
      </c>
      <c r="BN128" t="s">
        <v>59</v>
      </c>
      <c r="BO128" t="s">
        <v>59</v>
      </c>
      <c r="BP128" t="s">
        <v>59</v>
      </c>
      <c r="BQ128" t="s">
        <v>59</v>
      </c>
      <c r="BR128" t="s">
        <v>59</v>
      </c>
      <c r="BS128" t="s">
        <v>59</v>
      </c>
      <c r="BT128" t="s">
        <v>59</v>
      </c>
      <c r="BU128" t="s">
        <v>59</v>
      </c>
      <c r="BV128" t="s">
        <v>59</v>
      </c>
      <c r="BW128" t="s">
        <v>59</v>
      </c>
      <c r="BX128" t="s">
        <v>59</v>
      </c>
      <c r="BY128" t="s">
        <v>2730</v>
      </c>
      <c r="BZ128" t="s">
        <v>59</v>
      </c>
      <c r="CA128" t="s">
        <v>59</v>
      </c>
      <c r="CB128" t="s">
        <v>59</v>
      </c>
      <c r="CC128" t="s">
        <v>59</v>
      </c>
      <c r="CD128" t="s">
        <v>59</v>
      </c>
      <c r="CE128" t="s">
        <v>59</v>
      </c>
      <c r="CF128" t="s">
        <v>59</v>
      </c>
      <c r="CG128" t="s">
        <v>59</v>
      </c>
      <c r="CH128" t="s">
        <v>59</v>
      </c>
      <c r="CI128" t="s">
        <v>59</v>
      </c>
      <c r="CJ128" t="s">
        <v>59</v>
      </c>
      <c r="CK128" t="s">
        <v>59</v>
      </c>
      <c r="CL128" t="s">
        <v>59</v>
      </c>
      <c r="CM128" t="s">
        <v>59</v>
      </c>
      <c r="CN128" t="s">
        <v>59</v>
      </c>
      <c r="CO128" t="s">
        <v>59</v>
      </c>
      <c r="CP128" t="s">
        <v>218</v>
      </c>
      <c r="CQ128" t="s">
        <v>218</v>
      </c>
      <c r="CR128" t="s">
        <v>59</v>
      </c>
      <c r="CS128" t="s">
        <v>59</v>
      </c>
      <c r="CT128" t="s">
        <v>59</v>
      </c>
      <c r="CU128" t="s">
        <v>2730</v>
      </c>
      <c r="CV128" t="s">
        <v>59</v>
      </c>
      <c r="CW128" t="s">
        <v>59</v>
      </c>
      <c r="CX128" t="s">
        <v>59</v>
      </c>
      <c r="CY128" t="s">
        <v>59</v>
      </c>
      <c r="CZ128" t="s">
        <v>59</v>
      </c>
      <c r="DA128" t="s">
        <v>59</v>
      </c>
      <c r="DB128" t="s">
        <v>59</v>
      </c>
      <c r="DC128" t="s">
        <v>59</v>
      </c>
      <c r="DD128" t="s">
        <v>59</v>
      </c>
      <c r="DE128" t="s">
        <v>59</v>
      </c>
      <c r="DF128" t="s">
        <v>59</v>
      </c>
      <c r="DG128" t="s">
        <v>59</v>
      </c>
      <c r="DH128" t="s">
        <v>59</v>
      </c>
      <c r="DI128" t="s">
        <v>59</v>
      </c>
      <c r="DJ128" t="s">
        <v>59</v>
      </c>
      <c r="DK128" t="s">
        <v>59</v>
      </c>
      <c r="DL128" t="s">
        <v>59</v>
      </c>
      <c r="DM128" t="s">
        <v>59</v>
      </c>
      <c r="DN128" t="s">
        <v>59</v>
      </c>
      <c r="DO128" t="s">
        <v>218</v>
      </c>
      <c r="DP128" t="s">
        <v>59</v>
      </c>
      <c r="DQ128" t="s">
        <v>59</v>
      </c>
      <c r="DR128" t="s">
        <v>59</v>
      </c>
      <c r="DS128" t="s">
        <v>59</v>
      </c>
      <c r="DT128" t="s">
        <v>59</v>
      </c>
      <c r="DU128" t="s">
        <v>59</v>
      </c>
      <c r="DV128" t="s">
        <v>59</v>
      </c>
      <c r="DW128" t="s">
        <v>59</v>
      </c>
      <c r="DX128" t="s">
        <v>59</v>
      </c>
      <c r="DY128" t="s">
        <v>59</v>
      </c>
      <c r="DZ128" t="s">
        <v>59</v>
      </c>
      <c r="EA128" t="s">
        <v>59</v>
      </c>
      <c r="EB128" t="s">
        <v>59</v>
      </c>
      <c r="EC128" t="s">
        <v>2730</v>
      </c>
      <c r="ED128" t="s">
        <v>59</v>
      </c>
      <c r="EE128" t="s">
        <v>59</v>
      </c>
      <c r="EF128" t="s">
        <v>59</v>
      </c>
      <c r="EG128" t="s">
        <v>59</v>
      </c>
      <c r="EH128" t="s">
        <v>59</v>
      </c>
      <c r="EI128" t="s">
        <v>59</v>
      </c>
      <c r="EJ128" t="s">
        <v>59</v>
      </c>
      <c r="EK128" t="s">
        <v>59</v>
      </c>
      <c r="EL128" t="s">
        <v>59</v>
      </c>
      <c r="EM128" t="s">
        <v>59</v>
      </c>
      <c r="EN128" t="s">
        <v>59</v>
      </c>
      <c r="EO128" t="s">
        <v>59</v>
      </c>
      <c r="EP128" t="s">
        <v>59</v>
      </c>
      <c r="EQ128" t="s">
        <v>59</v>
      </c>
      <c r="ER128" t="s">
        <v>59</v>
      </c>
      <c r="ES128" t="s">
        <v>59</v>
      </c>
      <c r="ET128" t="s">
        <v>59</v>
      </c>
      <c r="EU128" t="s">
        <v>59</v>
      </c>
      <c r="EV128" t="s">
        <v>59</v>
      </c>
      <c r="EW128" t="s">
        <v>59</v>
      </c>
      <c r="EX128" t="s">
        <v>59</v>
      </c>
      <c r="EY128" t="s">
        <v>59</v>
      </c>
      <c r="EZ128" t="s">
        <v>59</v>
      </c>
      <c r="FA128" t="s">
        <v>59</v>
      </c>
      <c r="FB128" t="s">
        <v>59</v>
      </c>
      <c r="FC128" t="s">
        <v>59</v>
      </c>
      <c r="FD128" t="s">
        <v>59</v>
      </c>
      <c r="FE128" t="s">
        <v>59</v>
      </c>
      <c r="FF128" t="s">
        <v>59</v>
      </c>
      <c r="FG128" t="s">
        <v>59</v>
      </c>
      <c r="FH128" t="s">
        <v>59</v>
      </c>
      <c r="FI128" t="s">
        <v>59</v>
      </c>
      <c r="FJ128" t="s">
        <v>59</v>
      </c>
      <c r="FK128" t="s">
        <v>59</v>
      </c>
      <c r="FL128" t="s">
        <v>59</v>
      </c>
      <c r="FM128" t="s">
        <v>59</v>
      </c>
      <c r="FN128" t="s">
        <v>59</v>
      </c>
      <c r="FO128" t="s">
        <v>218</v>
      </c>
      <c r="FP128" t="s">
        <v>59</v>
      </c>
      <c r="FQ128" t="s">
        <v>59</v>
      </c>
      <c r="FR128" t="s">
        <v>59</v>
      </c>
      <c r="FS128" t="s">
        <v>218</v>
      </c>
      <c r="FT128" t="s">
        <v>59</v>
      </c>
      <c r="FU128" t="s">
        <v>59</v>
      </c>
      <c r="FV128" t="s">
        <v>59</v>
      </c>
      <c r="FW128" t="s">
        <v>59</v>
      </c>
      <c r="FX128" t="s">
        <v>59</v>
      </c>
      <c r="FY128" t="s">
        <v>59</v>
      </c>
      <c r="FZ128" t="s">
        <v>59</v>
      </c>
      <c r="GA128" t="s">
        <v>59</v>
      </c>
      <c r="GB128" t="s">
        <v>59</v>
      </c>
      <c r="GC128" t="s">
        <v>59</v>
      </c>
      <c r="GD128" t="s">
        <v>59</v>
      </c>
      <c r="GE128" t="s">
        <v>59</v>
      </c>
      <c r="GF128" t="s">
        <v>59</v>
      </c>
      <c r="GG128" t="s">
        <v>59</v>
      </c>
      <c r="GH128" t="s">
        <v>59</v>
      </c>
      <c r="GI128" t="s">
        <v>59</v>
      </c>
      <c r="GJ128" t="s">
        <v>59</v>
      </c>
      <c r="GK128" t="s">
        <v>218</v>
      </c>
      <c r="GL128" t="s">
        <v>59</v>
      </c>
      <c r="GM128" t="s">
        <v>59</v>
      </c>
      <c r="GN128" t="s">
        <v>59</v>
      </c>
      <c r="GO128" t="s">
        <v>59</v>
      </c>
      <c r="GP128" t="s">
        <v>59</v>
      </c>
      <c r="GQ128" t="s">
        <v>59</v>
      </c>
      <c r="GR128" t="s">
        <v>59</v>
      </c>
      <c r="GS128" t="s">
        <v>59</v>
      </c>
      <c r="GT128" t="s">
        <v>218</v>
      </c>
      <c r="GU128" t="s">
        <v>218</v>
      </c>
      <c r="GV128" t="s">
        <v>59</v>
      </c>
      <c r="GW128" t="s">
        <v>59</v>
      </c>
      <c r="GX128" t="s">
        <v>59</v>
      </c>
      <c r="GY128" t="s">
        <v>59</v>
      </c>
      <c r="GZ128" t="s">
        <v>218</v>
      </c>
      <c r="HA128" t="s">
        <v>59</v>
      </c>
      <c r="HB128" t="s">
        <v>59</v>
      </c>
      <c r="HC128" t="s">
        <v>59</v>
      </c>
      <c r="HD128" t="s">
        <v>59</v>
      </c>
      <c r="HE128" t="s">
        <v>59</v>
      </c>
      <c r="HF128" t="s">
        <v>59</v>
      </c>
      <c r="HG128" t="s">
        <v>59</v>
      </c>
      <c r="HH128" t="s">
        <v>59</v>
      </c>
      <c r="HI128" t="s">
        <v>59</v>
      </c>
      <c r="HJ128" t="s">
        <v>59</v>
      </c>
      <c r="HK128" t="s">
        <v>59</v>
      </c>
      <c r="HL128" t="s">
        <v>59</v>
      </c>
      <c r="HM128" t="s">
        <v>59</v>
      </c>
      <c r="HN128" t="s">
        <v>59</v>
      </c>
      <c r="HO128" t="s">
        <v>59</v>
      </c>
      <c r="HP128" t="s">
        <v>59</v>
      </c>
      <c r="HQ128" t="s">
        <v>59</v>
      </c>
      <c r="HR128" t="s">
        <v>59</v>
      </c>
      <c r="HS128" t="s">
        <v>59</v>
      </c>
      <c r="HT128" t="s">
        <v>59</v>
      </c>
      <c r="HU128" t="s">
        <v>59</v>
      </c>
      <c r="HV128" t="s">
        <v>59</v>
      </c>
      <c r="HW128" t="s">
        <v>59</v>
      </c>
      <c r="HX128" t="s">
        <v>59</v>
      </c>
      <c r="HY128" t="s">
        <v>59</v>
      </c>
      <c r="HZ128" t="s">
        <v>59</v>
      </c>
      <c r="IA128" t="s">
        <v>59</v>
      </c>
      <c r="IB128" t="s">
        <v>59</v>
      </c>
      <c r="IC128" t="s">
        <v>59</v>
      </c>
      <c r="ID128" t="s">
        <v>59</v>
      </c>
      <c r="IE128" t="s">
        <v>59</v>
      </c>
      <c r="IF128" t="s">
        <v>59</v>
      </c>
      <c r="IG128" t="s">
        <v>59</v>
      </c>
      <c r="IH128" t="s">
        <v>59</v>
      </c>
      <c r="II128" t="s">
        <v>59</v>
      </c>
      <c r="IJ128" t="s">
        <v>129</v>
      </c>
      <c r="IK128" t="s">
        <v>191</v>
      </c>
      <c r="IL128" t="s">
        <v>128</v>
      </c>
      <c r="IM128" t="s">
        <v>199</v>
      </c>
      <c r="IN128">
        <v>26</v>
      </c>
      <c r="IO128" t="s">
        <v>2730</v>
      </c>
      <c r="IP128" t="s">
        <v>2730</v>
      </c>
      <c r="IQ128" t="s">
        <v>2730</v>
      </c>
      <c r="IR128">
        <v>14</v>
      </c>
      <c r="IS128" t="s">
        <v>2730</v>
      </c>
      <c r="IT128" t="s">
        <v>2730</v>
      </c>
      <c r="IU128" t="s">
        <v>2730</v>
      </c>
      <c r="IV128">
        <v>16</v>
      </c>
      <c r="IW128" t="s">
        <v>2730</v>
      </c>
      <c r="IX128" t="s">
        <v>2730</v>
      </c>
      <c r="IY128" t="s">
        <v>2730</v>
      </c>
      <c r="IZ128">
        <v>57</v>
      </c>
      <c r="JA128" t="s">
        <v>2730</v>
      </c>
      <c r="JB128" t="s">
        <v>2730</v>
      </c>
      <c r="JC128" t="s">
        <v>2730</v>
      </c>
      <c r="JD128">
        <v>23</v>
      </c>
      <c r="JE128" t="s">
        <v>2730</v>
      </c>
      <c r="JF128" t="s">
        <v>2730</v>
      </c>
      <c r="JG128" t="s">
        <v>2730</v>
      </c>
      <c r="JH128">
        <v>27</v>
      </c>
      <c r="JI128" t="s">
        <v>2730</v>
      </c>
      <c r="JJ128" t="s">
        <v>2730</v>
      </c>
      <c r="JK128" t="s">
        <v>2730</v>
      </c>
      <c r="JL128">
        <v>16</v>
      </c>
      <c r="JM128" t="s">
        <v>2730</v>
      </c>
      <c r="JN128" t="s">
        <v>2730</v>
      </c>
      <c r="JO128">
        <v>4</v>
      </c>
      <c r="JP128" t="s">
        <v>2730</v>
      </c>
      <c r="JQ128" t="s">
        <v>2730</v>
      </c>
    </row>
    <row r="129" spans="1:277">
      <c r="A129" s="149" t="str">
        <f>HYPERLINK("http://www.ofsted.gov.uk/inspection-reports/find-inspection-report/provider/ELS/143042 ","Ofsted School Webpage")</f>
        <v>Ofsted School Webpage</v>
      </c>
      <c r="B129">
        <v>1243704</v>
      </c>
      <c r="C129">
        <v>143042</v>
      </c>
      <c r="D129">
        <v>9316016</v>
      </c>
      <c r="E129" t="s">
        <v>516</v>
      </c>
      <c r="F129" t="s">
        <v>37</v>
      </c>
      <c r="G129" t="s">
        <v>209</v>
      </c>
      <c r="H129" t="s">
        <v>181</v>
      </c>
      <c r="I129" t="s">
        <v>181</v>
      </c>
      <c r="J129" t="s">
        <v>242</v>
      </c>
      <c r="K129" t="s">
        <v>517</v>
      </c>
      <c r="L129" t="s">
        <v>184</v>
      </c>
      <c r="M129" t="s">
        <v>185</v>
      </c>
      <c r="N129" t="s">
        <v>184</v>
      </c>
      <c r="O129" t="s">
        <v>2730</v>
      </c>
      <c r="P129" t="s">
        <v>186</v>
      </c>
      <c r="Q129">
        <v>10039170</v>
      </c>
      <c r="R129" s="120">
        <v>43004</v>
      </c>
      <c r="S129" s="120">
        <v>43006</v>
      </c>
      <c r="T129" s="120">
        <v>43041</v>
      </c>
      <c r="U129" t="s">
        <v>2730</v>
      </c>
      <c r="V129" t="s">
        <v>249</v>
      </c>
      <c r="W129" t="s">
        <v>2730</v>
      </c>
      <c r="X129" t="s">
        <v>197</v>
      </c>
      <c r="Y129">
        <v>2</v>
      </c>
      <c r="Z129">
        <v>2</v>
      </c>
      <c r="AA129">
        <v>2</v>
      </c>
      <c r="AB129">
        <v>2</v>
      </c>
      <c r="AC129">
        <v>2</v>
      </c>
      <c r="AD129" t="s">
        <v>2730</v>
      </c>
      <c r="AE129">
        <v>2</v>
      </c>
      <c r="AF129" t="s">
        <v>128</v>
      </c>
      <c r="AG129" t="s">
        <v>2730</v>
      </c>
      <c r="AH129" t="s">
        <v>2732</v>
      </c>
      <c r="AI129" t="s">
        <v>59</v>
      </c>
      <c r="AJ129" t="s">
        <v>59</v>
      </c>
      <c r="AK129" t="s">
        <v>59</v>
      </c>
      <c r="AL129" t="s">
        <v>59</v>
      </c>
      <c r="AM129" t="s">
        <v>59</v>
      </c>
      <c r="AN129" t="s">
        <v>59</v>
      </c>
      <c r="AO129" t="s">
        <v>59</v>
      </c>
      <c r="AP129" t="s">
        <v>59</v>
      </c>
      <c r="AQ129" t="s">
        <v>59</v>
      </c>
      <c r="AR129" t="s">
        <v>59</v>
      </c>
      <c r="AS129" t="s">
        <v>59</v>
      </c>
      <c r="AT129" t="s">
        <v>59</v>
      </c>
      <c r="AU129" t="s">
        <v>59</v>
      </c>
      <c r="AV129" t="s">
        <v>59</v>
      </c>
      <c r="AW129" t="s">
        <v>59</v>
      </c>
      <c r="AX129" t="s">
        <v>59</v>
      </c>
      <c r="AY129" t="s">
        <v>218</v>
      </c>
      <c r="AZ129" t="s">
        <v>59</v>
      </c>
      <c r="BA129" t="s">
        <v>59</v>
      </c>
      <c r="BB129" t="s">
        <v>59</v>
      </c>
      <c r="BC129" t="s">
        <v>59</v>
      </c>
      <c r="BD129" t="s">
        <v>59</v>
      </c>
      <c r="BE129" t="s">
        <v>59</v>
      </c>
      <c r="BF129" t="s">
        <v>59</v>
      </c>
      <c r="BG129" t="s">
        <v>59</v>
      </c>
      <c r="BH129" t="s">
        <v>59</v>
      </c>
      <c r="BI129" t="s">
        <v>59</v>
      </c>
      <c r="BJ129" t="s">
        <v>59</v>
      </c>
      <c r="BK129" t="s">
        <v>59</v>
      </c>
      <c r="BL129" t="s">
        <v>59</v>
      </c>
      <c r="BM129" t="s">
        <v>59</v>
      </c>
      <c r="BN129" t="s">
        <v>59</v>
      </c>
      <c r="BO129" t="s">
        <v>59</v>
      </c>
      <c r="BP129" t="s">
        <v>59</v>
      </c>
      <c r="BQ129" t="s">
        <v>59</v>
      </c>
      <c r="BR129" t="s">
        <v>59</v>
      </c>
      <c r="BS129" t="s">
        <v>59</v>
      </c>
      <c r="BT129" t="s">
        <v>59</v>
      </c>
      <c r="BU129" t="s">
        <v>59</v>
      </c>
      <c r="BV129" t="s">
        <v>59</v>
      </c>
      <c r="BW129" t="s">
        <v>59</v>
      </c>
      <c r="BX129" t="s">
        <v>59</v>
      </c>
      <c r="BY129" t="s">
        <v>59</v>
      </c>
      <c r="BZ129" t="s">
        <v>59</v>
      </c>
      <c r="CA129" t="s">
        <v>59</v>
      </c>
      <c r="CB129" t="s">
        <v>59</v>
      </c>
      <c r="CC129" t="s">
        <v>59</v>
      </c>
      <c r="CD129" t="s">
        <v>59</v>
      </c>
      <c r="CE129" t="s">
        <v>59</v>
      </c>
      <c r="CF129" t="s">
        <v>59</v>
      </c>
      <c r="CG129" t="s">
        <v>59</v>
      </c>
      <c r="CH129" t="s">
        <v>59</v>
      </c>
      <c r="CI129" t="s">
        <v>59</v>
      </c>
      <c r="CJ129" t="s">
        <v>59</v>
      </c>
      <c r="CK129" t="s">
        <v>59</v>
      </c>
      <c r="CL129" t="s">
        <v>59</v>
      </c>
      <c r="CM129" t="s">
        <v>59</v>
      </c>
      <c r="CN129" t="s">
        <v>59</v>
      </c>
      <c r="CO129" t="s">
        <v>218</v>
      </c>
      <c r="CP129" t="s">
        <v>218</v>
      </c>
      <c r="CQ129" t="s">
        <v>218</v>
      </c>
      <c r="CR129" t="s">
        <v>59</v>
      </c>
      <c r="CS129" t="s">
        <v>59</v>
      </c>
      <c r="CT129" t="s">
        <v>59</v>
      </c>
      <c r="CU129" t="s">
        <v>59</v>
      </c>
      <c r="CV129" t="s">
        <v>59</v>
      </c>
      <c r="CW129" t="s">
        <v>59</v>
      </c>
      <c r="CX129" t="s">
        <v>59</v>
      </c>
      <c r="CY129" t="s">
        <v>59</v>
      </c>
      <c r="CZ129" t="s">
        <v>59</v>
      </c>
      <c r="DA129" t="s">
        <v>59</v>
      </c>
      <c r="DB129" t="s">
        <v>59</v>
      </c>
      <c r="DC129" t="s">
        <v>59</v>
      </c>
      <c r="DD129" t="s">
        <v>59</v>
      </c>
      <c r="DE129" t="s">
        <v>59</v>
      </c>
      <c r="DF129" t="s">
        <v>59</v>
      </c>
      <c r="DG129" t="s">
        <v>59</v>
      </c>
      <c r="DH129" t="s">
        <v>59</v>
      </c>
      <c r="DI129" t="s">
        <v>59</v>
      </c>
      <c r="DJ129" t="s">
        <v>59</v>
      </c>
      <c r="DK129" t="s">
        <v>59</v>
      </c>
      <c r="DL129" t="s">
        <v>59</v>
      </c>
      <c r="DM129" t="s">
        <v>59</v>
      </c>
      <c r="DN129" t="s">
        <v>59</v>
      </c>
      <c r="DO129" t="s">
        <v>218</v>
      </c>
      <c r="DP129" t="s">
        <v>59</v>
      </c>
      <c r="DQ129" t="s">
        <v>59</v>
      </c>
      <c r="DR129" t="s">
        <v>59</v>
      </c>
      <c r="DS129" t="s">
        <v>59</v>
      </c>
      <c r="DT129" t="s">
        <v>59</v>
      </c>
      <c r="DU129" t="s">
        <v>59</v>
      </c>
      <c r="DV129" t="s">
        <v>59</v>
      </c>
      <c r="DW129" t="s">
        <v>59</v>
      </c>
      <c r="DX129" t="s">
        <v>59</v>
      </c>
      <c r="DY129" t="s">
        <v>59</v>
      </c>
      <c r="DZ129" t="s">
        <v>59</v>
      </c>
      <c r="EA129" t="s">
        <v>59</v>
      </c>
      <c r="EB129" t="s">
        <v>59</v>
      </c>
      <c r="EC129" t="s">
        <v>59</v>
      </c>
      <c r="ED129" t="s">
        <v>59</v>
      </c>
      <c r="EE129" t="s">
        <v>59</v>
      </c>
      <c r="EF129" t="s">
        <v>59</v>
      </c>
      <c r="EG129" t="s">
        <v>59</v>
      </c>
      <c r="EH129" t="s">
        <v>59</v>
      </c>
      <c r="EI129" t="s">
        <v>59</v>
      </c>
      <c r="EJ129" t="s">
        <v>59</v>
      </c>
      <c r="EK129" t="s">
        <v>59</v>
      </c>
      <c r="EL129" t="s">
        <v>59</v>
      </c>
      <c r="EM129" t="s">
        <v>59</v>
      </c>
      <c r="EN129" t="s">
        <v>59</v>
      </c>
      <c r="EO129" t="s">
        <v>59</v>
      </c>
      <c r="EP129" t="s">
        <v>59</v>
      </c>
      <c r="EQ129" t="s">
        <v>59</v>
      </c>
      <c r="ER129" t="s">
        <v>59</v>
      </c>
      <c r="ES129" t="s">
        <v>59</v>
      </c>
      <c r="ET129" t="s">
        <v>59</v>
      </c>
      <c r="EU129" t="s">
        <v>59</v>
      </c>
      <c r="EV129" t="s">
        <v>59</v>
      </c>
      <c r="EW129" t="s">
        <v>59</v>
      </c>
      <c r="EX129" t="s">
        <v>59</v>
      </c>
      <c r="EY129" t="s">
        <v>59</v>
      </c>
      <c r="EZ129" t="s">
        <v>59</v>
      </c>
      <c r="FA129" t="s">
        <v>218</v>
      </c>
      <c r="FB129" t="s">
        <v>218</v>
      </c>
      <c r="FC129" t="s">
        <v>218</v>
      </c>
      <c r="FD129" t="s">
        <v>218</v>
      </c>
      <c r="FE129" t="s">
        <v>218</v>
      </c>
      <c r="FF129" t="s">
        <v>218</v>
      </c>
      <c r="FG129" t="s">
        <v>218</v>
      </c>
      <c r="FH129" t="s">
        <v>59</v>
      </c>
      <c r="FI129" t="s">
        <v>59</v>
      </c>
      <c r="FJ129" t="s">
        <v>59</v>
      </c>
      <c r="FK129" t="s">
        <v>59</v>
      </c>
      <c r="FL129" t="s">
        <v>59</v>
      </c>
      <c r="FM129" t="s">
        <v>59</v>
      </c>
      <c r="FN129" t="s">
        <v>59</v>
      </c>
      <c r="FO129" t="s">
        <v>59</v>
      </c>
      <c r="FP129" t="s">
        <v>59</v>
      </c>
      <c r="FQ129" t="s">
        <v>59</v>
      </c>
      <c r="FR129" t="s">
        <v>59</v>
      </c>
      <c r="FS129" t="s">
        <v>218</v>
      </c>
      <c r="FT129" t="s">
        <v>59</v>
      </c>
      <c r="FU129" t="s">
        <v>59</v>
      </c>
      <c r="FV129" t="s">
        <v>59</v>
      </c>
      <c r="FW129" t="s">
        <v>59</v>
      </c>
      <c r="FX129" t="s">
        <v>59</v>
      </c>
      <c r="FY129" t="s">
        <v>59</v>
      </c>
      <c r="FZ129" t="s">
        <v>59</v>
      </c>
      <c r="GA129" t="s">
        <v>59</v>
      </c>
      <c r="GB129" t="s">
        <v>59</v>
      </c>
      <c r="GC129" t="s">
        <v>59</v>
      </c>
      <c r="GD129" t="s">
        <v>59</v>
      </c>
      <c r="GE129" t="s">
        <v>59</v>
      </c>
      <c r="GF129" t="s">
        <v>59</v>
      </c>
      <c r="GG129" t="s">
        <v>59</v>
      </c>
      <c r="GH129" t="s">
        <v>59</v>
      </c>
      <c r="GI129" t="s">
        <v>59</v>
      </c>
      <c r="GJ129" t="s">
        <v>59</v>
      </c>
      <c r="GK129" t="s">
        <v>218</v>
      </c>
      <c r="GL129" t="s">
        <v>59</v>
      </c>
      <c r="GM129" t="s">
        <v>59</v>
      </c>
      <c r="GN129" t="s">
        <v>59</v>
      </c>
      <c r="GO129" t="s">
        <v>59</v>
      </c>
      <c r="GP129" t="s">
        <v>59</v>
      </c>
      <c r="GQ129" t="s">
        <v>59</v>
      </c>
      <c r="GR129" t="s">
        <v>59</v>
      </c>
      <c r="GS129" t="s">
        <v>59</v>
      </c>
      <c r="GT129" t="s">
        <v>218</v>
      </c>
      <c r="GU129" t="s">
        <v>218</v>
      </c>
      <c r="GV129" t="s">
        <v>59</v>
      </c>
      <c r="GW129" t="s">
        <v>59</v>
      </c>
      <c r="GX129" t="s">
        <v>59</v>
      </c>
      <c r="GY129" t="s">
        <v>59</v>
      </c>
      <c r="GZ129" t="s">
        <v>59</v>
      </c>
      <c r="HA129" t="s">
        <v>59</v>
      </c>
      <c r="HB129" t="s">
        <v>218</v>
      </c>
      <c r="HC129" t="s">
        <v>59</v>
      </c>
      <c r="HD129" t="s">
        <v>59</v>
      </c>
      <c r="HE129" t="s">
        <v>59</v>
      </c>
      <c r="HF129" t="s">
        <v>218</v>
      </c>
      <c r="HG129" t="s">
        <v>59</v>
      </c>
      <c r="HH129" t="s">
        <v>59</v>
      </c>
      <c r="HI129" t="s">
        <v>59</v>
      </c>
      <c r="HJ129" t="s">
        <v>59</v>
      </c>
      <c r="HK129" t="s">
        <v>59</v>
      </c>
      <c r="HL129" t="s">
        <v>59</v>
      </c>
      <c r="HM129" t="s">
        <v>59</v>
      </c>
      <c r="HN129" t="s">
        <v>59</v>
      </c>
      <c r="HO129" t="s">
        <v>59</v>
      </c>
      <c r="HP129" t="s">
        <v>59</v>
      </c>
      <c r="HQ129" t="s">
        <v>59</v>
      </c>
      <c r="HR129" t="s">
        <v>59</v>
      </c>
      <c r="HS129" t="s">
        <v>59</v>
      </c>
      <c r="HT129" t="s">
        <v>59</v>
      </c>
      <c r="HU129" t="s">
        <v>59</v>
      </c>
      <c r="HV129" t="s">
        <v>59</v>
      </c>
      <c r="HW129" t="s">
        <v>59</v>
      </c>
      <c r="HX129" t="s">
        <v>59</v>
      </c>
      <c r="HY129" t="s">
        <v>59</v>
      </c>
      <c r="HZ129" t="s">
        <v>59</v>
      </c>
      <c r="IA129" t="s">
        <v>59</v>
      </c>
      <c r="IB129" t="s">
        <v>59</v>
      </c>
      <c r="IC129" t="s">
        <v>59</v>
      </c>
      <c r="ID129" t="s">
        <v>59</v>
      </c>
      <c r="IE129" t="s">
        <v>59</v>
      </c>
      <c r="IF129" t="s">
        <v>59</v>
      </c>
      <c r="IG129" t="s">
        <v>59</v>
      </c>
      <c r="IH129" t="s">
        <v>59</v>
      </c>
      <c r="II129" t="s">
        <v>59</v>
      </c>
      <c r="IJ129" t="s">
        <v>128</v>
      </c>
      <c r="IK129" t="s">
        <v>128</v>
      </c>
      <c r="IL129" t="s">
        <v>128</v>
      </c>
      <c r="IM129" t="s">
        <v>199</v>
      </c>
      <c r="IN129">
        <v>31</v>
      </c>
      <c r="IO129" t="s">
        <v>2730</v>
      </c>
      <c r="IP129" t="s">
        <v>2730</v>
      </c>
      <c r="IQ129" t="s">
        <v>2730</v>
      </c>
      <c r="IR129">
        <v>15</v>
      </c>
      <c r="IS129" t="s">
        <v>2730</v>
      </c>
      <c r="IT129" t="s">
        <v>2730</v>
      </c>
      <c r="IU129" t="s">
        <v>2730</v>
      </c>
      <c r="IV129">
        <v>16</v>
      </c>
      <c r="IW129" t="s">
        <v>2730</v>
      </c>
      <c r="IX129" t="s">
        <v>2730</v>
      </c>
      <c r="IY129" t="s">
        <v>2730</v>
      </c>
      <c r="IZ129">
        <v>51</v>
      </c>
      <c r="JA129" t="s">
        <v>2730</v>
      </c>
      <c r="JB129" t="s">
        <v>2730</v>
      </c>
      <c r="JC129" t="s">
        <v>2730</v>
      </c>
      <c r="JD129">
        <v>24</v>
      </c>
      <c r="JE129" t="s">
        <v>2730</v>
      </c>
      <c r="JF129" t="s">
        <v>2730</v>
      </c>
      <c r="JG129" t="s">
        <v>2730</v>
      </c>
      <c r="JH129">
        <v>26</v>
      </c>
      <c r="JI129" t="s">
        <v>2730</v>
      </c>
      <c r="JJ129" t="s">
        <v>2730</v>
      </c>
      <c r="JK129" t="s">
        <v>2730</v>
      </c>
      <c r="JL129">
        <v>16</v>
      </c>
      <c r="JM129" t="s">
        <v>2730</v>
      </c>
      <c r="JN129" t="s">
        <v>2730</v>
      </c>
      <c r="JO129">
        <v>4</v>
      </c>
      <c r="JP129" t="s">
        <v>2730</v>
      </c>
      <c r="JQ129" t="s">
        <v>2730</v>
      </c>
    </row>
    <row r="130" spans="1:277">
      <c r="A130" s="149" t="str">
        <f>HYPERLINK("http://www.ofsted.gov.uk/inspection-reports/find-inspection-report/provider/ELS/122926 ","Ofsted School Webpage")</f>
        <v>Ofsted School Webpage</v>
      </c>
      <c r="B130">
        <v>1135189</v>
      </c>
      <c r="C130">
        <v>122926</v>
      </c>
      <c r="D130">
        <v>8916008</v>
      </c>
      <c r="E130" t="s">
        <v>424</v>
      </c>
      <c r="F130" t="s">
        <v>37</v>
      </c>
      <c r="G130" t="s">
        <v>209</v>
      </c>
      <c r="H130" t="s">
        <v>214</v>
      </c>
      <c r="I130" t="s">
        <v>214</v>
      </c>
      <c r="J130" t="s">
        <v>320</v>
      </c>
      <c r="K130" t="s">
        <v>425</v>
      </c>
      <c r="L130" t="s">
        <v>184</v>
      </c>
      <c r="M130" t="s">
        <v>185</v>
      </c>
      <c r="N130" t="s">
        <v>184</v>
      </c>
      <c r="O130" t="s">
        <v>2730</v>
      </c>
      <c r="P130" t="s">
        <v>186</v>
      </c>
      <c r="Q130">
        <v>10033528</v>
      </c>
      <c r="R130" s="120">
        <v>43004</v>
      </c>
      <c r="S130" s="120">
        <v>43006</v>
      </c>
      <c r="T130" s="120">
        <v>43027</v>
      </c>
      <c r="U130" t="s">
        <v>2730</v>
      </c>
      <c r="V130" t="s">
        <v>196</v>
      </c>
      <c r="W130" t="s">
        <v>2730</v>
      </c>
      <c r="X130" t="s">
        <v>197</v>
      </c>
      <c r="Y130">
        <v>3</v>
      </c>
      <c r="Z130">
        <v>3</v>
      </c>
      <c r="AA130">
        <v>2</v>
      </c>
      <c r="AB130">
        <v>3</v>
      </c>
      <c r="AC130">
        <v>3</v>
      </c>
      <c r="AD130">
        <v>2</v>
      </c>
      <c r="AE130" t="s">
        <v>2730</v>
      </c>
      <c r="AF130" t="s">
        <v>128</v>
      </c>
      <c r="AG130" t="s">
        <v>2730</v>
      </c>
      <c r="AH130" t="s">
        <v>2733</v>
      </c>
      <c r="AI130" t="s">
        <v>60</v>
      </c>
      <c r="AJ130" t="s">
        <v>59</v>
      </c>
      <c r="AK130" t="s">
        <v>59</v>
      </c>
      <c r="AL130" t="s">
        <v>59</v>
      </c>
      <c r="AM130" t="s">
        <v>59</v>
      </c>
      <c r="AN130" t="s">
        <v>59</v>
      </c>
      <c r="AO130" t="s">
        <v>59</v>
      </c>
      <c r="AP130" t="s">
        <v>60</v>
      </c>
      <c r="AQ130" t="s">
        <v>60</v>
      </c>
      <c r="AR130" t="s">
        <v>60</v>
      </c>
      <c r="AS130" t="s">
        <v>60</v>
      </c>
      <c r="AT130" t="s">
        <v>60</v>
      </c>
      <c r="AU130" t="s">
        <v>59</v>
      </c>
      <c r="AV130" t="s">
        <v>59</v>
      </c>
      <c r="AW130" t="s">
        <v>59</v>
      </c>
      <c r="AX130" t="s">
        <v>59</v>
      </c>
      <c r="AY130" t="s">
        <v>191</v>
      </c>
      <c r="AZ130" t="s">
        <v>59</v>
      </c>
      <c r="BA130" t="s">
        <v>59</v>
      </c>
      <c r="BB130" t="s">
        <v>59</v>
      </c>
      <c r="BC130" t="s">
        <v>191</v>
      </c>
      <c r="BD130" t="s">
        <v>191</v>
      </c>
      <c r="BE130" t="s">
        <v>191</v>
      </c>
      <c r="BF130" t="s">
        <v>191</v>
      </c>
      <c r="BG130" t="s">
        <v>59</v>
      </c>
      <c r="BH130" t="s">
        <v>191</v>
      </c>
      <c r="BI130" t="s">
        <v>59</v>
      </c>
      <c r="BJ130" t="s">
        <v>59</v>
      </c>
      <c r="BK130" t="s">
        <v>60</v>
      </c>
      <c r="BL130" t="s">
        <v>60</v>
      </c>
      <c r="BM130" t="s">
        <v>59</v>
      </c>
      <c r="BN130" t="s">
        <v>60</v>
      </c>
      <c r="BO130" t="s">
        <v>60</v>
      </c>
      <c r="BP130" t="s">
        <v>60</v>
      </c>
      <c r="BQ130" t="s">
        <v>59</v>
      </c>
      <c r="BR130" t="s">
        <v>60</v>
      </c>
      <c r="BS130" t="s">
        <v>59</v>
      </c>
      <c r="BT130" t="s">
        <v>59</v>
      </c>
      <c r="BU130" t="s">
        <v>59</v>
      </c>
      <c r="BV130" t="s">
        <v>59</v>
      </c>
      <c r="BW130" t="s">
        <v>59</v>
      </c>
      <c r="BX130" t="s">
        <v>59</v>
      </c>
      <c r="BY130" t="s">
        <v>59</v>
      </c>
      <c r="BZ130" t="s">
        <v>59</v>
      </c>
      <c r="CA130" t="s">
        <v>59</v>
      </c>
      <c r="CB130" t="s">
        <v>59</v>
      </c>
      <c r="CC130" t="s">
        <v>59</v>
      </c>
      <c r="CD130" t="s">
        <v>59</v>
      </c>
      <c r="CE130" t="s">
        <v>59</v>
      </c>
      <c r="CF130" t="s">
        <v>59</v>
      </c>
      <c r="CG130" t="s">
        <v>59</v>
      </c>
      <c r="CH130" t="s">
        <v>59</v>
      </c>
      <c r="CI130" t="s">
        <v>59</v>
      </c>
      <c r="CJ130" t="s">
        <v>59</v>
      </c>
      <c r="CK130" t="s">
        <v>59</v>
      </c>
      <c r="CL130" t="s">
        <v>59</v>
      </c>
      <c r="CM130" t="s">
        <v>59</v>
      </c>
      <c r="CN130" t="s">
        <v>59</v>
      </c>
      <c r="CO130" t="s">
        <v>191</v>
      </c>
      <c r="CP130" t="s">
        <v>191</v>
      </c>
      <c r="CQ130" t="s">
        <v>191</v>
      </c>
      <c r="CR130" t="s">
        <v>59</v>
      </c>
      <c r="CS130" t="s">
        <v>59</v>
      </c>
      <c r="CT130" t="s">
        <v>59</v>
      </c>
      <c r="CU130" t="s">
        <v>59</v>
      </c>
      <c r="CV130" t="s">
        <v>59</v>
      </c>
      <c r="CW130" t="s">
        <v>59</v>
      </c>
      <c r="CX130" t="s">
        <v>59</v>
      </c>
      <c r="CY130" t="s">
        <v>59</v>
      </c>
      <c r="CZ130" t="s">
        <v>59</v>
      </c>
      <c r="DA130" t="s">
        <v>59</v>
      </c>
      <c r="DB130" t="s">
        <v>59</v>
      </c>
      <c r="DC130" t="s">
        <v>59</v>
      </c>
      <c r="DD130" t="s">
        <v>59</v>
      </c>
      <c r="DE130" t="s">
        <v>59</v>
      </c>
      <c r="DF130" t="s">
        <v>59</v>
      </c>
      <c r="DG130" t="s">
        <v>59</v>
      </c>
      <c r="DH130" t="s">
        <v>59</v>
      </c>
      <c r="DI130" t="s">
        <v>59</v>
      </c>
      <c r="DJ130" t="s">
        <v>59</v>
      </c>
      <c r="DK130" t="s">
        <v>59</v>
      </c>
      <c r="DL130" t="s">
        <v>59</v>
      </c>
      <c r="DM130" t="s">
        <v>59</v>
      </c>
      <c r="DN130" t="s">
        <v>59</v>
      </c>
      <c r="DO130" t="s">
        <v>191</v>
      </c>
      <c r="DP130" t="s">
        <v>59</v>
      </c>
      <c r="DQ130" t="s">
        <v>191</v>
      </c>
      <c r="DR130" t="s">
        <v>191</v>
      </c>
      <c r="DS130" t="s">
        <v>191</v>
      </c>
      <c r="DT130" t="s">
        <v>191</v>
      </c>
      <c r="DU130" t="s">
        <v>191</v>
      </c>
      <c r="DV130" t="s">
        <v>191</v>
      </c>
      <c r="DW130" t="s">
        <v>191</v>
      </c>
      <c r="DX130" t="s">
        <v>203</v>
      </c>
      <c r="DY130" t="s">
        <v>191</v>
      </c>
      <c r="DZ130" t="s">
        <v>191</v>
      </c>
      <c r="EA130" t="s">
        <v>191</v>
      </c>
      <c r="EB130" t="s">
        <v>203</v>
      </c>
      <c r="EC130" t="s">
        <v>191</v>
      </c>
      <c r="ED130" t="s">
        <v>191</v>
      </c>
      <c r="EE130" t="s">
        <v>203</v>
      </c>
      <c r="EF130" t="s">
        <v>59</v>
      </c>
      <c r="EG130" t="s">
        <v>59</v>
      </c>
      <c r="EH130" t="s">
        <v>59</v>
      </c>
      <c r="EI130" t="s">
        <v>59</v>
      </c>
      <c r="EJ130" t="s">
        <v>59</v>
      </c>
      <c r="EK130" t="s">
        <v>59</v>
      </c>
      <c r="EL130" t="s">
        <v>59</v>
      </c>
      <c r="EM130" t="s">
        <v>59</v>
      </c>
      <c r="EN130" t="s">
        <v>59</v>
      </c>
      <c r="EO130" t="s">
        <v>59</v>
      </c>
      <c r="EP130" t="s">
        <v>59</v>
      </c>
      <c r="EQ130" t="s">
        <v>59</v>
      </c>
      <c r="ER130" t="s">
        <v>59</v>
      </c>
      <c r="ES130" t="s">
        <v>59</v>
      </c>
      <c r="ET130" t="s">
        <v>59</v>
      </c>
      <c r="EU130" t="s">
        <v>59</v>
      </c>
      <c r="EV130" t="s">
        <v>59</v>
      </c>
      <c r="EW130" t="s">
        <v>59</v>
      </c>
      <c r="EX130" t="s">
        <v>59</v>
      </c>
      <c r="EY130" t="s">
        <v>59</v>
      </c>
      <c r="EZ130" t="s">
        <v>59</v>
      </c>
      <c r="FA130" t="s">
        <v>59</v>
      </c>
      <c r="FB130" t="s">
        <v>191</v>
      </c>
      <c r="FC130" t="s">
        <v>191</v>
      </c>
      <c r="FD130" t="s">
        <v>191</v>
      </c>
      <c r="FE130" t="s">
        <v>191</v>
      </c>
      <c r="FF130" t="s">
        <v>191</v>
      </c>
      <c r="FG130" t="s">
        <v>191</v>
      </c>
      <c r="FH130" t="s">
        <v>59</v>
      </c>
      <c r="FI130" t="s">
        <v>59</v>
      </c>
      <c r="FJ130" t="s">
        <v>59</v>
      </c>
      <c r="FK130" t="s">
        <v>59</v>
      </c>
      <c r="FL130" t="s">
        <v>59</v>
      </c>
      <c r="FM130" t="s">
        <v>59</v>
      </c>
      <c r="FN130" t="s">
        <v>59</v>
      </c>
      <c r="FO130" t="s">
        <v>191</v>
      </c>
      <c r="FP130" t="s">
        <v>59</v>
      </c>
      <c r="FQ130" t="s">
        <v>59</v>
      </c>
      <c r="FR130" t="s">
        <v>59</v>
      </c>
      <c r="FS130" t="s">
        <v>191</v>
      </c>
      <c r="FT130" t="s">
        <v>59</v>
      </c>
      <c r="FU130" t="s">
        <v>59</v>
      </c>
      <c r="FV130" t="s">
        <v>59</v>
      </c>
      <c r="FW130" t="s">
        <v>59</v>
      </c>
      <c r="FX130" t="s">
        <v>59</v>
      </c>
      <c r="FY130" t="s">
        <v>59</v>
      </c>
      <c r="FZ130" t="s">
        <v>59</v>
      </c>
      <c r="GA130" t="s">
        <v>59</v>
      </c>
      <c r="GB130" t="s">
        <v>59</v>
      </c>
      <c r="GC130" t="s">
        <v>59</v>
      </c>
      <c r="GD130" t="s">
        <v>59</v>
      </c>
      <c r="GE130" t="s">
        <v>59</v>
      </c>
      <c r="GF130" t="s">
        <v>59</v>
      </c>
      <c r="GG130" t="s">
        <v>59</v>
      </c>
      <c r="GH130" t="s">
        <v>59</v>
      </c>
      <c r="GI130" t="s">
        <v>59</v>
      </c>
      <c r="GJ130" t="s">
        <v>59</v>
      </c>
      <c r="GK130" t="s">
        <v>191</v>
      </c>
      <c r="GL130" t="s">
        <v>59</v>
      </c>
      <c r="GM130" t="s">
        <v>59</v>
      </c>
      <c r="GN130" t="s">
        <v>59</v>
      </c>
      <c r="GO130" t="s">
        <v>59</v>
      </c>
      <c r="GP130" t="s">
        <v>59</v>
      </c>
      <c r="GQ130" t="s">
        <v>191</v>
      </c>
      <c r="GR130" t="s">
        <v>59</v>
      </c>
      <c r="GS130" t="s">
        <v>59</v>
      </c>
      <c r="GT130" t="s">
        <v>191</v>
      </c>
      <c r="GU130" t="s">
        <v>191</v>
      </c>
      <c r="GV130" t="s">
        <v>59</v>
      </c>
      <c r="GW130" t="s">
        <v>59</v>
      </c>
      <c r="GX130" t="s">
        <v>59</v>
      </c>
      <c r="GY130" t="s">
        <v>59</v>
      </c>
      <c r="GZ130" t="s">
        <v>59</v>
      </c>
      <c r="HA130" t="s">
        <v>191</v>
      </c>
      <c r="HB130" t="s">
        <v>191</v>
      </c>
      <c r="HC130" t="s">
        <v>59</v>
      </c>
      <c r="HD130" t="s">
        <v>59</v>
      </c>
      <c r="HE130" t="s">
        <v>59</v>
      </c>
      <c r="HF130" t="s">
        <v>59</v>
      </c>
      <c r="HG130" t="s">
        <v>59</v>
      </c>
      <c r="HH130" t="s">
        <v>59</v>
      </c>
      <c r="HI130" t="s">
        <v>59</v>
      </c>
      <c r="HJ130" t="s">
        <v>59</v>
      </c>
      <c r="HK130" t="s">
        <v>59</v>
      </c>
      <c r="HL130" t="s">
        <v>191</v>
      </c>
      <c r="HM130" t="s">
        <v>191</v>
      </c>
      <c r="HN130" t="s">
        <v>191</v>
      </c>
      <c r="HO130" t="s">
        <v>191</v>
      </c>
      <c r="HP130" t="s">
        <v>59</v>
      </c>
      <c r="HQ130" t="s">
        <v>59</v>
      </c>
      <c r="HR130" t="s">
        <v>59</v>
      </c>
      <c r="HS130" t="s">
        <v>59</v>
      </c>
      <c r="HT130" t="s">
        <v>59</v>
      </c>
      <c r="HU130" t="s">
        <v>59</v>
      </c>
      <c r="HV130" t="s">
        <v>59</v>
      </c>
      <c r="HW130" t="s">
        <v>59</v>
      </c>
      <c r="HX130" t="s">
        <v>59</v>
      </c>
      <c r="HY130" t="s">
        <v>59</v>
      </c>
      <c r="HZ130" t="s">
        <v>59</v>
      </c>
      <c r="IA130" t="s">
        <v>59</v>
      </c>
      <c r="IB130" t="s">
        <v>59</v>
      </c>
      <c r="IC130" t="s">
        <v>59</v>
      </c>
      <c r="ID130" t="s">
        <v>59</v>
      </c>
      <c r="IE130" t="s">
        <v>59</v>
      </c>
      <c r="IF130" t="s">
        <v>60</v>
      </c>
      <c r="IG130" t="s">
        <v>60</v>
      </c>
      <c r="IH130" t="s">
        <v>60</v>
      </c>
      <c r="II130" t="s">
        <v>59</v>
      </c>
      <c r="IJ130" t="s">
        <v>129</v>
      </c>
      <c r="IK130" t="s">
        <v>198</v>
      </c>
      <c r="IL130" t="s">
        <v>128</v>
      </c>
      <c r="IM130" t="s">
        <v>199</v>
      </c>
      <c r="IN130">
        <v>16</v>
      </c>
      <c r="IO130" t="s">
        <v>2730</v>
      </c>
      <c r="IP130">
        <v>6</v>
      </c>
      <c r="IQ130">
        <v>10</v>
      </c>
      <c r="IR130">
        <v>15</v>
      </c>
      <c r="IS130" t="s">
        <v>2730</v>
      </c>
      <c r="IT130" t="s">
        <v>2730</v>
      </c>
      <c r="IU130" t="s">
        <v>2730</v>
      </c>
      <c r="IV130">
        <v>16</v>
      </c>
      <c r="IW130" t="s">
        <v>2730</v>
      </c>
      <c r="IX130">
        <v>3</v>
      </c>
      <c r="IY130" t="s">
        <v>2730</v>
      </c>
      <c r="IZ130">
        <v>37</v>
      </c>
      <c r="JA130">
        <v>3</v>
      </c>
      <c r="JB130">
        <v>19</v>
      </c>
      <c r="JC130" t="s">
        <v>2730</v>
      </c>
      <c r="JD130">
        <v>23</v>
      </c>
      <c r="JE130" t="s">
        <v>2730</v>
      </c>
      <c r="JF130">
        <v>3</v>
      </c>
      <c r="JG130" t="s">
        <v>2730</v>
      </c>
      <c r="JH130">
        <v>21</v>
      </c>
      <c r="JI130" t="s">
        <v>2730</v>
      </c>
      <c r="JJ130">
        <v>9</v>
      </c>
      <c r="JK130" t="s">
        <v>2730</v>
      </c>
      <c r="JL130">
        <v>16</v>
      </c>
      <c r="JM130" t="s">
        <v>2730</v>
      </c>
      <c r="JN130" t="s">
        <v>2730</v>
      </c>
      <c r="JO130">
        <v>1</v>
      </c>
      <c r="JP130" t="s">
        <v>2730</v>
      </c>
      <c r="JQ130">
        <v>3</v>
      </c>
    </row>
    <row r="131" spans="1:277">
      <c r="A131" s="149" t="str">
        <f>HYPERLINK("http://www.ofsted.gov.uk/inspection-reports/find-inspection-report/provider/ELS/134140 ","Ofsted School Webpage")</f>
        <v>Ofsted School Webpage</v>
      </c>
      <c r="B131">
        <v>1133470</v>
      </c>
      <c r="C131">
        <v>134140</v>
      </c>
      <c r="D131">
        <v>3806114</v>
      </c>
      <c r="E131" t="s">
        <v>1713</v>
      </c>
      <c r="F131" t="s">
        <v>37</v>
      </c>
      <c r="G131" t="s">
        <v>209</v>
      </c>
      <c r="H131" t="s">
        <v>245</v>
      </c>
      <c r="I131" t="s">
        <v>246</v>
      </c>
      <c r="J131" t="s">
        <v>339</v>
      </c>
      <c r="K131" t="s">
        <v>1714</v>
      </c>
      <c r="L131" t="s">
        <v>304</v>
      </c>
      <c r="M131" t="s">
        <v>2730</v>
      </c>
      <c r="N131" t="s">
        <v>223</v>
      </c>
      <c r="O131" t="s">
        <v>2730</v>
      </c>
      <c r="P131" t="s">
        <v>186</v>
      </c>
      <c r="Q131">
        <v>10040142</v>
      </c>
      <c r="R131" s="120">
        <v>43060</v>
      </c>
      <c r="S131" s="120">
        <v>43062</v>
      </c>
      <c r="T131" s="120">
        <v>43089</v>
      </c>
      <c r="U131" t="s">
        <v>2730</v>
      </c>
      <c r="V131" t="s">
        <v>196</v>
      </c>
      <c r="W131" t="s">
        <v>2730</v>
      </c>
      <c r="X131" t="s">
        <v>197</v>
      </c>
      <c r="Y131">
        <v>2</v>
      </c>
      <c r="Z131">
        <v>2</v>
      </c>
      <c r="AA131">
        <v>2</v>
      </c>
      <c r="AB131">
        <v>2</v>
      </c>
      <c r="AC131">
        <v>2</v>
      </c>
      <c r="AD131" t="s">
        <v>2730</v>
      </c>
      <c r="AE131">
        <v>2</v>
      </c>
      <c r="AF131" t="s">
        <v>128</v>
      </c>
      <c r="AG131" t="s">
        <v>2730</v>
      </c>
      <c r="AH131" t="s">
        <v>2732</v>
      </c>
      <c r="AI131" t="s">
        <v>59</v>
      </c>
      <c r="AJ131" t="s">
        <v>59</v>
      </c>
      <c r="AK131" t="s">
        <v>59</v>
      </c>
      <c r="AL131" t="s">
        <v>59</v>
      </c>
      <c r="AM131" t="s">
        <v>59</v>
      </c>
      <c r="AN131" t="s">
        <v>59</v>
      </c>
      <c r="AO131" t="s">
        <v>59</v>
      </c>
      <c r="AP131" t="s">
        <v>59</v>
      </c>
      <c r="AQ131" t="s">
        <v>59</v>
      </c>
      <c r="AR131" t="s">
        <v>59</v>
      </c>
      <c r="AS131" t="s">
        <v>59</v>
      </c>
      <c r="AT131" t="s">
        <v>59</v>
      </c>
      <c r="AU131" t="s">
        <v>59</v>
      </c>
      <c r="AV131" t="s">
        <v>59</v>
      </c>
      <c r="AW131" t="s">
        <v>59</v>
      </c>
      <c r="AX131" t="s">
        <v>59</v>
      </c>
      <c r="AY131" t="s">
        <v>218</v>
      </c>
      <c r="AZ131" t="s">
        <v>59</v>
      </c>
      <c r="BA131" t="s">
        <v>59</v>
      </c>
      <c r="BB131" t="s">
        <v>59</v>
      </c>
      <c r="BC131" t="s">
        <v>59</v>
      </c>
      <c r="BD131" t="s">
        <v>59</v>
      </c>
      <c r="BE131" t="s">
        <v>59</v>
      </c>
      <c r="BF131" t="s">
        <v>59</v>
      </c>
      <c r="BG131" t="s">
        <v>59</v>
      </c>
      <c r="BH131" t="s">
        <v>59</v>
      </c>
      <c r="BI131" t="s">
        <v>59</v>
      </c>
      <c r="BJ131" t="s">
        <v>59</v>
      </c>
      <c r="BK131" t="s">
        <v>59</v>
      </c>
      <c r="BL131" t="s">
        <v>59</v>
      </c>
      <c r="BM131" t="s">
        <v>59</v>
      </c>
      <c r="BN131" t="s">
        <v>59</v>
      </c>
      <c r="BO131" t="s">
        <v>59</v>
      </c>
      <c r="BP131" t="s">
        <v>59</v>
      </c>
      <c r="BQ131" t="s">
        <v>59</v>
      </c>
      <c r="BR131" t="s">
        <v>59</v>
      </c>
      <c r="BS131" t="s">
        <v>59</v>
      </c>
      <c r="BT131" t="s">
        <v>59</v>
      </c>
      <c r="BU131" t="s">
        <v>59</v>
      </c>
      <c r="BV131" t="s">
        <v>59</v>
      </c>
      <c r="BW131" t="s">
        <v>59</v>
      </c>
      <c r="BX131" t="s">
        <v>59</v>
      </c>
      <c r="BY131" t="s">
        <v>59</v>
      </c>
      <c r="BZ131" t="s">
        <v>59</v>
      </c>
      <c r="CA131" t="s">
        <v>59</v>
      </c>
      <c r="CB131" t="s">
        <v>59</v>
      </c>
      <c r="CC131" t="s">
        <v>59</v>
      </c>
      <c r="CD131" t="s">
        <v>59</v>
      </c>
      <c r="CE131" t="s">
        <v>59</v>
      </c>
      <c r="CF131" t="s">
        <v>59</v>
      </c>
      <c r="CG131" t="s">
        <v>59</v>
      </c>
      <c r="CH131" t="s">
        <v>59</v>
      </c>
      <c r="CI131" t="s">
        <v>59</v>
      </c>
      <c r="CJ131" t="s">
        <v>59</v>
      </c>
      <c r="CK131" t="s">
        <v>59</v>
      </c>
      <c r="CL131" t="s">
        <v>59</v>
      </c>
      <c r="CM131" t="s">
        <v>59</v>
      </c>
      <c r="CN131" t="s">
        <v>59</v>
      </c>
      <c r="CO131" t="s">
        <v>509</v>
      </c>
      <c r="CP131" t="s">
        <v>509</v>
      </c>
      <c r="CQ131" t="s">
        <v>509</v>
      </c>
      <c r="CR131" t="s">
        <v>59</v>
      </c>
      <c r="CS131" t="s">
        <v>59</v>
      </c>
      <c r="CT131" t="s">
        <v>59</v>
      </c>
      <c r="CU131" t="s">
        <v>59</v>
      </c>
      <c r="CV131" t="s">
        <v>59</v>
      </c>
      <c r="CW131" t="s">
        <v>59</v>
      </c>
      <c r="CX131" t="s">
        <v>59</v>
      </c>
      <c r="CY131" t="s">
        <v>59</v>
      </c>
      <c r="CZ131" t="s">
        <v>59</v>
      </c>
      <c r="DA131" t="s">
        <v>59</v>
      </c>
      <c r="DB131" t="s">
        <v>59</v>
      </c>
      <c r="DC131" t="s">
        <v>59</v>
      </c>
      <c r="DD131" t="s">
        <v>59</v>
      </c>
      <c r="DE131" t="s">
        <v>59</v>
      </c>
      <c r="DF131" t="s">
        <v>59</v>
      </c>
      <c r="DG131" t="s">
        <v>59</v>
      </c>
      <c r="DH131" t="s">
        <v>59</v>
      </c>
      <c r="DI131" t="s">
        <v>59</v>
      </c>
      <c r="DJ131" t="s">
        <v>59</v>
      </c>
      <c r="DK131" t="s">
        <v>59</v>
      </c>
      <c r="DL131" t="s">
        <v>59</v>
      </c>
      <c r="DM131" t="s">
        <v>59</v>
      </c>
      <c r="DN131" t="s">
        <v>59</v>
      </c>
      <c r="DO131" t="s">
        <v>509</v>
      </c>
      <c r="DP131" t="s">
        <v>59</v>
      </c>
      <c r="DQ131" t="s">
        <v>218</v>
      </c>
      <c r="DR131" t="s">
        <v>218</v>
      </c>
      <c r="DS131" t="s">
        <v>218</v>
      </c>
      <c r="DT131" t="s">
        <v>218</v>
      </c>
      <c r="DU131" t="s">
        <v>218</v>
      </c>
      <c r="DV131" t="s">
        <v>218</v>
      </c>
      <c r="DW131" t="s">
        <v>218</v>
      </c>
      <c r="DX131" t="s">
        <v>218</v>
      </c>
      <c r="DY131" t="s">
        <v>218</v>
      </c>
      <c r="DZ131" t="s">
        <v>218</v>
      </c>
      <c r="EA131" t="s">
        <v>218</v>
      </c>
      <c r="EB131" t="s">
        <v>218</v>
      </c>
      <c r="EC131" t="s">
        <v>218</v>
      </c>
      <c r="ED131" t="s">
        <v>218</v>
      </c>
      <c r="EE131" t="s">
        <v>59</v>
      </c>
      <c r="EF131" t="s">
        <v>59</v>
      </c>
      <c r="EG131" t="s">
        <v>59</v>
      </c>
      <c r="EH131" t="s">
        <v>59</v>
      </c>
      <c r="EI131" t="s">
        <v>59</v>
      </c>
      <c r="EJ131" t="s">
        <v>59</v>
      </c>
      <c r="EK131" t="s">
        <v>59</v>
      </c>
      <c r="EL131" t="s">
        <v>59</v>
      </c>
      <c r="EM131" t="s">
        <v>59</v>
      </c>
      <c r="EN131" t="s">
        <v>59</v>
      </c>
      <c r="EO131" t="s">
        <v>59</v>
      </c>
      <c r="EP131" t="s">
        <v>59</v>
      </c>
      <c r="EQ131" t="s">
        <v>59</v>
      </c>
      <c r="ER131" t="s">
        <v>59</v>
      </c>
      <c r="ES131" t="s">
        <v>59</v>
      </c>
      <c r="ET131" t="s">
        <v>59</v>
      </c>
      <c r="EU131" t="s">
        <v>59</v>
      </c>
      <c r="EV131" t="s">
        <v>59</v>
      </c>
      <c r="EW131" t="s">
        <v>59</v>
      </c>
      <c r="EX131" t="s">
        <v>59</v>
      </c>
      <c r="EY131" t="s">
        <v>59</v>
      </c>
      <c r="EZ131" t="s">
        <v>59</v>
      </c>
      <c r="FA131" t="s">
        <v>59</v>
      </c>
      <c r="FB131" t="s">
        <v>218</v>
      </c>
      <c r="FC131" t="s">
        <v>218</v>
      </c>
      <c r="FD131" t="s">
        <v>218</v>
      </c>
      <c r="FE131" t="s">
        <v>218</v>
      </c>
      <c r="FF131" t="s">
        <v>218</v>
      </c>
      <c r="FG131" t="s">
        <v>218</v>
      </c>
      <c r="FH131" t="s">
        <v>59</v>
      </c>
      <c r="FI131" t="s">
        <v>59</v>
      </c>
      <c r="FJ131" t="s">
        <v>59</v>
      </c>
      <c r="FK131" t="s">
        <v>59</v>
      </c>
      <c r="FL131" t="s">
        <v>59</v>
      </c>
      <c r="FM131" t="s">
        <v>59</v>
      </c>
      <c r="FN131" t="s">
        <v>218</v>
      </c>
      <c r="FO131" t="s">
        <v>59</v>
      </c>
      <c r="FP131" t="s">
        <v>59</v>
      </c>
      <c r="FQ131" t="s">
        <v>59</v>
      </c>
      <c r="FR131" t="s">
        <v>59</v>
      </c>
      <c r="FS131" t="s">
        <v>218</v>
      </c>
      <c r="FT131" t="s">
        <v>59</v>
      </c>
      <c r="FU131" t="s">
        <v>59</v>
      </c>
      <c r="FV131" t="s">
        <v>59</v>
      </c>
      <c r="FW131" t="s">
        <v>59</v>
      </c>
      <c r="FX131" t="s">
        <v>59</v>
      </c>
      <c r="FY131" t="s">
        <v>59</v>
      </c>
      <c r="FZ131" t="s">
        <v>59</v>
      </c>
      <c r="GA131" t="s">
        <v>59</v>
      </c>
      <c r="GB131" t="s">
        <v>59</v>
      </c>
      <c r="GC131" t="s">
        <v>59</v>
      </c>
      <c r="GD131" t="s">
        <v>59</v>
      </c>
      <c r="GE131" t="s">
        <v>59</v>
      </c>
      <c r="GF131" t="s">
        <v>59</v>
      </c>
      <c r="GG131" t="s">
        <v>59</v>
      </c>
      <c r="GH131" t="s">
        <v>59</v>
      </c>
      <c r="GI131" t="s">
        <v>59</v>
      </c>
      <c r="GJ131" t="s">
        <v>59</v>
      </c>
      <c r="GK131" t="s">
        <v>509</v>
      </c>
      <c r="GL131" t="s">
        <v>59</v>
      </c>
      <c r="GM131" t="s">
        <v>59</v>
      </c>
      <c r="GN131" t="s">
        <v>59</v>
      </c>
      <c r="GO131" t="s">
        <v>59</v>
      </c>
      <c r="GP131" t="s">
        <v>59</v>
      </c>
      <c r="GQ131" t="s">
        <v>59</v>
      </c>
      <c r="GR131" t="s">
        <v>59</v>
      </c>
      <c r="GS131" t="s">
        <v>59</v>
      </c>
      <c r="GT131" t="s">
        <v>218</v>
      </c>
      <c r="GU131" t="s">
        <v>218</v>
      </c>
      <c r="GV131" t="s">
        <v>218</v>
      </c>
      <c r="GW131" t="s">
        <v>59</v>
      </c>
      <c r="GX131" t="s">
        <v>59</v>
      </c>
      <c r="GY131" t="s">
        <v>59</v>
      </c>
      <c r="GZ131" t="s">
        <v>59</v>
      </c>
      <c r="HA131" t="s">
        <v>218</v>
      </c>
      <c r="HB131" t="s">
        <v>59</v>
      </c>
      <c r="HC131" t="s">
        <v>59</v>
      </c>
      <c r="HD131" t="s">
        <v>59</v>
      </c>
      <c r="HE131" t="s">
        <v>59</v>
      </c>
      <c r="HF131" t="s">
        <v>59</v>
      </c>
      <c r="HG131" t="s">
        <v>59</v>
      </c>
      <c r="HH131" t="s">
        <v>59</v>
      </c>
      <c r="HI131" t="s">
        <v>59</v>
      </c>
      <c r="HJ131" t="s">
        <v>59</v>
      </c>
      <c r="HK131" t="s">
        <v>59</v>
      </c>
      <c r="HL131" t="s">
        <v>218</v>
      </c>
      <c r="HM131" t="s">
        <v>218</v>
      </c>
      <c r="HN131" t="s">
        <v>218</v>
      </c>
      <c r="HO131" t="s">
        <v>218</v>
      </c>
      <c r="HP131" t="s">
        <v>59</v>
      </c>
      <c r="HQ131" t="s">
        <v>59</v>
      </c>
      <c r="HR131" t="s">
        <v>59</v>
      </c>
      <c r="HS131" t="s">
        <v>59</v>
      </c>
      <c r="HT131" t="s">
        <v>59</v>
      </c>
      <c r="HU131" t="s">
        <v>59</v>
      </c>
      <c r="HV131" t="s">
        <v>59</v>
      </c>
      <c r="HW131" t="s">
        <v>59</v>
      </c>
      <c r="HX131" t="s">
        <v>59</v>
      </c>
      <c r="HY131" t="s">
        <v>59</v>
      </c>
      <c r="HZ131" t="s">
        <v>59</v>
      </c>
      <c r="IA131" t="s">
        <v>59</v>
      </c>
      <c r="IB131" t="s">
        <v>59</v>
      </c>
      <c r="IC131" t="s">
        <v>59</v>
      </c>
      <c r="ID131" t="s">
        <v>59</v>
      </c>
      <c r="IE131" t="s">
        <v>59</v>
      </c>
      <c r="IF131" t="s">
        <v>59</v>
      </c>
      <c r="IG131" t="s">
        <v>59</v>
      </c>
      <c r="IH131" t="s">
        <v>59</v>
      </c>
      <c r="II131" t="s">
        <v>59</v>
      </c>
      <c r="IJ131" t="s">
        <v>129</v>
      </c>
      <c r="IK131" t="s">
        <v>191</v>
      </c>
      <c r="IL131" t="s">
        <v>128</v>
      </c>
      <c r="IM131" t="s">
        <v>199</v>
      </c>
      <c r="IN131">
        <v>31</v>
      </c>
      <c r="IO131" t="s">
        <v>2730</v>
      </c>
      <c r="IP131" t="s">
        <v>2730</v>
      </c>
      <c r="IQ131" t="s">
        <v>2730</v>
      </c>
      <c r="IR131">
        <v>15</v>
      </c>
      <c r="IS131" t="s">
        <v>2730</v>
      </c>
      <c r="IT131" t="s">
        <v>2730</v>
      </c>
      <c r="IU131" t="s">
        <v>2730</v>
      </c>
      <c r="IV131">
        <v>16</v>
      </c>
      <c r="IW131" t="s">
        <v>2730</v>
      </c>
      <c r="IX131" t="s">
        <v>2730</v>
      </c>
      <c r="IY131" t="s">
        <v>2730</v>
      </c>
      <c r="IZ131">
        <v>38</v>
      </c>
      <c r="JA131" t="s">
        <v>2730</v>
      </c>
      <c r="JB131" t="s">
        <v>2730</v>
      </c>
      <c r="JC131" t="s">
        <v>2730</v>
      </c>
      <c r="JD131">
        <v>23</v>
      </c>
      <c r="JE131" t="s">
        <v>2730</v>
      </c>
      <c r="JF131" t="s">
        <v>2730</v>
      </c>
      <c r="JG131" t="s">
        <v>2730</v>
      </c>
      <c r="JH131">
        <v>22</v>
      </c>
      <c r="JI131" t="s">
        <v>2730</v>
      </c>
      <c r="JJ131" t="s">
        <v>2730</v>
      </c>
      <c r="JK131" t="s">
        <v>2730</v>
      </c>
      <c r="JL131">
        <v>16</v>
      </c>
      <c r="JM131" t="s">
        <v>2730</v>
      </c>
      <c r="JN131" t="s">
        <v>2730</v>
      </c>
      <c r="JO131">
        <v>4</v>
      </c>
      <c r="JP131" t="s">
        <v>2730</v>
      </c>
      <c r="JQ131" t="s">
        <v>2730</v>
      </c>
    </row>
    <row r="132" spans="1:277">
      <c r="A132" s="149" t="str">
        <f>HYPERLINK("http://www.ofsted.gov.uk/inspection-reports/find-inspection-report/provider/ELS/134424 ","Ofsted School Webpage")</f>
        <v>Ofsted School Webpage</v>
      </c>
      <c r="B132">
        <v>1136008</v>
      </c>
      <c r="C132">
        <v>134424</v>
      </c>
      <c r="D132">
        <v>8726013</v>
      </c>
      <c r="E132" t="s">
        <v>335</v>
      </c>
      <c r="F132" t="s">
        <v>37</v>
      </c>
      <c r="G132" t="s">
        <v>209</v>
      </c>
      <c r="H132" t="s">
        <v>181</v>
      </c>
      <c r="I132" t="s">
        <v>181</v>
      </c>
      <c r="J132" t="s">
        <v>336</v>
      </c>
      <c r="K132" t="s">
        <v>337</v>
      </c>
      <c r="L132" t="s">
        <v>212</v>
      </c>
      <c r="M132" t="s">
        <v>212</v>
      </c>
      <c r="N132" t="s">
        <v>212</v>
      </c>
      <c r="O132" t="s">
        <v>2730</v>
      </c>
      <c r="P132" t="s">
        <v>186</v>
      </c>
      <c r="Q132">
        <v>10033951</v>
      </c>
      <c r="R132" s="120">
        <v>43025</v>
      </c>
      <c r="S132" s="120">
        <v>43027</v>
      </c>
      <c r="T132" s="120">
        <v>43053</v>
      </c>
      <c r="U132" t="s">
        <v>2730</v>
      </c>
      <c r="V132" t="s">
        <v>196</v>
      </c>
      <c r="W132" t="s">
        <v>2730</v>
      </c>
      <c r="X132" t="s">
        <v>197</v>
      </c>
      <c r="Y132">
        <v>3</v>
      </c>
      <c r="Z132">
        <v>3</v>
      </c>
      <c r="AA132">
        <v>2</v>
      </c>
      <c r="AB132">
        <v>3</v>
      </c>
      <c r="AC132">
        <v>3</v>
      </c>
      <c r="AD132">
        <v>2</v>
      </c>
      <c r="AE132" t="s">
        <v>2730</v>
      </c>
      <c r="AF132" t="s">
        <v>128</v>
      </c>
      <c r="AG132" t="s">
        <v>2730</v>
      </c>
      <c r="AH132" t="s">
        <v>2732</v>
      </c>
      <c r="AI132" t="s">
        <v>59</v>
      </c>
      <c r="AJ132" t="s">
        <v>59</v>
      </c>
      <c r="AK132" t="s">
        <v>59</v>
      </c>
      <c r="AL132" t="s">
        <v>59</v>
      </c>
      <c r="AM132" t="s">
        <v>59</v>
      </c>
      <c r="AN132" t="s">
        <v>59</v>
      </c>
      <c r="AO132" t="s">
        <v>59</v>
      </c>
      <c r="AP132" t="s">
        <v>59</v>
      </c>
      <c r="AQ132" t="s">
        <v>59</v>
      </c>
      <c r="AR132" t="s">
        <v>59</v>
      </c>
      <c r="AS132" t="s">
        <v>59</v>
      </c>
      <c r="AT132" t="s">
        <v>59</v>
      </c>
      <c r="AU132" t="s">
        <v>59</v>
      </c>
      <c r="AV132" t="s">
        <v>59</v>
      </c>
      <c r="AW132" t="s">
        <v>59</v>
      </c>
      <c r="AX132" t="s">
        <v>59</v>
      </c>
      <c r="AY132" t="s">
        <v>218</v>
      </c>
      <c r="AZ132" t="s">
        <v>59</v>
      </c>
      <c r="BA132" t="s">
        <v>59</v>
      </c>
      <c r="BB132" t="s">
        <v>59</v>
      </c>
      <c r="BC132" t="s">
        <v>59</v>
      </c>
      <c r="BD132" t="s">
        <v>59</v>
      </c>
      <c r="BE132" t="s">
        <v>59</v>
      </c>
      <c r="BF132" t="s">
        <v>59</v>
      </c>
      <c r="BG132" t="s">
        <v>59</v>
      </c>
      <c r="BH132" t="s">
        <v>59</v>
      </c>
      <c r="BI132" t="s">
        <v>59</v>
      </c>
      <c r="BJ132" t="s">
        <v>59</v>
      </c>
      <c r="BK132" t="s">
        <v>59</v>
      </c>
      <c r="BL132" t="s">
        <v>59</v>
      </c>
      <c r="BM132" t="s">
        <v>59</v>
      </c>
      <c r="BN132" t="s">
        <v>59</v>
      </c>
      <c r="BO132" t="s">
        <v>59</v>
      </c>
      <c r="BP132" t="s">
        <v>59</v>
      </c>
      <c r="BQ132" t="s">
        <v>59</v>
      </c>
      <c r="BR132" t="s">
        <v>59</v>
      </c>
      <c r="BS132" t="s">
        <v>59</v>
      </c>
      <c r="BT132" t="s">
        <v>59</v>
      </c>
      <c r="BU132" t="s">
        <v>59</v>
      </c>
      <c r="BV132" t="s">
        <v>59</v>
      </c>
      <c r="BW132" t="s">
        <v>59</v>
      </c>
      <c r="BX132" t="s">
        <v>59</v>
      </c>
      <c r="BY132" t="s">
        <v>59</v>
      </c>
      <c r="BZ132" t="s">
        <v>59</v>
      </c>
      <c r="CA132" t="s">
        <v>59</v>
      </c>
      <c r="CB132" t="s">
        <v>59</v>
      </c>
      <c r="CC132" t="s">
        <v>59</v>
      </c>
      <c r="CD132" t="s">
        <v>59</v>
      </c>
      <c r="CE132" t="s">
        <v>59</v>
      </c>
      <c r="CF132" t="s">
        <v>59</v>
      </c>
      <c r="CG132" t="s">
        <v>59</v>
      </c>
      <c r="CH132" t="s">
        <v>59</v>
      </c>
      <c r="CI132" t="s">
        <v>59</v>
      </c>
      <c r="CJ132" t="s">
        <v>59</v>
      </c>
      <c r="CK132" t="s">
        <v>59</v>
      </c>
      <c r="CL132" t="s">
        <v>59</v>
      </c>
      <c r="CM132" t="s">
        <v>59</v>
      </c>
      <c r="CN132" t="s">
        <v>59</v>
      </c>
      <c r="CO132" t="s">
        <v>59</v>
      </c>
      <c r="CP132" t="s">
        <v>59</v>
      </c>
      <c r="CQ132" t="s">
        <v>218</v>
      </c>
      <c r="CR132" t="s">
        <v>59</v>
      </c>
      <c r="CS132" t="s">
        <v>59</v>
      </c>
      <c r="CT132" t="s">
        <v>59</v>
      </c>
      <c r="CU132" t="s">
        <v>59</v>
      </c>
      <c r="CV132" t="s">
        <v>59</v>
      </c>
      <c r="CW132" t="s">
        <v>59</v>
      </c>
      <c r="CX132" t="s">
        <v>59</v>
      </c>
      <c r="CY132" t="s">
        <v>59</v>
      </c>
      <c r="CZ132" t="s">
        <v>59</v>
      </c>
      <c r="DA132" t="s">
        <v>59</v>
      </c>
      <c r="DB132" t="s">
        <v>59</v>
      </c>
      <c r="DC132" t="s">
        <v>59</v>
      </c>
      <c r="DD132" t="s">
        <v>59</v>
      </c>
      <c r="DE132" t="s">
        <v>59</v>
      </c>
      <c r="DF132" t="s">
        <v>59</v>
      </c>
      <c r="DG132" t="s">
        <v>59</v>
      </c>
      <c r="DH132" t="s">
        <v>59</v>
      </c>
      <c r="DI132" t="s">
        <v>59</v>
      </c>
      <c r="DJ132" t="s">
        <v>59</v>
      </c>
      <c r="DK132" t="s">
        <v>59</v>
      </c>
      <c r="DL132" t="s">
        <v>59</v>
      </c>
      <c r="DM132" t="s">
        <v>59</v>
      </c>
      <c r="DN132" t="s">
        <v>59</v>
      </c>
      <c r="DO132" t="s">
        <v>218</v>
      </c>
      <c r="DP132" t="s">
        <v>59</v>
      </c>
      <c r="DQ132" t="s">
        <v>59</v>
      </c>
      <c r="DR132" t="s">
        <v>59</v>
      </c>
      <c r="DS132" t="s">
        <v>59</v>
      </c>
      <c r="DT132" t="s">
        <v>59</v>
      </c>
      <c r="DU132" t="s">
        <v>59</v>
      </c>
      <c r="DV132" t="s">
        <v>59</v>
      </c>
      <c r="DW132" t="s">
        <v>59</v>
      </c>
      <c r="DX132" t="s">
        <v>59</v>
      </c>
      <c r="DY132" t="s">
        <v>59</v>
      </c>
      <c r="DZ132" t="s">
        <v>59</v>
      </c>
      <c r="EA132" t="s">
        <v>59</v>
      </c>
      <c r="EB132" t="s">
        <v>59</v>
      </c>
      <c r="EC132" t="s">
        <v>59</v>
      </c>
      <c r="ED132" t="s">
        <v>59</v>
      </c>
      <c r="EE132" t="s">
        <v>59</v>
      </c>
      <c r="EF132" t="s">
        <v>59</v>
      </c>
      <c r="EG132" t="s">
        <v>59</v>
      </c>
      <c r="EH132" t="s">
        <v>59</v>
      </c>
      <c r="EI132" t="s">
        <v>59</v>
      </c>
      <c r="EJ132" t="s">
        <v>59</v>
      </c>
      <c r="EK132" t="s">
        <v>59</v>
      </c>
      <c r="EL132" t="s">
        <v>59</v>
      </c>
      <c r="EM132" t="s">
        <v>59</v>
      </c>
      <c r="EN132" t="s">
        <v>59</v>
      </c>
      <c r="EO132" t="s">
        <v>59</v>
      </c>
      <c r="EP132" t="s">
        <v>59</v>
      </c>
      <c r="EQ132" t="s">
        <v>59</v>
      </c>
      <c r="ER132" t="s">
        <v>59</v>
      </c>
      <c r="ES132" t="s">
        <v>59</v>
      </c>
      <c r="ET132" t="s">
        <v>59</v>
      </c>
      <c r="EU132" t="s">
        <v>59</v>
      </c>
      <c r="EV132" t="s">
        <v>59</v>
      </c>
      <c r="EW132" t="s">
        <v>59</v>
      </c>
      <c r="EX132" t="s">
        <v>59</v>
      </c>
      <c r="EY132" t="s">
        <v>59</v>
      </c>
      <c r="EZ132" t="s">
        <v>59</v>
      </c>
      <c r="FA132" t="s">
        <v>59</v>
      </c>
      <c r="FB132" t="s">
        <v>59</v>
      </c>
      <c r="FC132" t="s">
        <v>59</v>
      </c>
      <c r="FD132" t="s">
        <v>59</v>
      </c>
      <c r="FE132" t="s">
        <v>59</v>
      </c>
      <c r="FF132" t="s">
        <v>59</v>
      </c>
      <c r="FG132" t="s">
        <v>59</v>
      </c>
      <c r="FH132" t="s">
        <v>59</v>
      </c>
      <c r="FI132" t="s">
        <v>59</v>
      </c>
      <c r="FJ132" t="s">
        <v>59</v>
      </c>
      <c r="FK132" t="s">
        <v>59</v>
      </c>
      <c r="FL132" t="s">
        <v>59</v>
      </c>
      <c r="FM132" t="s">
        <v>59</v>
      </c>
      <c r="FN132" t="s">
        <v>59</v>
      </c>
      <c r="FO132" t="s">
        <v>59</v>
      </c>
      <c r="FP132" t="s">
        <v>59</v>
      </c>
      <c r="FQ132" t="s">
        <v>59</v>
      </c>
      <c r="FR132" t="s">
        <v>59</v>
      </c>
      <c r="FS132" t="s">
        <v>59</v>
      </c>
      <c r="FT132" t="s">
        <v>59</v>
      </c>
      <c r="FU132" t="s">
        <v>59</v>
      </c>
      <c r="FV132" t="s">
        <v>59</v>
      </c>
      <c r="FW132" t="s">
        <v>59</v>
      </c>
      <c r="FX132" t="s">
        <v>59</v>
      </c>
      <c r="FY132" t="s">
        <v>59</v>
      </c>
      <c r="FZ132" t="s">
        <v>59</v>
      </c>
      <c r="GA132" t="s">
        <v>59</v>
      </c>
      <c r="GB132" t="s">
        <v>59</v>
      </c>
      <c r="GC132" t="s">
        <v>59</v>
      </c>
      <c r="GD132" t="s">
        <v>59</v>
      </c>
      <c r="GE132" t="s">
        <v>59</v>
      </c>
      <c r="GF132" t="s">
        <v>59</v>
      </c>
      <c r="GG132" t="s">
        <v>59</v>
      </c>
      <c r="GH132" t="s">
        <v>59</v>
      </c>
      <c r="GI132" t="s">
        <v>59</v>
      </c>
      <c r="GJ132" t="s">
        <v>59</v>
      </c>
      <c r="GK132" t="s">
        <v>218</v>
      </c>
      <c r="GL132" t="s">
        <v>59</v>
      </c>
      <c r="GM132" t="s">
        <v>59</v>
      </c>
      <c r="GN132" t="s">
        <v>59</v>
      </c>
      <c r="GO132" t="s">
        <v>59</v>
      </c>
      <c r="GP132" t="s">
        <v>59</v>
      </c>
      <c r="GQ132" t="s">
        <v>59</v>
      </c>
      <c r="GR132" t="s">
        <v>59</v>
      </c>
      <c r="GS132" t="s">
        <v>59</v>
      </c>
      <c r="GT132" t="s">
        <v>59</v>
      </c>
      <c r="GU132" t="s">
        <v>59</v>
      </c>
      <c r="GV132" t="s">
        <v>59</v>
      </c>
      <c r="GW132" t="s">
        <v>59</v>
      </c>
      <c r="GX132" t="s">
        <v>59</v>
      </c>
      <c r="GY132" t="s">
        <v>59</v>
      </c>
      <c r="GZ132" t="s">
        <v>59</v>
      </c>
      <c r="HA132" t="s">
        <v>59</v>
      </c>
      <c r="HB132" t="s">
        <v>59</v>
      </c>
      <c r="HC132" t="s">
        <v>59</v>
      </c>
      <c r="HD132" t="s">
        <v>59</v>
      </c>
      <c r="HE132" t="s">
        <v>59</v>
      </c>
      <c r="HF132" t="s">
        <v>59</v>
      </c>
      <c r="HG132" t="s">
        <v>59</v>
      </c>
      <c r="HH132" t="s">
        <v>59</v>
      </c>
      <c r="HI132" t="s">
        <v>59</v>
      </c>
      <c r="HJ132" t="s">
        <v>59</v>
      </c>
      <c r="HK132" t="s">
        <v>59</v>
      </c>
      <c r="HL132" t="s">
        <v>59</v>
      </c>
      <c r="HM132" t="s">
        <v>59</v>
      </c>
      <c r="HN132" t="s">
        <v>59</v>
      </c>
      <c r="HO132" t="s">
        <v>59</v>
      </c>
      <c r="HP132" t="s">
        <v>59</v>
      </c>
      <c r="HQ132" t="s">
        <v>59</v>
      </c>
      <c r="HR132" t="s">
        <v>59</v>
      </c>
      <c r="HS132" t="s">
        <v>59</v>
      </c>
      <c r="HT132" t="s">
        <v>59</v>
      </c>
      <c r="HU132" t="s">
        <v>59</v>
      </c>
      <c r="HV132" t="s">
        <v>59</v>
      </c>
      <c r="HW132" t="s">
        <v>59</v>
      </c>
      <c r="HX132" t="s">
        <v>59</v>
      </c>
      <c r="HY132" t="s">
        <v>59</v>
      </c>
      <c r="HZ132" t="s">
        <v>59</v>
      </c>
      <c r="IA132" t="s">
        <v>59</v>
      </c>
      <c r="IB132" t="s">
        <v>59</v>
      </c>
      <c r="IC132" t="s">
        <v>59</v>
      </c>
      <c r="ID132" t="s">
        <v>59</v>
      </c>
      <c r="IE132" t="s">
        <v>59</v>
      </c>
      <c r="IF132" t="s">
        <v>59</v>
      </c>
      <c r="IG132" t="s">
        <v>59</v>
      </c>
      <c r="IH132" t="s">
        <v>59</v>
      </c>
      <c r="II132" t="s">
        <v>59</v>
      </c>
      <c r="IJ132" t="s">
        <v>129</v>
      </c>
      <c r="IK132" t="s">
        <v>191</v>
      </c>
      <c r="IL132" t="s">
        <v>128</v>
      </c>
      <c r="IM132" t="s">
        <v>199</v>
      </c>
      <c r="IN132">
        <v>31</v>
      </c>
      <c r="IO132" t="s">
        <v>2730</v>
      </c>
      <c r="IP132" t="s">
        <v>2730</v>
      </c>
      <c r="IQ132" t="s">
        <v>2730</v>
      </c>
      <c r="IR132">
        <v>15</v>
      </c>
      <c r="IS132" t="s">
        <v>2730</v>
      </c>
      <c r="IT132" t="s">
        <v>2730</v>
      </c>
      <c r="IU132" t="s">
        <v>2730</v>
      </c>
      <c r="IV132">
        <v>18</v>
      </c>
      <c r="IW132" t="s">
        <v>2730</v>
      </c>
      <c r="IX132" t="s">
        <v>2730</v>
      </c>
      <c r="IY132" t="s">
        <v>2730</v>
      </c>
      <c r="IZ132">
        <v>58</v>
      </c>
      <c r="JA132" t="s">
        <v>2730</v>
      </c>
      <c r="JB132" t="s">
        <v>2730</v>
      </c>
      <c r="JC132" t="s">
        <v>2730</v>
      </c>
      <c r="JD132">
        <v>25</v>
      </c>
      <c r="JE132" t="s">
        <v>2730</v>
      </c>
      <c r="JF132" t="s">
        <v>2730</v>
      </c>
      <c r="JG132" t="s">
        <v>2730</v>
      </c>
      <c r="JH132">
        <v>30</v>
      </c>
      <c r="JI132" t="s">
        <v>2730</v>
      </c>
      <c r="JJ132" t="s">
        <v>2730</v>
      </c>
      <c r="JK132" t="s">
        <v>2730</v>
      </c>
      <c r="JL132">
        <v>16</v>
      </c>
      <c r="JM132" t="s">
        <v>2730</v>
      </c>
      <c r="JN132" t="s">
        <v>2730</v>
      </c>
      <c r="JO132">
        <v>4</v>
      </c>
      <c r="JP132" t="s">
        <v>2730</v>
      </c>
      <c r="JQ132" t="s">
        <v>2730</v>
      </c>
    </row>
    <row r="133" spans="1:277">
      <c r="A133" t="str">
        <f>HYPERLINK("http://www.ofsted.gov.uk/inspection-reports/find-inspection-report/provider/ELS/131351 ","Ofsted School Webpage")</f>
        <v>Ofsted School Webpage</v>
      </c>
      <c r="B133">
        <v>1133603</v>
      </c>
      <c r="C133">
        <v>131351</v>
      </c>
      <c r="D133">
        <v>3146070</v>
      </c>
      <c r="E133" t="s">
        <v>238</v>
      </c>
      <c r="F133" t="s">
        <v>37</v>
      </c>
      <c r="G133" t="s">
        <v>209</v>
      </c>
      <c r="H133" t="s">
        <v>232</v>
      </c>
      <c r="I133" t="s">
        <v>232</v>
      </c>
      <c r="J133" t="s">
        <v>239</v>
      </c>
      <c r="K133" t="s">
        <v>240</v>
      </c>
      <c r="L133" t="s">
        <v>184</v>
      </c>
      <c r="M133" t="s">
        <v>185</v>
      </c>
      <c r="N133" t="s">
        <v>184</v>
      </c>
      <c r="O133" t="s">
        <v>2730</v>
      </c>
      <c r="P133" t="s">
        <v>186</v>
      </c>
      <c r="Q133">
        <v>10012830</v>
      </c>
      <c r="R133" s="120">
        <v>43025</v>
      </c>
      <c r="S133" s="120">
        <v>43027</v>
      </c>
      <c r="T133" s="120">
        <v>43054</v>
      </c>
      <c r="U133" t="s">
        <v>2730</v>
      </c>
      <c r="V133" t="s">
        <v>196</v>
      </c>
      <c r="W133" t="s">
        <v>2730</v>
      </c>
      <c r="X133" t="s">
        <v>197</v>
      </c>
      <c r="Y133">
        <v>2</v>
      </c>
      <c r="Z133">
        <v>2</v>
      </c>
      <c r="AA133">
        <v>2</v>
      </c>
      <c r="AB133">
        <v>2</v>
      </c>
      <c r="AC133">
        <v>2</v>
      </c>
      <c r="AD133">
        <v>2</v>
      </c>
      <c r="AE133" t="s">
        <v>2730</v>
      </c>
      <c r="AF133" t="s">
        <v>128</v>
      </c>
      <c r="AG133" t="s">
        <v>2730</v>
      </c>
      <c r="AH133" t="s">
        <v>2732</v>
      </c>
      <c r="AI133" t="s">
        <v>59</v>
      </c>
      <c r="AJ133" t="s">
        <v>59</v>
      </c>
      <c r="AK133" t="s">
        <v>59</v>
      </c>
      <c r="AL133" t="s">
        <v>59</v>
      </c>
      <c r="AM133" t="s">
        <v>59</v>
      </c>
      <c r="AN133" t="s">
        <v>59</v>
      </c>
      <c r="AO133" t="s">
        <v>59</v>
      </c>
      <c r="AP133" t="s">
        <v>59</v>
      </c>
      <c r="AQ133" t="s">
        <v>59</v>
      </c>
      <c r="AR133" t="s">
        <v>59</v>
      </c>
      <c r="AS133" t="s">
        <v>59</v>
      </c>
      <c r="AT133" t="s">
        <v>59</v>
      </c>
      <c r="AU133" t="s">
        <v>59</v>
      </c>
      <c r="AV133" t="s">
        <v>59</v>
      </c>
      <c r="AW133" t="s">
        <v>59</v>
      </c>
      <c r="AX133" t="s">
        <v>59</v>
      </c>
      <c r="AY133" t="s">
        <v>191</v>
      </c>
      <c r="AZ133" t="s">
        <v>59</v>
      </c>
      <c r="BA133" t="s">
        <v>59</v>
      </c>
      <c r="BB133" t="s">
        <v>59</v>
      </c>
      <c r="BC133" t="s">
        <v>191</v>
      </c>
      <c r="BD133" t="s">
        <v>191</v>
      </c>
      <c r="BE133" t="s">
        <v>191</v>
      </c>
      <c r="BF133" t="s">
        <v>191</v>
      </c>
      <c r="BG133" t="s">
        <v>59</v>
      </c>
      <c r="BH133" t="s">
        <v>191</v>
      </c>
      <c r="BI133" t="s">
        <v>59</v>
      </c>
      <c r="BJ133" t="s">
        <v>59</v>
      </c>
      <c r="BK133" t="s">
        <v>59</v>
      </c>
      <c r="BL133" t="s">
        <v>59</v>
      </c>
      <c r="BM133" t="s">
        <v>59</v>
      </c>
      <c r="BN133" t="s">
        <v>59</v>
      </c>
      <c r="BO133" t="s">
        <v>59</v>
      </c>
      <c r="BP133" t="s">
        <v>59</v>
      </c>
      <c r="BQ133" t="s">
        <v>59</v>
      </c>
      <c r="BR133" t="s">
        <v>59</v>
      </c>
      <c r="BS133" t="s">
        <v>59</v>
      </c>
      <c r="BT133" t="s">
        <v>59</v>
      </c>
      <c r="BU133" t="s">
        <v>59</v>
      </c>
      <c r="BV133" t="s">
        <v>59</v>
      </c>
      <c r="BW133" t="s">
        <v>59</v>
      </c>
      <c r="BX133" t="s">
        <v>59</v>
      </c>
      <c r="BY133" t="s">
        <v>59</v>
      </c>
      <c r="BZ133" t="s">
        <v>59</v>
      </c>
      <c r="CA133" t="s">
        <v>59</v>
      </c>
      <c r="CB133" t="s">
        <v>59</v>
      </c>
      <c r="CC133" t="s">
        <v>59</v>
      </c>
      <c r="CD133" t="s">
        <v>59</v>
      </c>
      <c r="CE133" t="s">
        <v>59</v>
      </c>
      <c r="CF133" t="s">
        <v>59</v>
      </c>
      <c r="CG133" t="s">
        <v>59</v>
      </c>
      <c r="CH133" t="s">
        <v>59</v>
      </c>
      <c r="CI133" t="s">
        <v>59</v>
      </c>
      <c r="CJ133" t="s">
        <v>59</v>
      </c>
      <c r="CK133" t="s">
        <v>59</v>
      </c>
      <c r="CL133" t="s">
        <v>59</v>
      </c>
      <c r="CM133" t="s">
        <v>59</v>
      </c>
      <c r="CN133" t="s">
        <v>59</v>
      </c>
      <c r="CO133" t="s">
        <v>191</v>
      </c>
      <c r="CP133" t="s">
        <v>191</v>
      </c>
      <c r="CQ133" t="s">
        <v>191</v>
      </c>
      <c r="CR133" t="s">
        <v>59</v>
      </c>
      <c r="CS133" t="s">
        <v>59</v>
      </c>
      <c r="CT133" t="s">
        <v>59</v>
      </c>
      <c r="CU133" t="s">
        <v>59</v>
      </c>
      <c r="CV133" t="s">
        <v>59</v>
      </c>
      <c r="CW133" t="s">
        <v>59</v>
      </c>
      <c r="CX133" t="s">
        <v>59</v>
      </c>
      <c r="CY133" t="s">
        <v>59</v>
      </c>
      <c r="CZ133" t="s">
        <v>59</v>
      </c>
      <c r="DA133" t="s">
        <v>59</v>
      </c>
      <c r="DB133" t="s">
        <v>59</v>
      </c>
      <c r="DC133" t="s">
        <v>59</v>
      </c>
      <c r="DD133" t="s">
        <v>59</v>
      </c>
      <c r="DE133" t="s">
        <v>59</v>
      </c>
      <c r="DF133" t="s">
        <v>59</v>
      </c>
      <c r="DG133" t="s">
        <v>59</v>
      </c>
      <c r="DH133" t="s">
        <v>59</v>
      </c>
      <c r="DI133" t="s">
        <v>59</v>
      </c>
      <c r="DJ133" t="s">
        <v>59</v>
      </c>
      <c r="DK133" t="s">
        <v>59</v>
      </c>
      <c r="DL133" t="s">
        <v>59</v>
      </c>
      <c r="DM133" t="s">
        <v>59</v>
      </c>
      <c r="DN133" t="s">
        <v>59</v>
      </c>
      <c r="DO133" t="s">
        <v>191</v>
      </c>
      <c r="DP133" t="s">
        <v>59</v>
      </c>
      <c r="DQ133" t="s">
        <v>191</v>
      </c>
      <c r="DR133" t="s">
        <v>191</v>
      </c>
      <c r="DS133" t="s">
        <v>191</v>
      </c>
      <c r="DT133" t="s">
        <v>191</v>
      </c>
      <c r="DU133" t="s">
        <v>191</v>
      </c>
      <c r="DV133" t="s">
        <v>191</v>
      </c>
      <c r="DW133" t="s">
        <v>191</v>
      </c>
      <c r="DX133" t="s">
        <v>191</v>
      </c>
      <c r="DY133" t="s">
        <v>191</v>
      </c>
      <c r="DZ133" t="s">
        <v>191</v>
      </c>
      <c r="EA133" t="s">
        <v>191</v>
      </c>
      <c r="EB133" t="s">
        <v>191</v>
      </c>
      <c r="EC133" t="s">
        <v>191</v>
      </c>
      <c r="ED133" t="s">
        <v>191</v>
      </c>
      <c r="EE133" t="s">
        <v>59</v>
      </c>
      <c r="EF133" t="s">
        <v>59</v>
      </c>
      <c r="EG133" t="s">
        <v>59</v>
      </c>
      <c r="EH133" t="s">
        <v>59</v>
      </c>
      <c r="EI133" t="s">
        <v>59</v>
      </c>
      <c r="EJ133" t="s">
        <v>59</v>
      </c>
      <c r="EK133" t="s">
        <v>59</v>
      </c>
      <c r="EL133" t="s">
        <v>59</v>
      </c>
      <c r="EM133" t="s">
        <v>59</v>
      </c>
      <c r="EN133" t="s">
        <v>59</v>
      </c>
      <c r="EO133" t="s">
        <v>59</v>
      </c>
      <c r="EP133" t="s">
        <v>59</v>
      </c>
      <c r="EQ133" t="s">
        <v>59</v>
      </c>
      <c r="ER133" t="s">
        <v>59</v>
      </c>
      <c r="ES133" t="s">
        <v>59</v>
      </c>
      <c r="ET133" t="s">
        <v>59</v>
      </c>
      <c r="EU133" t="s">
        <v>59</v>
      </c>
      <c r="EV133" t="s">
        <v>59</v>
      </c>
      <c r="EW133" t="s">
        <v>59</v>
      </c>
      <c r="EX133" t="s">
        <v>59</v>
      </c>
      <c r="EY133" t="s">
        <v>59</v>
      </c>
      <c r="EZ133" t="s">
        <v>59</v>
      </c>
      <c r="FA133" t="s">
        <v>59</v>
      </c>
      <c r="FB133" t="s">
        <v>191</v>
      </c>
      <c r="FC133" t="s">
        <v>191</v>
      </c>
      <c r="FD133" t="s">
        <v>191</v>
      </c>
      <c r="FE133" t="s">
        <v>191</v>
      </c>
      <c r="FF133" t="s">
        <v>191</v>
      </c>
      <c r="FG133" t="s">
        <v>191</v>
      </c>
      <c r="FH133" t="s">
        <v>59</v>
      </c>
      <c r="FI133" t="s">
        <v>59</v>
      </c>
      <c r="FJ133" t="s">
        <v>59</v>
      </c>
      <c r="FK133" t="s">
        <v>59</v>
      </c>
      <c r="FL133" t="s">
        <v>59</v>
      </c>
      <c r="FM133" t="s">
        <v>59</v>
      </c>
      <c r="FN133" t="s">
        <v>59</v>
      </c>
      <c r="FO133" t="s">
        <v>59</v>
      </c>
      <c r="FP133" t="s">
        <v>59</v>
      </c>
      <c r="FQ133" t="s">
        <v>59</v>
      </c>
      <c r="FR133" t="s">
        <v>59</v>
      </c>
      <c r="FS133" t="s">
        <v>191</v>
      </c>
      <c r="FT133" t="s">
        <v>59</v>
      </c>
      <c r="FU133" t="s">
        <v>59</v>
      </c>
      <c r="FV133" t="s">
        <v>59</v>
      </c>
      <c r="FW133" t="s">
        <v>59</v>
      </c>
      <c r="FX133" t="s">
        <v>59</v>
      </c>
      <c r="FY133" t="s">
        <v>59</v>
      </c>
      <c r="FZ133" t="s">
        <v>59</v>
      </c>
      <c r="GA133" t="s">
        <v>59</v>
      </c>
      <c r="GB133" t="s">
        <v>59</v>
      </c>
      <c r="GC133" t="s">
        <v>59</v>
      </c>
      <c r="GD133" t="s">
        <v>59</v>
      </c>
      <c r="GE133" t="s">
        <v>59</v>
      </c>
      <c r="GF133" t="s">
        <v>59</v>
      </c>
      <c r="GG133" t="s">
        <v>59</v>
      </c>
      <c r="GH133" t="s">
        <v>59</v>
      </c>
      <c r="GI133" t="s">
        <v>59</v>
      </c>
      <c r="GJ133" t="s">
        <v>59</v>
      </c>
      <c r="GK133" t="s">
        <v>191</v>
      </c>
      <c r="GL133" t="s">
        <v>59</v>
      </c>
      <c r="GM133" t="s">
        <v>59</v>
      </c>
      <c r="GN133" t="s">
        <v>59</v>
      </c>
      <c r="GO133" t="s">
        <v>59</v>
      </c>
      <c r="GP133" t="s">
        <v>59</v>
      </c>
      <c r="GQ133" t="s">
        <v>59</v>
      </c>
      <c r="GR133" t="s">
        <v>59</v>
      </c>
      <c r="GS133" t="s">
        <v>59</v>
      </c>
      <c r="GT133" t="s">
        <v>191</v>
      </c>
      <c r="GU133" t="s">
        <v>191</v>
      </c>
      <c r="GV133" t="s">
        <v>59</v>
      </c>
      <c r="GW133" t="s">
        <v>59</v>
      </c>
      <c r="GX133" t="s">
        <v>59</v>
      </c>
      <c r="GY133" t="s">
        <v>59</v>
      </c>
      <c r="GZ133" t="s">
        <v>59</v>
      </c>
      <c r="HA133" t="s">
        <v>59</v>
      </c>
      <c r="HB133" t="s">
        <v>59</v>
      </c>
      <c r="HC133" t="s">
        <v>59</v>
      </c>
      <c r="HD133" t="s">
        <v>59</v>
      </c>
      <c r="HE133" t="s">
        <v>59</v>
      </c>
      <c r="HF133" t="s">
        <v>59</v>
      </c>
      <c r="HG133" t="s">
        <v>59</v>
      </c>
      <c r="HH133" t="s">
        <v>59</v>
      </c>
      <c r="HI133" t="s">
        <v>59</v>
      </c>
      <c r="HJ133" t="s">
        <v>59</v>
      </c>
      <c r="HK133" t="s">
        <v>59</v>
      </c>
      <c r="HL133" t="s">
        <v>59</v>
      </c>
      <c r="HM133" t="s">
        <v>59</v>
      </c>
      <c r="HN133" t="s">
        <v>59</v>
      </c>
      <c r="HO133" t="s">
        <v>59</v>
      </c>
      <c r="HP133" t="s">
        <v>59</v>
      </c>
      <c r="HQ133" t="s">
        <v>59</v>
      </c>
      <c r="HR133" t="s">
        <v>59</v>
      </c>
      <c r="HS133" t="s">
        <v>59</v>
      </c>
      <c r="HT133" t="s">
        <v>59</v>
      </c>
      <c r="HU133" t="s">
        <v>59</v>
      </c>
      <c r="HV133" t="s">
        <v>59</v>
      </c>
      <c r="HW133" t="s">
        <v>59</v>
      </c>
      <c r="HX133" t="s">
        <v>59</v>
      </c>
      <c r="HY133" t="s">
        <v>59</v>
      </c>
      <c r="HZ133" t="s">
        <v>59</v>
      </c>
      <c r="IA133" t="s">
        <v>59</v>
      </c>
      <c r="IB133" t="s">
        <v>59</v>
      </c>
      <c r="IC133" t="s">
        <v>59</v>
      </c>
      <c r="ID133" t="s">
        <v>59</v>
      </c>
      <c r="IE133" t="s">
        <v>59</v>
      </c>
      <c r="IF133" t="s">
        <v>59</v>
      </c>
      <c r="IG133" t="s">
        <v>59</v>
      </c>
      <c r="IH133" t="s">
        <v>59</v>
      </c>
      <c r="II133" t="s">
        <v>59</v>
      </c>
      <c r="IJ133" t="s">
        <v>129</v>
      </c>
      <c r="IK133" t="s">
        <v>198</v>
      </c>
      <c r="IL133" t="s">
        <v>128</v>
      </c>
      <c r="IM133" t="s">
        <v>199</v>
      </c>
      <c r="IN133">
        <v>26</v>
      </c>
      <c r="IO133" t="s">
        <v>2730</v>
      </c>
      <c r="IP133">
        <v>6</v>
      </c>
      <c r="IQ133" t="s">
        <v>2730</v>
      </c>
      <c r="IR133">
        <v>15</v>
      </c>
      <c r="IS133" t="s">
        <v>2730</v>
      </c>
      <c r="IT133" t="s">
        <v>2730</v>
      </c>
      <c r="IU133" t="s">
        <v>2730</v>
      </c>
      <c r="IV133">
        <v>16</v>
      </c>
      <c r="IW133" t="s">
        <v>2730</v>
      </c>
      <c r="IX133">
        <v>3</v>
      </c>
      <c r="IY133" t="s">
        <v>2730</v>
      </c>
      <c r="IZ133">
        <v>38</v>
      </c>
      <c r="JA133" t="s">
        <v>2730</v>
      </c>
      <c r="JB133">
        <v>21</v>
      </c>
      <c r="JC133" t="s">
        <v>2730</v>
      </c>
      <c r="JD133">
        <v>24</v>
      </c>
      <c r="JE133" t="s">
        <v>2730</v>
      </c>
      <c r="JF133">
        <v>2</v>
      </c>
      <c r="JG133" t="s">
        <v>2730</v>
      </c>
      <c r="JH133">
        <v>28</v>
      </c>
      <c r="JI133" t="s">
        <v>2730</v>
      </c>
      <c r="JJ133">
        <v>2</v>
      </c>
      <c r="JK133" t="s">
        <v>2730</v>
      </c>
      <c r="JL133">
        <v>16</v>
      </c>
      <c r="JM133" t="s">
        <v>2730</v>
      </c>
      <c r="JN133" t="s">
        <v>2730</v>
      </c>
      <c r="JO133">
        <v>4</v>
      </c>
      <c r="JP133" t="s">
        <v>2730</v>
      </c>
      <c r="JQ133" t="s">
        <v>2730</v>
      </c>
    </row>
    <row r="134" spans="1:277">
      <c r="A134" t="str">
        <f>HYPERLINK("http://www.ofsted.gov.uk/inspection-reports/find-inspection-report/provider/ELS/100982 ","Ofsted School Webpage")</f>
        <v>Ofsted School Webpage</v>
      </c>
      <c r="B134">
        <v>1134497</v>
      </c>
      <c r="C134">
        <v>100982</v>
      </c>
      <c r="D134">
        <v>2116383</v>
      </c>
      <c r="E134" t="s">
        <v>1809</v>
      </c>
      <c r="F134" t="s">
        <v>37</v>
      </c>
      <c r="G134" t="s">
        <v>209</v>
      </c>
      <c r="H134" t="s">
        <v>232</v>
      </c>
      <c r="I134" t="s">
        <v>232</v>
      </c>
      <c r="J134" t="s">
        <v>539</v>
      </c>
      <c r="K134" t="s">
        <v>1810</v>
      </c>
      <c r="L134" t="s">
        <v>184</v>
      </c>
      <c r="M134" t="s">
        <v>185</v>
      </c>
      <c r="N134" t="s">
        <v>223</v>
      </c>
      <c r="O134" t="s">
        <v>2730</v>
      </c>
      <c r="P134" t="s">
        <v>186</v>
      </c>
      <c r="Q134">
        <v>10026274</v>
      </c>
      <c r="R134" s="120">
        <v>43053</v>
      </c>
      <c r="S134" s="120">
        <v>43055</v>
      </c>
      <c r="T134" s="120">
        <v>43089</v>
      </c>
      <c r="U134" t="s">
        <v>2730</v>
      </c>
      <c r="V134" t="s">
        <v>196</v>
      </c>
      <c r="W134" t="s">
        <v>2730</v>
      </c>
      <c r="X134" t="s">
        <v>197</v>
      </c>
      <c r="Y134">
        <v>2</v>
      </c>
      <c r="Z134">
        <v>2</v>
      </c>
      <c r="AA134">
        <v>2</v>
      </c>
      <c r="AB134">
        <v>2</v>
      </c>
      <c r="AC134">
        <v>2</v>
      </c>
      <c r="AD134" t="s">
        <v>2730</v>
      </c>
      <c r="AE134">
        <v>0</v>
      </c>
      <c r="AF134" t="s">
        <v>128</v>
      </c>
      <c r="AG134" t="s">
        <v>2730</v>
      </c>
      <c r="AH134" t="s">
        <v>2732</v>
      </c>
      <c r="AI134" t="s">
        <v>59</v>
      </c>
      <c r="AJ134" t="s">
        <v>59</v>
      </c>
      <c r="AK134" t="s">
        <v>59</v>
      </c>
      <c r="AL134" t="s">
        <v>59</v>
      </c>
      <c r="AM134" t="s">
        <v>59</v>
      </c>
      <c r="AN134" t="s">
        <v>59</v>
      </c>
      <c r="AO134" t="s">
        <v>59</v>
      </c>
      <c r="AP134" t="s">
        <v>59</v>
      </c>
      <c r="AQ134" t="s">
        <v>59</v>
      </c>
      <c r="AR134" t="s">
        <v>59</v>
      </c>
      <c r="AS134" t="s">
        <v>59</v>
      </c>
      <c r="AT134" t="s">
        <v>59</v>
      </c>
      <c r="AU134" t="s">
        <v>59</v>
      </c>
      <c r="AV134" t="s">
        <v>59</v>
      </c>
      <c r="AW134" t="s">
        <v>59</v>
      </c>
      <c r="AX134" t="s">
        <v>59</v>
      </c>
      <c r="AY134" t="s">
        <v>218</v>
      </c>
      <c r="AZ134" t="s">
        <v>59</v>
      </c>
      <c r="BA134" t="s">
        <v>59</v>
      </c>
      <c r="BB134" t="s">
        <v>59</v>
      </c>
      <c r="BC134" t="s">
        <v>59</v>
      </c>
      <c r="BD134" t="s">
        <v>59</v>
      </c>
      <c r="BE134" t="s">
        <v>59</v>
      </c>
      <c r="BF134" t="s">
        <v>59</v>
      </c>
      <c r="BG134" t="s">
        <v>218</v>
      </c>
      <c r="BH134" t="s">
        <v>509</v>
      </c>
      <c r="BI134" t="s">
        <v>59</v>
      </c>
      <c r="BJ134" t="s">
        <v>59</v>
      </c>
      <c r="BK134" t="s">
        <v>59</v>
      </c>
      <c r="BL134" t="s">
        <v>59</v>
      </c>
      <c r="BM134" t="s">
        <v>59</v>
      </c>
      <c r="BN134" t="s">
        <v>59</v>
      </c>
      <c r="BO134" t="s">
        <v>59</v>
      </c>
      <c r="BP134" t="s">
        <v>59</v>
      </c>
      <c r="BQ134" t="s">
        <v>59</v>
      </c>
      <c r="BR134" t="s">
        <v>59</v>
      </c>
      <c r="BS134" t="s">
        <v>59</v>
      </c>
      <c r="BT134" t="s">
        <v>59</v>
      </c>
      <c r="BU134" t="s">
        <v>59</v>
      </c>
      <c r="BV134" t="s">
        <v>59</v>
      </c>
      <c r="BW134" t="s">
        <v>59</v>
      </c>
      <c r="BX134" t="s">
        <v>59</v>
      </c>
      <c r="BY134" t="s">
        <v>59</v>
      </c>
      <c r="BZ134" t="s">
        <v>59</v>
      </c>
      <c r="CA134" t="s">
        <v>59</v>
      </c>
      <c r="CB134" t="s">
        <v>59</v>
      </c>
      <c r="CC134" t="s">
        <v>59</v>
      </c>
      <c r="CD134" t="s">
        <v>59</v>
      </c>
      <c r="CE134" t="s">
        <v>59</v>
      </c>
      <c r="CF134" t="s">
        <v>59</v>
      </c>
      <c r="CG134" t="s">
        <v>59</v>
      </c>
      <c r="CH134" t="s">
        <v>59</v>
      </c>
      <c r="CI134" t="s">
        <v>59</v>
      </c>
      <c r="CJ134" t="s">
        <v>59</v>
      </c>
      <c r="CK134" t="s">
        <v>59</v>
      </c>
      <c r="CL134" t="s">
        <v>59</v>
      </c>
      <c r="CM134" t="s">
        <v>59</v>
      </c>
      <c r="CN134" t="s">
        <v>59</v>
      </c>
      <c r="CO134" t="s">
        <v>218</v>
      </c>
      <c r="CP134" t="s">
        <v>218</v>
      </c>
      <c r="CQ134" t="s">
        <v>218</v>
      </c>
      <c r="CR134" t="s">
        <v>59</v>
      </c>
      <c r="CS134" t="s">
        <v>59</v>
      </c>
      <c r="CT134" t="s">
        <v>59</v>
      </c>
      <c r="CU134" t="s">
        <v>59</v>
      </c>
      <c r="CV134" t="s">
        <v>59</v>
      </c>
      <c r="CW134" t="s">
        <v>59</v>
      </c>
      <c r="CX134" t="s">
        <v>59</v>
      </c>
      <c r="CY134" t="s">
        <v>59</v>
      </c>
      <c r="CZ134" t="s">
        <v>59</v>
      </c>
      <c r="DA134" t="s">
        <v>59</v>
      </c>
      <c r="DB134" t="s">
        <v>59</v>
      </c>
      <c r="DC134" t="s">
        <v>59</v>
      </c>
      <c r="DD134" t="s">
        <v>59</v>
      </c>
      <c r="DE134" t="s">
        <v>59</v>
      </c>
      <c r="DF134" t="s">
        <v>59</v>
      </c>
      <c r="DG134" t="s">
        <v>59</v>
      </c>
      <c r="DH134" t="s">
        <v>59</v>
      </c>
      <c r="DI134" t="s">
        <v>59</v>
      </c>
      <c r="DJ134" t="s">
        <v>59</v>
      </c>
      <c r="DK134" t="s">
        <v>59</v>
      </c>
      <c r="DL134" t="s">
        <v>59</v>
      </c>
      <c r="DM134" t="s">
        <v>59</v>
      </c>
      <c r="DN134" t="s">
        <v>59</v>
      </c>
      <c r="DO134" t="s">
        <v>218</v>
      </c>
      <c r="DP134" t="s">
        <v>59</v>
      </c>
      <c r="DQ134" t="s">
        <v>59</v>
      </c>
      <c r="DR134" t="s">
        <v>59</v>
      </c>
      <c r="DS134" t="s">
        <v>59</v>
      </c>
      <c r="DT134" t="s">
        <v>59</v>
      </c>
      <c r="DU134" t="s">
        <v>59</v>
      </c>
      <c r="DV134" t="s">
        <v>59</v>
      </c>
      <c r="DW134" t="s">
        <v>59</v>
      </c>
      <c r="DX134" t="s">
        <v>59</v>
      </c>
      <c r="DY134" t="s">
        <v>59</v>
      </c>
      <c r="DZ134" t="s">
        <v>59</v>
      </c>
      <c r="EA134" t="s">
        <v>59</v>
      </c>
      <c r="EB134" t="s">
        <v>59</v>
      </c>
      <c r="EC134" t="s">
        <v>218</v>
      </c>
      <c r="ED134" t="s">
        <v>59</v>
      </c>
      <c r="EE134" t="s">
        <v>59</v>
      </c>
      <c r="EF134" t="s">
        <v>59</v>
      </c>
      <c r="EG134" t="s">
        <v>59</v>
      </c>
      <c r="EH134" t="s">
        <v>59</v>
      </c>
      <c r="EI134" t="s">
        <v>59</v>
      </c>
      <c r="EJ134" t="s">
        <v>59</v>
      </c>
      <c r="EK134" t="s">
        <v>59</v>
      </c>
      <c r="EL134" t="s">
        <v>59</v>
      </c>
      <c r="EM134" t="s">
        <v>59</v>
      </c>
      <c r="EN134" t="s">
        <v>59</v>
      </c>
      <c r="EO134" t="s">
        <v>59</v>
      </c>
      <c r="EP134" t="s">
        <v>59</v>
      </c>
      <c r="EQ134" t="s">
        <v>59</v>
      </c>
      <c r="ER134" t="s">
        <v>59</v>
      </c>
      <c r="ES134" t="s">
        <v>59</v>
      </c>
      <c r="ET134" t="s">
        <v>59</v>
      </c>
      <c r="EU134" t="s">
        <v>59</v>
      </c>
      <c r="EV134" t="s">
        <v>59</v>
      </c>
      <c r="EW134" t="s">
        <v>59</v>
      </c>
      <c r="EX134" t="s">
        <v>59</v>
      </c>
      <c r="EY134" t="s">
        <v>59</v>
      </c>
      <c r="EZ134" t="s">
        <v>59</v>
      </c>
      <c r="FA134" t="s">
        <v>59</v>
      </c>
      <c r="FB134" t="s">
        <v>59</v>
      </c>
      <c r="FC134" t="s">
        <v>59</v>
      </c>
      <c r="FD134" t="s">
        <v>59</v>
      </c>
      <c r="FE134" t="s">
        <v>59</v>
      </c>
      <c r="FF134" t="s">
        <v>59</v>
      </c>
      <c r="FG134" t="s">
        <v>59</v>
      </c>
      <c r="FH134" t="s">
        <v>59</v>
      </c>
      <c r="FI134" t="s">
        <v>59</v>
      </c>
      <c r="FJ134" t="s">
        <v>59</v>
      </c>
      <c r="FK134" t="s">
        <v>59</v>
      </c>
      <c r="FL134" t="s">
        <v>59</v>
      </c>
      <c r="FM134" t="s">
        <v>59</v>
      </c>
      <c r="FN134" t="s">
        <v>59</v>
      </c>
      <c r="FO134" t="s">
        <v>59</v>
      </c>
      <c r="FP134" t="s">
        <v>59</v>
      </c>
      <c r="FQ134" t="s">
        <v>59</v>
      </c>
      <c r="FR134" t="s">
        <v>59</v>
      </c>
      <c r="FS134" t="s">
        <v>218</v>
      </c>
      <c r="FT134" t="s">
        <v>59</v>
      </c>
      <c r="FU134" t="s">
        <v>59</v>
      </c>
      <c r="FV134" t="s">
        <v>59</v>
      </c>
      <c r="FW134" t="s">
        <v>59</v>
      </c>
      <c r="FX134" t="s">
        <v>59</v>
      </c>
      <c r="FY134" t="s">
        <v>59</v>
      </c>
      <c r="FZ134" t="s">
        <v>59</v>
      </c>
      <c r="GA134" t="s">
        <v>59</v>
      </c>
      <c r="GB134" t="s">
        <v>59</v>
      </c>
      <c r="GC134" t="s">
        <v>59</v>
      </c>
      <c r="GD134" t="s">
        <v>59</v>
      </c>
      <c r="GE134" t="s">
        <v>59</v>
      </c>
      <c r="GF134" t="s">
        <v>59</v>
      </c>
      <c r="GG134" t="s">
        <v>59</v>
      </c>
      <c r="GH134" t="s">
        <v>59</v>
      </c>
      <c r="GI134" t="s">
        <v>59</v>
      </c>
      <c r="GJ134" t="s">
        <v>59</v>
      </c>
      <c r="GK134" t="s">
        <v>218</v>
      </c>
      <c r="GL134" t="s">
        <v>59</v>
      </c>
      <c r="GM134" t="s">
        <v>59</v>
      </c>
      <c r="GN134" t="s">
        <v>59</v>
      </c>
      <c r="GO134" t="s">
        <v>59</v>
      </c>
      <c r="GP134" t="s">
        <v>59</v>
      </c>
      <c r="GQ134" t="s">
        <v>59</v>
      </c>
      <c r="GR134" t="s">
        <v>59</v>
      </c>
      <c r="GS134" t="s">
        <v>59</v>
      </c>
      <c r="GT134" t="s">
        <v>218</v>
      </c>
      <c r="GU134" t="s">
        <v>218</v>
      </c>
      <c r="GV134" t="s">
        <v>59</v>
      </c>
      <c r="GW134" t="s">
        <v>59</v>
      </c>
      <c r="GX134" t="s">
        <v>59</v>
      </c>
      <c r="GY134" t="s">
        <v>59</v>
      </c>
      <c r="GZ134" t="s">
        <v>218</v>
      </c>
      <c r="HA134" t="s">
        <v>59</v>
      </c>
      <c r="HB134" t="s">
        <v>59</v>
      </c>
      <c r="HC134" t="s">
        <v>59</v>
      </c>
      <c r="HD134" t="s">
        <v>59</v>
      </c>
      <c r="HE134" t="s">
        <v>59</v>
      </c>
      <c r="HF134" t="s">
        <v>59</v>
      </c>
      <c r="HG134" t="s">
        <v>59</v>
      </c>
      <c r="HH134" t="s">
        <v>59</v>
      </c>
      <c r="HI134" t="s">
        <v>59</v>
      </c>
      <c r="HJ134" t="s">
        <v>59</v>
      </c>
      <c r="HK134" t="s">
        <v>59</v>
      </c>
      <c r="HL134" t="s">
        <v>218</v>
      </c>
      <c r="HM134" t="s">
        <v>218</v>
      </c>
      <c r="HN134" t="s">
        <v>218</v>
      </c>
      <c r="HO134" t="s">
        <v>218</v>
      </c>
      <c r="HP134" t="s">
        <v>59</v>
      </c>
      <c r="HQ134" t="s">
        <v>59</v>
      </c>
      <c r="HR134" t="s">
        <v>59</v>
      </c>
      <c r="HS134" t="s">
        <v>59</v>
      </c>
      <c r="HT134" t="s">
        <v>59</v>
      </c>
      <c r="HU134" t="s">
        <v>59</v>
      </c>
      <c r="HV134" t="s">
        <v>59</v>
      </c>
      <c r="HW134" t="s">
        <v>59</v>
      </c>
      <c r="HX134" t="s">
        <v>59</v>
      </c>
      <c r="HY134" t="s">
        <v>59</v>
      </c>
      <c r="HZ134" t="s">
        <v>59</v>
      </c>
      <c r="IA134" t="s">
        <v>59</v>
      </c>
      <c r="IB134" t="s">
        <v>59</v>
      </c>
      <c r="IC134" t="s">
        <v>59</v>
      </c>
      <c r="ID134" t="s">
        <v>59</v>
      </c>
      <c r="IE134" t="s">
        <v>59</v>
      </c>
      <c r="IF134" t="s">
        <v>59</v>
      </c>
      <c r="IG134" t="s">
        <v>59</v>
      </c>
      <c r="IH134" t="s">
        <v>59</v>
      </c>
      <c r="II134" t="s">
        <v>59</v>
      </c>
      <c r="IJ134" t="s">
        <v>129</v>
      </c>
      <c r="IK134" t="s">
        <v>191</v>
      </c>
      <c r="IL134" t="s">
        <v>128</v>
      </c>
      <c r="IM134" t="s">
        <v>199</v>
      </c>
      <c r="IN134">
        <v>29</v>
      </c>
      <c r="IO134" t="s">
        <v>2730</v>
      </c>
      <c r="IP134" t="s">
        <v>2730</v>
      </c>
      <c r="IQ134" t="s">
        <v>2730</v>
      </c>
      <c r="IR134">
        <v>15</v>
      </c>
      <c r="IS134" t="s">
        <v>2730</v>
      </c>
      <c r="IT134" t="s">
        <v>2730</v>
      </c>
      <c r="IU134" t="s">
        <v>2730</v>
      </c>
      <c r="IV134">
        <v>16</v>
      </c>
      <c r="IW134" t="s">
        <v>2730</v>
      </c>
      <c r="IX134" t="s">
        <v>2730</v>
      </c>
      <c r="IY134" t="s">
        <v>2730</v>
      </c>
      <c r="IZ134">
        <v>57</v>
      </c>
      <c r="JA134" t="s">
        <v>2730</v>
      </c>
      <c r="JB134" t="s">
        <v>2730</v>
      </c>
      <c r="JC134" t="s">
        <v>2730</v>
      </c>
      <c r="JD134">
        <v>24</v>
      </c>
      <c r="JE134" t="s">
        <v>2730</v>
      </c>
      <c r="JF134" t="s">
        <v>2730</v>
      </c>
      <c r="JG134" t="s">
        <v>2730</v>
      </c>
      <c r="JH134">
        <v>23</v>
      </c>
      <c r="JI134" t="s">
        <v>2730</v>
      </c>
      <c r="JJ134" t="s">
        <v>2730</v>
      </c>
      <c r="JK134" t="s">
        <v>2730</v>
      </c>
      <c r="JL134">
        <v>16</v>
      </c>
      <c r="JM134" t="s">
        <v>2730</v>
      </c>
      <c r="JN134" t="s">
        <v>2730</v>
      </c>
      <c r="JO134">
        <v>4</v>
      </c>
      <c r="JP134" t="s">
        <v>2730</v>
      </c>
      <c r="JQ134" t="s">
        <v>2730</v>
      </c>
    </row>
    <row r="135" spans="1:277">
      <c r="A135" t="str">
        <f>HYPERLINK("http://www.ofsted.gov.uk/inspection-reports/find-inspection-report/provider/ELS/130321 ","Ofsted School Webpage")</f>
        <v>Ofsted School Webpage</v>
      </c>
      <c r="B135">
        <v>1134577</v>
      </c>
      <c r="C135">
        <v>130321</v>
      </c>
      <c r="D135">
        <v>8656027</v>
      </c>
      <c r="E135" t="s">
        <v>224</v>
      </c>
      <c r="F135" t="s">
        <v>37</v>
      </c>
      <c r="G135" t="s">
        <v>209</v>
      </c>
      <c r="H135" t="s">
        <v>225</v>
      </c>
      <c r="I135" t="s">
        <v>225</v>
      </c>
      <c r="J135" t="s">
        <v>226</v>
      </c>
      <c r="K135" t="s">
        <v>227</v>
      </c>
      <c r="L135" t="s">
        <v>184</v>
      </c>
      <c r="M135" t="s">
        <v>185</v>
      </c>
      <c r="N135" t="s">
        <v>212</v>
      </c>
      <c r="O135" t="s">
        <v>2730</v>
      </c>
      <c r="P135" t="s">
        <v>186</v>
      </c>
      <c r="Q135">
        <v>10033888</v>
      </c>
      <c r="R135" s="120">
        <v>42990</v>
      </c>
      <c r="S135" s="120">
        <v>42992</v>
      </c>
      <c r="T135" s="120">
        <v>43027</v>
      </c>
      <c r="U135" t="s">
        <v>2730</v>
      </c>
      <c r="V135" t="s">
        <v>196</v>
      </c>
      <c r="W135" t="s">
        <v>2730</v>
      </c>
      <c r="X135" t="s">
        <v>197</v>
      </c>
      <c r="Y135">
        <v>2</v>
      </c>
      <c r="Z135">
        <v>2</v>
      </c>
      <c r="AA135">
        <v>2</v>
      </c>
      <c r="AB135">
        <v>2</v>
      </c>
      <c r="AC135">
        <v>2</v>
      </c>
      <c r="AD135">
        <v>2</v>
      </c>
      <c r="AE135" t="s">
        <v>2730</v>
      </c>
      <c r="AF135" t="s">
        <v>128</v>
      </c>
      <c r="AG135" t="s">
        <v>2730</v>
      </c>
      <c r="AH135" t="s">
        <v>2732</v>
      </c>
      <c r="AI135" t="s">
        <v>59</v>
      </c>
      <c r="AJ135" t="s">
        <v>59</v>
      </c>
      <c r="AK135" t="s">
        <v>59</v>
      </c>
      <c r="AL135" t="s">
        <v>59</v>
      </c>
      <c r="AM135" t="s">
        <v>59</v>
      </c>
      <c r="AN135" t="s">
        <v>59</v>
      </c>
      <c r="AO135" t="s">
        <v>59</v>
      </c>
      <c r="AP135" t="s">
        <v>59</v>
      </c>
      <c r="AQ135" t="s">
        <v>59</v>
      </c>
      <c r="AR135" t="s">
        <v>59</v>
      </c>
      <c r="AS135" t="s">
        <v>59</v>
      </c>
      <c r="AT135" t="s">
        <v>59</v>
      </c>
      <c r="AU135" t="s">
        <v>59</v>
      </c>
      <c r="AV135" t="s">
        <v>59</v>
      </c>
      <c r="AW135" t="s">
        <v>59</v>
      </c>
      <c r="AX135" t="s">
        <v>59</v>
      </c>
      <c r="AY135" t="s">
        <v>191</v>
      </c>
      <c r="AZ135" t="s">
        <v>59</v>
      </c>
      <c r="BA135" t="s">
        <v>59</v>
      </c>
      <c r="BB135" t="s">
        <v>59</v>
      </c>
      <c r="BC135" t="s">
        <v>191</v>
      </c>
      <c r="BD135" t="s">
        <v>191</v>
      </c>
      <c r="BE135" t="s">
        <v>191</v>
      </c>
      <c r="BF135" t="s">
        <v>191</v>
      </c>
      <c r="BG135" t="s">
        <v>59</v>
      </c>
      <c r="BH135" t="s">
        <v>191</v>
      </c>
      <c r="BI135" t="s">
        <v>59</v>
      </c>
      <c r="BJ135" t="s">
        <v>59</v>
      </c>
      <c r="BK135" t="s">
        <v>59</v>
      </c>
      <c r="BL135" t="s">
        <v>59</v>
      </c>
      <c r="BM135" t="s">
        <v>59</v>
      </c>
      <c r="BN135" t="s">
        <v>59</v>
      </c>
      <c r="BO135" t="s">
        <v>59</v>
      </c>
      <c r="BP135" t="s">
        <v>59</v>
      </c>
      <c r="BQ135" t="s">
        <v>59</v>
      </c>
      <c r="BR135" t="s">
        <v>59</v>
      </c>
      <c r="BS135" t="s">
        <v>59</v>
      </c>
      <c r="BT135" t="s">
        <v>59</v>
      </c>
      <c r="BU135" t="s">
        <v>59</v>
      </c>
      <c r="BV135" t="s">
        <v>59</v>
      </c>
      <c r="BW135" t="s">
        <v>59</v>
      </c>
      <c r="BX135" t="s">
        <v>59</v>
      </c>
      <c r="BY135" t="s">
        <v>59</v>
      </c>
      <c r="BZ135" t="s">
        <v>59</v>
      </c>
      <c r="CA135" t="s">
        <v>59</v>
      </c>
      <c r="CB135" t="s">
        <v>59</v>
      </c>
      <c r="CC135" t="s">
        <v>59</v>
      </c>
      <c r="CD135" t="s">
        <v>59</v>
      </c>
      <c r="CE135" t="s">
        <v>59</v>
      </c>
      <c r="CF135" t="s">
        <v>59</v>
      </c>
      <c r="CG135" t="s">
        <v>59</v>
      </c>
      <c r="CH135" t="s">
        <v>59</v>
      </c>
      <c r="CI135" t="s">
        <v>59</v>
      </c>
      <c r="CJ135" t="s">
        <v>59</v>
      </c>
      <c r="CK135" t="s">
        <v>59</v>
      </c>
      <c r="CL135" t="s">
        <v>59</v>
      </c>
      <c r="CM135" t="s">
        <v>59</v>
      </c>
      <c r="CN135" t="s">
        <v>59</v>
      </c>
      <c r="CO135" t="s">
        <v>191</v>
      </c>
      <c r="CP135" t="s">
        <v>191</v>
      </c>
      <c r="CQ135" t="s">
        <v>191</v>
      </c>
      <c r="CR135" t="s">
        <v>59</v>
      </c>
      <c r="CS135" t="s">
        <v>59</v>
      </c>
      <c r="CT135" t="s">
        <v>59</v>
      </c>
      <c r="CU135" t="s">
        <v>59</v>
      </c>
      <c r="CV135" t="s">
        <v>59</v>
      </c>
      <c r="CW135" t="s">
        <v>59</v>
      </c>
      <c r="CX135" t="s">
        <v>59</v>
      </c>
      <c r="CY135" t="s">
        <v>59</v>
      </c>
      <c r="CZ135" t="s">
        <v>59</v>
      </c>
      <c r="DA135" t="s">
        <v>59</v>
      </c>
      <c r="DB135" t="s">
        <v>59</v>
      </c>
      <c r="DC135" t="s">
        <v>59</v>
      </c>
      <c r="DD135" t="s">
        <v>59</v>
      </c>
      <c r="DE135" t="s">
        <v>59</v>
      </c>
      <c r="DF135" t="s">
        <v>59</v>
      </c>
      <c r="DG135" t="s">
        <v>59</v>
      </c>
      <c r="DH135" t="s">
        <v>59</v>
      </c>
      <c r="DI135" t="s">
        <v>59</v>
      </c>
      <c r="DJ135" t="s">
        <v>59</v>
      </c>
      <c r="DK135" t="s">
        <v>59</v>
      </c>
      <c r="DL135" t="s">
        <v>59</v>
      </c>
      <c r="DM135" t="s">
        <v>59</v>
      </c>
      <c r="DN135" t="s">
        <v>59</v>
      </c>
      <c r="DO135" t="s">
        <v>191</v>
      </c>
      <c r="DP135" t="s">
        <v>59</v>
      </c>
      <c r="DQ135" t="s">
        <v>59</v>
      </c>
      <c r="DR135" t="s">
        <v>59</v>
      </c>
      <c r="DS135" t="s">
        <v>59</v>
      </c>
      <c r="DT135" t="s">
        <v>59</v>
      </c>
      <c r="DU135" t="s">
        <v>59</v>
      </c>
      <c r="DV135" t="s">
        <v>59</v>
      </c>
      <c r="DW135" t="s">
        <v>59</v>
      </c>
      <c r="DX135" t="s">
        <v>59</v>
      </c>
      <c r="DY135" t="s">
        <v>59</v>
      </c>
      <c r="DZ135" t="s">
        <v>59</v>
      </c>
      <c r="EA135" t="s">
        <v>59</v>
      </c>
      <c r="EB135" t="s">
        <v>59</v>
      </c>
      <c r="EC135" t="s">
        <v>191</v>
      </c>
      <c r="ED135" t="s">
        <v>59</v>
      </c>
      <c r="EE135" t="s">
        <v>59</v>
      </c>
      <c r="EF135" t="s">
        <v>59</v>
      </c>
      <c r="EG135" t="s">
        <v>59</v>
      </c>
      <c r="EH135" t="s">
        <v>59</v>
      </c>
      <c r="EI135" t="s">
        <v>59</v>
      </c>
      <c r="EJ135" t="s">
        <v>59</v>
      </c>
      <c r="EK135" t="s">
        <v>59</v>
      </c>
      <c r="EL135" t="s">
        <v>59</v>
      </c>
      <c r="EM135" t="s">
        <v>191</v>
      </c>
      <c r="EN135" t="s">
        <v>59</v>
      </c>
      <c r="EO135" t="s">
        <v>59</v>
      </c>
      <c r="EP135" t="s">
        <v>59</v>
      </c>
      <c r="EQ135" t="s">
        <v>59</v>
      </c>
      <c r="ER135" t="s">
        <v>59</v>
      </c>
      <c r="ES135" t="s">
        <v>59</v>
      </c>
      <c r="ET135" t="s">
        <v>59</v>
      </c>
      <c r="EU135" t="s">
        <v>59</v>
      </c>
      <c r="EV135" t="s">
        <v>59</v>
      </c>
      <c r="EW135" t="s">
        <v>59</v>
      </c>
      <c r="EX135" t="s">
        <v>59</v>
      </c>
      <c r="EY135" t="s">
        <v>59</v>
      </c>
      <c r="EZ135" t="s">
        <v>59</v>
      </c>
      <c r="FA135" t="s">
        <v>191</v>
      </c>
      <c r="FB135" t="s">
        <v>191</v>
      </c>
      <c r="FC135" t="s">
        <v>191</v>
      </c>
      <c r="FD135" t="s">
        <v>191</v>
      </c>
      <c r="FE135" t="s">
        <v>191</v>
      </c>
      <c r="FF135" t="s">
        <v>191</v>
      </c>
      <c r="FG135" t="s">
        <v>191</v>
      </c>
      <c r="FH135" t="s">
        <v>59</v>
      </c>
      <c r="FI135" t="s">
        <v>191</v>
      </c>
      <c r="FJ135" t="s">
        <v>191</v>
      </c>
      <c r="FK135" t="s">
        <v>191</v>
      </c>
      <c r="FL135" t="s">
        <v>59</v>
      </c>
      <c r="FM135" t="s">
        <v>59</v>
      </c>
      <c r="FN135" t="s">
        <v>59</v>
      </c>
      <c r="FO135" t="s">
        <v>59</v>
      </c>
      <c r="FP135" t="s">
        <v>59</v>
      </c>
      <c r="FQ135" t="s">
        <v>59</v>
      </c>
      <c r="FR135" t="s">
        <v>59</v>
      </c>
      <c r="FS135" t="s">
        <v>191</v>
      </c>
      <c r="FT135" t="s">
        <v>59</v>
      </c>
      <c r="FU135" t="s">
        <v>59</v>
      </c>
      <c r="FV135" t="s">
        <v>59</v>
      </c>
      <c r="FW135" t="s">
        <v>59</v>
      </c>
      <c r="FX135" t="s">
        <v>59</v>
      </c>
      <c r="FY135" t="s">
        <v>59</v>
      </c>
      <c r="FZ135" t="s">
        <v>59</v>
      </c>
      <c r="GA135" t="s">
        <v>59</v>
      </c>
      <c r="GB135" t="s">
        <v>59</v>
      </c>
      <c r="GC135" t="s">
        <v>59</v>
      </c>
      <c r="GD135" t="s">
        <v>59</v>
      </c>
      <c r="GE135" t="s">
        <v>59</v>
      </c>
      <c r="GF135" t="s">
        <v>59</v>
      </c>
      <c r="GG135" t="s">
        <v>59</v>
      </c>
      <c r="GH135" t="s">
        <v>59</v>
      </c>
      <c r="GI135" t="s">
        <v>59</v>
      </c>
      <c r="GJ135" t="s">
        <v>59</v>
      </c>
      <c r="GK135" t="s">
        <v>191</v>
      </c>
      <c r="GL135" t="s">
        <v>59</v>
      </c>
      <c r="GM135" t="s">
        <v>59</v>
      </c>
      <c r="GN135" t="s">
        <v>59</v>
      </c>
      <c r="GO135" t="s">
        <v>59</v>
      </c>
      <c r="GP135" t="s">
        <v>59</v>
      </c>
      <c r="GQ135" t="s">
        <v>191</v>
      </c>
      <c r="GR135" t="s">
        <v>59</v>
      </c>
      <c r="GS135" t="s">
        <v>59</v>
      </c>
      <c r="GT135" t="s">
        <v>59</v>
      </c>
      <c r="GU135" t="s">
        <v>59</v>
      </c>
      <c r="GV135" t="s">
        <v>59</v>
      </c>
      <c r="GW135" t="s">
        <v>59</v>
      </c>
      <c r="GX135" t="s">
        <v>59</v>
      </c>
      <c r="GY135" t="s">
        <v>59</v>
      </c>
      <c r="GZ135" t="s">
        <v>59</v>
      </c>
      <c r="HA135" t="s">
        <v>59</v>
      </c>
      <c r="HB135" t="s">
        <v>191</v>
      </c>
      <c r="HC135" t="s">
        <v>59</v>
      </c>
      <c r="HD135" t="s">
        <v>59</v>
      </c>
      <c r="HE135" t="s">
        <v>59</v>
      </c>
      <c r="HF135" t="s">
        <v>59</v>
      </c>
      <c r="HG135" t="s">
        <v>59</v>
      </c>
      <c r="HH135" t="s">
        <v>59</v>
      </c>
      <c r="HI135" t="s">
        <v>59</v>
      </c>
      <c r="HJ135" t="s">
        <v>59</v>
      </c>
      <c r="HK135" t="s">
        <v>59</v>
      </c>
      <c r="HL135" t="s">
        <v>59</v>
      </c>
      <c r="HM135" t="s">
        <v>191</v>
      </c>
      <c r="HN135" t="s">
        <v>191</v>
      </c>
      <c r="HO135" t="s">
        <v>191</v>
      </c>
      <c r="HP135" t="s">
        <v>59</v>
      </c>
      <c r="HQ135" t="s">
        <v>59</v>
      </c>
      <c r="HR135" t="s">
        <v>59</v>
      </c>
      <c r="HS135" t="s">
        <v>59</v>
      </c>
      <c r="HT135" t="s">
        <v>59</v>
      </c>
      <c r="HU135" t="s">
        <v>59</v>
      </c>
      <c r="HV135" t="s">
        <v>59</v>
      </c>
      <c r="HW135" t="s">
        <v>59</v>
      </c>
      <c r="HX135" t="s">
        <v>59</v>
      </c>
      <c r="HY135" t="s">
        <v>59</v>
      </c>
      <c r="HZ135" t="s">
        <v>59</v>
      </c>
      <c r="IA135" t="s">
        <v>59</v>
      </c>
      <c r="IB135" t="s">
        <v>59</v>
      </c>
      <c r="IC135" t="s">
        <v>59</v>
      </c>
      <c r="ID135" t="s">
        <v>59</v>
      </c>
      <c r="IE135" t="s">
        <v>59</v>
      </c>
      <c r="IF135" t="s">
        <v>59</v>
      </c>
      <c r="IG135" t="s">
        <v>59</v>
      </c>
      <c r="IH135" t="s">
        <v>59</v>
      </c>
      <c r="II135" t="s">
        <v>59</v>
      </c>
      <c r="IJ135" t="s">
        <v>129</v>
      </c>
      <c r="IK135" t="s">
        <v>198</v>
      </c>
      <c r="IL135" t="s">
        <v>128</v>
      </c>
      <c r="IM135" t="s">
        <v>199</v>
      </c>
      <c r="IN135">
        <v>26</v>
      </c>
      <c r="IO135" t="s">
        <v>2730</v>
      </c>
      <c r="IP135">
        <v>6</v>
      </c>
      <c r="IQ135" t="s">
        <v>2730</v>
      </c>
      <c r="IR135">
        <v>15</v>
      </c>
      <c r="IS135" t="s">
        <v>2730</v>
      </c>
      <c r="IT135" t="s">
        <v>2730</v>
      </c>
      <c r="IU135" t="s">
        <v>2730</v>
      </c>
      <c r="IV135">
        <v>16</v>
      </c>
      <c r="IW135" t="s">
        <v>2730</v>
      </c>
      <c r="IX135">
        <v>3</v>
      </c>
      <c r="IY135" t="s">
        <v>2730</v>
      </c>
      <c r="IZ135">
        <v>46</v>
      </c>
      <c r="JA135" t="s">
        <v>2730</v>
      </c>
      <c r="JB135">
        <v>13</v>
      </c>
      <c r="JC135" t="s">
        <v>2730</v>
      </c>
      <c r="JD135">
        <v>24</v>
      </c>
      <c r="JE135" t="s">
        <v>2730</v>
      </c>
      <c r="JF135">
        <v>2</v>
      </c>
      <c r="JG135" t="s">
        <v>2730</v>
      </c>
      <c r="JH135">
        <v>25</v>
      </c>
      <c r="JI135" t="s">
        <v>2730</v>
      </c>
      <c r="JJ135">
        <v>5</v>
      </c>
      <c r="JK135" t="s">
        <v>2730</v>
      </c>
      <c r="JL135">
        <v>16</v>
      </c>
      <c r="JM135" t="s">
        <v>2730</v>
      </c>
      <c r="JN135" t="s">
        <v>2730</v>
      </c>
      <c r="JO135">
        <v>4</v>
      </c>
      <c r="JP135" t="s">
        <v>2730</v>
      </c>
      <c r="JQ135" t="s">
        <v>2730</v>
      </c>
    </row>
    <row r="136" spans="1:277">
      <c r="A136" t="str">
        <f>HYPERLINK("http://www.ofsted.gov.uk/inspection-reports/find-inspection-report/provider/ELS/134294 ","Ofsted School Webpage")</f>
        <v>Ofsted School Webpage</v>
      </c>
      <c r="B136">
        <v>1134746</v>
      </c>
      <c r="C136">
        <v>134294</v>
      </c>
      <c r="D136">
        <v>8316006</v>
      </c>
      <c r="E136" t="s">
        <v>419</v>
      </c>
      <c r="F136" t="s">
        <v>37</v>
      </c>
      <c r="G136" t="s">
        <v>209</v>
      </c>
      <c r="H136" t="s">
        <v>214</v>
      </c>
      <c r="I136" t="s">
        <v>214</v>
      </c>
      <c r="J136" t="s">
        <v>420</v>
      </c>
      <c r="K136" t="s">
        <v>421</v>
      </c>
      <c r="L136" t="s">
        <v>304</v>
      </c>
      <c r="M136" t="s">
        <v>2730</v>
      </c>
      <c r="N136" t="s">
        <v>223</v>
      </c>
      <c r="O136" t="s">
        <v>2730</v>
      </c>
      <c r="P136" t="s">
        <v>186</v>
      </c>
      <c r="Q136">
        <v>10033532</v>
      </c>
      <c r="R136" s="120">
        <v>43025</v>
      </c>
      <c r="S136" s="120">
        <v>43027</v>
      </c>
      <c r="T136" s="120">
        <v>43052</v>
      </c>
      <c r="U136" t="s">
        <v>2730</v>
      </c>
      <c r="V136" t="s">
        <v>196</v>
      </c>
      <c r="W136" t="s">
        <v>2730</v>
      </c>
      <c r="X136" t="s">
        <v>197</v>
      </c>
      <c r="Y136">
        <v>3</v>
      </c>
      <c r="Z136">
        <v>3</v>
      </c>
      <c r="AA136">
        <v>2</v>
      </c>
      <c r="AB136">
        <v>3</v>
      </c>
      <c r="AC136">
        <v>3</v>
      </c>
      <c r="AD136">
        <v>3</v>
      </c>
      <c r="AE136" t="s">
        <v>2730</v>
      </c>
      <c r="AF136" t="s">
        <v>128</v>
      </c>
      <c r="AG136" t="s">
        <v>2730</v>
      </c>
      <c r="AH136" t="s">
        <v>2732</v>
      </c>
      <c r="AI136" t="s">
        <v>59</v>
      </c>
      <c r="AJ136" t="s">
        <v>59</v>
      </c>
      <c r="AK136" t="s">
        <v>59</v>
      </c>
      <c r="AL136" t="s">
        <v>59</v>
      </c>
      <c r="AM136" t="s">
        <v>59</v>
      </c>
      <c r="AN136" t="s">
        <v>59</v>
      </c>
      <c r="AO136" t="s">
        <v>59</v>
      </c>
      <c r="AP136" t="s">
        <v>59</v>
      </c>
      <c r="AQ136" t="s">
        <v>59</v>
      </c>
      <c r="AR136" t="s">
        <v>59</v>
      </c>
      <c r="AS136" t="s">
        <v>59</v>
      </c>
      <c r="AT136" t="s">
        <v>59</v>
      </c>
      <c r="AU136" t="s">
        <v>59</v>
      </c>
      <c r="AV136" t="s">
        <v>59</v>
      </c>
      <c r="AW136" t="s">
        <v>59</v>
      </c>
      <c r="AX136" t="s">
        <v>59</v>
      </c>
      <c r="AY136" t="s">
        <v>218</v>
      </c>
      <c r="AZ136" t="s">
        <v>59</v>
      </c>
      <c r="BA136" t="s">
        <v>59</v>
      </c>
      <c r="BB136" t="s">
        <v>59</v>
      </c>
      <c r="BC136" t="s">
        <v>59</v>
      </c>
      <c r="BD136" t="s">
        <v>59</v>
      </c>
      <c r="BE136" t="s">
        <v>59</v>
      </c>
      <c r="BF136" t="s">
        <v>59</v>
      </c>
      <c r="BG136" t="s">
        <v>59</v>
      </c>
      <c r="BH136" t="s">
        <v>218</v>
      </c>
      <c r="BI136" t="s">
        <v>59</v>
      </c>
      <c r="BJ136" t="s">
        <v>59</v>
      </c>
      <c r="BK136" t="s">
        <v>59</v>
      </c>
      <c r="BL136" t="s">
        <v>59</v>
      </c>
      <c r="BM136" t="s">
        <v>59</v>
      </c>
      <c r="BN136" t="s">
        <v>59</v>
      </c>
      <c r="BO136" t="s">
        <v>59</v>
      </c>
      <c r="BP136" t="s">
        <v>59</v>
      </c>
      <c r="BQ136" t="s">
        <v>59</v>
      </c>
      <c r="BR136" t="s">
        <v>59</v>
      </c>
      <c r="BS136" t="s">
        <v>59</v>
      </c>
      <c r="BT136" t="s">
        <v>59</v>
      </c>
      <c r="BU136" t="s">
        <v>59</v>
      </c>
      <c r="BV136" t="s">
        <v>59</v>
      </c>
      <c r="BW136" t="s">
        <v>59</v>
      </c>
      <c r="BX136" t="s">
        <v>59</v>
      </c>
      <c r="BY136" t="s">
        <v>59</v>
      </c>
      <c r="BZ136" t="s">
        <v>59</v>
      </c>
      <c r="CA136" t="s">
        <v>59</v>
      </c>
      <c r="CB136" t="s">
        <v>59</v>
      </c>
      <c r="CC136" t="s">
        <v>59</v>
      </c>
      <c r="CD136" t="s">
        <v>59</v>
      </c>
      <c r="CE136" t="s">
        <v>59</v>
      </c>
      <c r="CF136" t="s">
        <v>59</v>
      </c>
      <c r="CG136" t="s">
        <v>59</v>
      </c>
      <c r="CH136" t="s">
        <v>59</v>
      </c>
      <c r="CI136" t="s">
        <v>59</v>
      </c>
      <c r="CJ136" t="s">
        <v>59</v>
      </c>
      <c r="CK136" t="s">
        <v>59</v>
      </c>
      <c r="CL136" t="s">
        <v>59</v>
      </c>
      <c r="CM136" t="s">
        <v>59</v>
      </c>
      <c r="CN136" t="s">
        <v>59</v>
      </c>
      <c r="CO136" t="s">
        <v>218</v>
      </c>
      <c r="CP136" t="s">
        <v>218</v>
      </c>
      <c r="CQ136" t="s">
        <v>218</v>
      </c>
      <c r="CR136" t="s">
        <v>59</v>
      </c>
      <c r="CS136" t="s">
        <v>59</v>
      </c>
      <c r="CT136" t="s">
        <v>59</v>
      </c>
      <c r="CU136" t="s">
        <v>59</v>
      </c>
      <c r="CV136" t="s">
        <v>59</v>
      </c>
      <c r="CW136" t="s">
        <v>59</v>
      </c>
      <c r="CX136" t="s">
        <v>59</v>
      </c>
      <c r="CY136" t="s">
        <v>59</v>
      </c>
      <c r="CZ136" t="s">
        <v>59</v>
      </c>
      <c r="DA136" t="s">
        <v>59</v>
      </c>
      <c r="DB136" t="s">
        <v>59</v>
      </c>
      <c r="DC136" t="s">
        <v>59</v>
      </c>
      <c r="DD136" t="s">
        <v>59</v>
      </c>
      <c r="DE136" t="s">
        <v>59</v>
      </c>
      <c r="DF136" t="s">
        <v>59</v>
      </c>
      <c r="DG136" t="s">
        <v>59</v>
      </c>
      <c r="DH136" t="s">
        <v>59</v>
      </c>
      <c r="DI136" t="s">
        <v>59</v>
      </c>
      <c r="DJ136" t="s">
        <v>59</v>
      </c>
      <c r="DK136" t="s">
        <v>59</v>
      </c>
      <c r="DL136" t="s">
        <v>59</v>
      </c>
      <c r="DM136" t="s">
        <v>59</v>
      </c>
      <c r="DN136" t="s">
        <v>59</v>
      </c>
      <c r="DO136" t="s">
        <v>59</v>
      </c>
      <c r="DP136" t="s">
        <v>59</v>
      </c>
      <c r="DQ136" t="s">
        <v>218</v>
      </c>
      <c r="DR136" t="s">
        <v>218</v>
      </c>
      <c r="DS136" t="s">
        <v>218</v>
      </c>
      <c r="DT136" t="s">
        <v>218</v>
      </c>
      <c r="DU136" t="s">
        <v>218</v>
      </c>
      <c r="DV136" t="s">
        <v>218</v>
      </c>
      <c r="DW136" t="s">
        <v>218</v>
      </c>
      <c r="DX136" t="s">
        <v>218</v>
      </c>
      <c r="DY136" t="s">
        <v>218</v>
      </c>
      <c r="DZ136" t="s">
        <v>218</v>
      </c>
      <c r="EA136" t="s">
        <v>218</v>
      </c>
      <c r="EB136" t="s">
        <v>218</v>
      </c>
      <c r="EC136" t="s">
        <v>218</v>
      </c>
      <c r="ED136" t="s">
        <v>218</v>
      </c>
      <c r="EE136" t="s">
        <v>59</v>
      </c>
      <c r="EF136" t="s">
        <v>59</v>
      </c>
      <c r="EG136" t="s">
        <v>59</v>
      </c>
      <c r="EH136" t="s">
        <v>59</v>
      </c>
      <c r="EI136" t="s">
        <v>59</v>
      </c>
      <c r="EJ136" t="s">
        <v>59</v>
      </c>
      <c r="EK136" t="s">
        <v>59</v>
      </c>
      <c r="EL136" t="s">
        <v>59</v>
      </c>
      <c r="EM136" t="s">
        <v>59</v>
      </c>
      <c r="EN136" t="s">
        <v>59</v>
      </c>
      <c r="EO136" t="s">
        <v>59</v>
      </c>
      <c r="EP136" t="s">
        <v>59</v>
      </c>
      <c r="EQ136" t="s">
        <v>59</v>
      </c>
      <c r="ER136" t="s">
        <v>59</v>
      </c>
      <c r="ES136" t="s">
        <v>59</v>
      </c>
      <c r="ET136" t="s">
        <v>59</v>
      </c>
      <c r="EU136" t="s">
        <v>59</v>
      </c>
      <c r="EV136" t="s">
        <v>59</v>
      </c>
      <c r="EW136" t="s">
        <v>59</v>
      </c>
      <c r="EX136" t="s">
        <v>59</v>
      </c>
      <c r="EY136" t="s">
        <v>59</v>
      </c>
      <c r="EZ136" t="s">
        <v>59</v>
      </c>
      <c r="FA136" t="s">
        <v>218</v>
      </c>
      <c r="FB136" t="s">
        <v>218</v>
      </c>
      <c r="FC136" t="s">
        <v>218</v>
      </c>
      <c r="FD136" t="s">
        <v>218</v>
      </c>
      <c r="FE136" t="s">
        <v>218</v>
      </c>
      <c r="FF136" t="s">
        <v>218</v>
      </c>
      <c r="FG136" t="s">
        <v>218</v>
      </c>
      <c r="FH136" t="s">
        <v>59</v>
      </c>
      <c r="FI136" t="s">
        <v>59</v>
      </c>
      <c r="FJ136" t="s">
        <v>59</v>
      </c>
      <c r="FK136" t="s">
        <v>59</v>
      </c>
      <c r="FL136" t="s">
        <v>59</v>
      </c>
      <c r="FM136" t="s">
        <v>59</v>
      </c>
      <c r="FN136" t="s">
        <v>59</v>
      </c>
      <c r="FO136" t="s">
        <v>59</v>
      </c>
      <c r="FP136" t="s">
        <v>59</v>
      </c>
      <c r="FQ136" t="s">
        <v>59</v>
      </c>
      <c r="FR136" t="s">
        <v>59</v>
      </c>
      <c r="FS136" t="s">
        <v>218</v>
      </c>
      <c r="FT136" t="s">
        <v>59</v>
      </c>
      <c r="FU136" t="s">
        <v>59</v>
      </c>
      <c r="FV136" t="s">
        <v>59</v>
      </c>
      <c r="FW136" t="s">
        <v>59</v>
      </c>
      <c r="FX136" t="s">
        <v>59</v>
      </c>
      <c r="FY136" t="s">
        <v>59</v>
      </c>
      <c r="FZ136" t="s">
        <v>59</v>
      </c>
      <c r="GA136" t="s">
        <v>59</v>
      </c>
      <c r="GB136" t="s">
        <v>59</v>
      </c>
      <c r="GC136" t="s">
        <v>59</v>
      </c>
      <c r="GD136" t="s">
        <v>59</v>
      </c>
      <c r="GE136" t="s">
        <v>59</v>
      </c>
      <c r="GF136" t="s">
        <v>59</v>
      </c>
      <c r="GG136" t="s">
        <v>59</v>
      </c>
      <c r="GH136" t="s">
        <v>59</v>
      </c>
      <c r="GI136" t="s">
        <v>59</v>
      </c>
      <c r="GJ136" t="s">
        <v>59</v>
      </c>
      <c r="GK136" t="s">
        <v>218</v>
      </c>
      <c r="GL136" t="s">
        <v>59</v>
      </c>
      <c r="GM136" t="s">
        <v>59</v>
      </c>
      <c r="GN136" t="s">
        <v>59</v>
      </c>
      <c r="GO136" t="s">
        <v>59</v>
      </c>
      <c r="GP136" t="s">
        <v>59</v>
      </c>
      <c r="GQ136" t="s">
        <v>218</v>
      </c>
      <c r="GR136" t="s">
        <v>59</v>
      </c>
      <c r="GS136" t="s">
        <v>59</v>
      </c>
      <c r="GT136" t="s">
        <v>218</v>
      </c>
      <c r="GU136" t="s">
        <v>218</v>
      </c>
      <c r="GV136" t="s">
        <v>218</v>
      </c>
      <c r="GW136" t="s">
        <v>59</v>
      </c>
      <c r="GX136" t="s">
        <v>59</v>
      </c>
      <c r="GY136" t="s">
        <v>59</v>
      </c>
      <c r="GZ136" t="s">
        <v>59</v>
      </c>
      <c r="HA136" t="s">
        <v>59</v>
      </c>
      <c r="HB136" t="s">
        <v>59</v>
      </c>
      <c r="HC136" t="s">
        <v>59</v>
      </c>
      <c r="HD136" t="s">
        <v>59</v>
      </c>
      <c r="HE136" t="s">
        <v>59</v>
      </c>
      <c r="HF136" t="s">
        <v>59</v>
      </c>
      <c r="HG136" t="s">
        <v>59</v>
      </c>
      <c r="HH136" t="s">
        <v>59</v>
      </c>
      <c r="HI136" t="s">
        <v>59</v>
      </c>
      <c r="HJ136" t="s">
        <v>59</v>
      </c>
      <c r="HK136" t="s">
        <v>59</v>
      </c>
      <c r="HL136" t="s">
        <v>218</v>
      </c>
      <c r="HM136" t="s">
        <v>218</v>
      </c>
      <c r="HN136" t="s">
        <v>218</v>
      </c>
      <c r="HO136" t="s">
        <v>218</v>
      </c>
      <c r="HP136" t="s">
        <v>59</v>
      </c>
      <c r="HQ136" t="s">
        <v>59</v>
      </c>
      <c r="HR136" t="s">
        <v>59</v>
      </c>
      <c r="HS136" t="s">
        <v>59</v>
      </c>
      <c r="HT136" t="s">
        <v>59</v>
      </c>
      <c r="HU136" t="s">
        <v>59</v>
      </c>
      <c r="HV136" t="s">
        <v>59</v>
      </c>
      <c r="HW136" t="s">
        <v>59</v>
      </c>
      <c r="HX136" t="s">
        <v>59</v>
      </c>
      <c r="HY136" t="s">
        <v>59</v>
      </c>
      <c r="HZ136" t="s">
        <v>59</v>
      </c>
      <c r="IA136" t="s">
        <v>59</v>
      </c>
      <c r="IB136" t="s">
        <v>59</v>
      </c>
      <c r="IC136" t="s">
        <v>59</v>
      </c>
      <c r="ID136" t="s">
        <v>59</v>
      </c>
      <c r="IE136" t="s">
        <v>59</v>
      </c>
      <c r="IF136" t="s">
        <v>59</v>
      </c>
      <c r="IG136" t="s">
        <v>59</v>
      </c>
      <c r="IH136" t="s">
        <v>59</v>
      </c>
      <c r="II136" t="s">
        <v>59</v>
      </c>
      <c r="IJ136" t="s">
        <v>129</v>
      </c>
      <c r="IK136" t="s">
        <v>191</v>
      </c>
      <c r="IL136" t="s">
        <v>128</v>
      </c>
      <c r="IM136" t="s">
        <v>199</v>
      </c>
      <c r="IN136">
        <v>30</v>
      </c>
      <c r="IO136" t="s">
        <v>2730</v>
      </c>
      <c r="IP136" t="s">
        <v>2730</v>
      </c>
      <c r="IQ136" t="s">
        <v>2730</v>
      </c>
      <c r="IR136">
        <v>15</v>
      </c>
      <c r="IS136" t="s">
        <v>2730</v>
      </c>
      <c r="IT136" t="s">
        <v>2730</v>
      </c>
      <c r="IU136" t="s">
        <v>2730</v>
      </c>
      <c r="IV136">
        <v>16</v>
      </c>
      <c r="IW136" t="s">
        <v>2730</v>
      </c>
      <c r="IX136" t="s">
        <v>2730</v>
      </c>
      <c r="IY136" t="s">
        <v>2730</v>
      </c>
      <c r="IZ136">
        <v>38</v>
      </c>
      <c r="JA136" t="s">
        <v>2730</v>
      </c>
      <c r="JB136" t="s">
        <v>2730</v>
      </c>
      <c r="JC136" t="s">
        <v>2730</v>
      </c>
      <c r="JD136">
        <v>24</v>
      </c>
      <c r="JE136" t="s">
        <v>2730</v>
      </c>
      <c r="JF136" t="s">
        <v>2730</v>
      </c>
      <c r="JG136" t="s">
        <v>2730</v>
      </c>
      <c r="JH136">
        <v>22</v>
      </c>
      <c r="JI136" t="s">
        <v>2730</v>
      </c>
      <c r="JJ136" t="s">
        <v>2730</v>
      </c>
      <c r="JK136" t="s">
        <v>2730</v>
      </c>
      <c r="JL136">
        <v>16</v>
      </c>
      <c r="JM136" t="s">
        <v>2730</v>
      </c>
      <c r="JN136" t="s">
        <v>2730</v>
      </c>
      <c r="JO136">
        <v>4</v>
      </c>
      <c r="JP136" t="s">
        <v>2730</v>
      </c>
      <c r="JQ136" t="s">
        <v>2730</v>
      </c>
    </row>
    <row r="137" spans="1:277">
      <c r="A137" t="str">
        <f>HYPERLINK("http://www.ofsted.gov.uk/inspection-reports/find-inspection-report/provider/ELS/101383 ","Ofsted School Webpage")</f>
        <v>Ofsted School Webpage</v>
      </c>
      <c r="B137">
        <v>1135495</v>
      </c>
      <c r="C137">
        <v>101383</v>
      </c>
      <c r="D137">
        <v>3026077</v>
      </c>
      <c r="E137" t="s">
        <v>289</v>
      </c>
      <c r="F137" t="s">
        <v>37</v>
      </c>
      <c r="G137" t="s">
        <v>209</v>
      </c>
      <c r="H137" t="s">
        <v>232</v>
      </c>
      <c r="I137" t="s">
        <v>232</v>
      </c>
      <c r="J137" t="s">
        <v>311</v>
      </c>
      <c r="K137" t="s">
        <v>440</v>
      </c>
      <c r="L137" t="s">
        <v>184</v>
      </c>
      <c r="M137" t="s">
        <v>185</v>
      </c>
      <c r="N137" t="s">
        <v>441</v>
      </c>
      <c r="O137" t="s">
        <v>2730</v>
      </c>
      <c r="P137" t="s">
        <v>186</v>
      </c>
      <c r="Q137">
        <v>10035780</v>
      </c>
      <c r="R137" s="120">
        <v>43011</v>
      </c>
      <c r="S137" s="120">
        <v>43013</v>
      </c>
      <c r="T137" s="120">
        <v>43048</v>
      </c>
      <c r="U137" t="s">
        <v>2730</v>
      </c>
      <c r="V137" t="s">
        <v>196</v>
      </c>
      <c r="W137" t="s">
        <v>2730</v>
      </c>
      <c r="X137" t="s">
        <v>197</v>
      </c>
      <c r="Y137">
        <v>2</v>
      </c>
      <c r="Z137">
        <v>2</v>
      </c>
      <c r="AA137">
        <v>1</v>
      </c>
      <c r="AB137">
        <v>2</v>
      </c>
      <c r="AC137">
        <v>2</v>
      </c>
      <c r="AD137">
        <v>2</v>
      </c>
      <c r="AE137" t="s">
        <v>2730</v>
      </c>
      <c r="AF137" t="s">
        <v>128</v>
      </c>
      <c r="AG137" t="s">
        <v>2730</v>
      </c>
      <c r="AH137" t="s">
        <v>2732</v>
      </c>
      <c r="AI137" t="s">
        <v>59</v>
      </c>
      <c r="AJ137" t="s">
        <v>59</v>
      </c>
      <c r="AK137" t="s">
        <v>59</v>
      </c>
      <c r="AL137" t="s">
        <v>59</v>
      </c>
      <c r="AM137" t="s">
        <v>59</v>
      </c>
      <c r="AN137" t="s">
        <v>59</v>
      </c>
      <c r="AO137" t="s">
        <v>59</v>
      </c>
      <c r="AP137" t="s">
        <v>59</v>
      </c>
      <c r="AQ137" t="s">
        <v>59</v>
      </c>
      <c r="AR137" t="s">
        <v>59</v>
      </c>
      <c r="AS137" t="s">
        <v>59</v>
      </c>
      <c r="AT137" t="s">
        <v>59</v>
      </c>
      <c r="AU137" t="s">
        <v>59</v>
      </c>
      <c r="AV137" t="s">
        <v>59</v>
      </c>
      <c r="AW137" t="s">
        <v>59</v>
      </c>
      <c r="AX137" t="s">
        <v>59</v>
      </c>
      <c r="AY137" t="s">
        <v>218</v>
      </c>
      <c r="AZ137" t="s">
        <v>59</v>
      </c>
      <c r="BA137" t="s">
        <v>59</v>
      </c>
      <c r="BB137" t="s">
        <v>59</v>
      </c>
      <c r="BC137" t="s">
        <v>218</v>
      </c>
      <c r="BD137" t="s">
        <v>218</v>
      </c>
      <c r="BE137" t="s">
        <v>218</v>
      </c>
      <c r="BF137" t="s">
        <v>218</v>
      </c>
      <c r="BG137" t="s">
        <v>59</v>
      </c>
      <c r="BH137" t="s">
        <v>218</v>
      </c>
      <c r="BI137" t="s">
        <v>59</v>
      </c>
      <c r="BJ137" t="s">
        <v>59</v>
      </c>
      <c r="BK137" t="s">
        <v>59</v>
      </c>
      <c r="BL137" t="s">
        <v>59</v>
      </c>
      <c r="BM137" t="s">
        <v>59</v>
      </c>
      <c r="BN137" t="s">
        <v>59</v>
      </c>
      <c r="BO137" t="s">
        <v>59</v>
      </c>
      <c r="BP137" t="s">
        <v>59</v>
      </c>
      <c r="BQ137" t="s">
        <v>59</v>
      </c>
      <c r="BR137" t="s">
        <v>59</v>
      </c>
      <c r="BS137" t="s">
        <v>59</v>
      </c>
      <c r="BT137" t="s">
        <v>59</v>
      </c>
      <c r="BU137" t="s">
        <v>59</v>
      </c>
      <c r="BV137" t="s">
        <v>59</v>
      </c>
      <c r="BW137" t="s">
        <v>59</v>
      </c>
      <c r="BX137" t="s">
        <v>59</v>
      </c>
      <c r="BY137" t="s">
        <v>59</v>
      </c>
      <c r="BZ137" t="s">
        <v>59</v>
      </c>
      <c r="CA137" t="s">
        <v>59</v>
      </c>
      <c r="CB137" t="s">
        <v>59</v>
      </c>
      <c r="CC137" t="s">
        <v>59</v>
      </c>
      <c r="CD137" t="s">
        <v>59</v>
      </c>
      <c r="CE137" t="s">
        <v>59</v>
      </c>
      <c r="CF137" t="s">
        <v>59</v>
      </c>
      <c r="CG137" t="s">
        <v>59</v>
      </c>
      <c r="CH137" t="s">
        <v>59</v>
      </c>
      <c r="CI137" t="s">
        <v>59</v>
      </c>
      <c r="CJ137" t="s">
        <v>59</v>
      </c>
      <c r="CK137" t="s">
        <v>59</v>
      </c>
      <c r="CL137" t="s">
        <v>59</v>
      </c>
      <c r="CM137" t="s">
        <v>59</v>
      </c>
      <c r="CN137" t="s">
        <v>59</v>
      </c>
      <c r="CO137" t="s">
        <v>218</v>
      </c>
      <c r="CP137" t="s">
        <v>218</v>
      </c>
      <c r="CQ137" t="s">
        <v>218</v>
      </c>
      <c r="CR137" t="s">
        <v>59</v>
      </c>
      <c r="CS137" t="s">
        <v>59</v>
      </c>
      <c r="CT137" t="s">
        <v>59</v>
      </c>
      <c r="CU137" t="s">
        <v>59</v>
      </c>
      <c r="CV137" t="s">
        <v>59</v>
      </c>
      <c r="CW137" t="s">
        <v>59</v>
      </c>
      <c r="CX137" t="s">
        <v>59</v>
      </c>
      <c r="CY137" t="s">
        <v>59</v>
      </c>
      <c r="CZ137" t="s">
        <v>59</v>
      </c>
      <c r="DA137" t="s">
        <v>59</v>
      </c>
      <c r="DB137" t="s">
        <v>59</v>
      </c>
      <c r="DC137" t="s">
        <v>59</v>
      </c>
      <c r="DD137" t="s">
        <v>59</v>
      </c>
      <c r="DE137" t="s">
        <v>59</v>
      </c>
      <c r="DF137" t="s">
        <v>59</v>
      </c>
      <c r="DG137" t="s">
        <v>59</v>
      </c>
      <c r="DH137" t="s">
        <v>59</v>
      </c>
      <c r="DI137" t="s">
        <v>59</v>
      </c>
      <c r="DJ137" t="s">
        <v>59</v>
      </c>
      <c r="DK137" t="s">
        <v>59</v>
      </c>
      <c r="DL137" t="s">
        <v>59</v>
      </c>
      <c r="DM137" t="s">
        <v>59</v>
      </c>
      <c r="DN137" t="s">
        <v>218</v>
      </c>
      <c r="DO137" t="s">
        <v>218</v>
      </c>
      <c r="DP137" t="s">
        <v>59</v>
      </c>
      <c r="DQ137" t="s">
        <v>218</v>
      </c>
      <c r="DR137" t="s">
        <v>218</v>
      </c>
      <c r="DS137" t="s">
        <v>218</v>
      </c>
      <c r="DT137" t="s">
        <v>218</v>
      </c>
      <c r="DU137" t="s">
        <v>218</v>
      </c>
      <c r="DV137" t="s">
        <v>218</v>
      </c>
      <c r="DW137" t="s">
        <v>218</v>
      </c>
      <c r="DX137" t="s">
        <v>218</v>
      </c>
      <c r="DY137" t="s">
        <v>218</v>
      </c>
      <c r="DZ137" t="s">
        <v>218</v>
      </c>
      <c r="EA137" t="s">
        <v>218</v>
      </c>
      <c r="EB137" t="s">
        <v>218</v>
      </c>
      <c r="EC137" t="s">
        <v>218</v>
      </c>
      <c r="ED137" t="s">
        <v>59</v>
      </c>
      <c r="EE137" t="s">
        <v>59</v>
      </c>
      <c r="EF137" t="s">
        <v>59</v>
      </c>
      <c r="EG137" t="s">
        <v>59</v>
      </c>
      <c r="EH137" t="s">
        <v>59</v>
      </c>
      <c r="EI137" t="s">
        <v>59</v>
      </c>
      <c r="EJ137" t="s">
        <v>59</v>
      </c>
      <c r="EK137" t="s">
        <v>59</v>
      </c>
      <c r="EL137" t="s">
        <v>59</v>
      </c>
      <c r="EM137" t="s">
        <v>59</v>
      </c>
      <c r="EN137" t="s">
        <v>59</v>
      </c>
      <c r="EO137" t="s">
        <v>59</v>
      </c>
      <c r="EP137" t="s">
        <v>59</v>
      </c>
      <c r="EQ137" t="s">
        <v>59</v>
      </c>
      <c r="ER137" t="s">
        <v>59</v>
      </c>
      <c r="ES137" t="s">
        <v>59</v>
      </c>
      <c r="ET137" t="s">
        <v>59</v>
      </c>
      <c r="EU137" t="s">
        <v>59</v>
      </c>
      <c r="EV137" t="s">
        <v>59</v>
      </c>
      <c r="EW137" t="s">
        <v>59</v>
      </c>
      <c r="EX137" t="s">
        <v>59</v>
      </c>
      <c r="EY137" t="s">
        <v>59</v>
      </c>
      <c r="EZ137" t="s">
        <v>59</v>
      </c>
      <c r="FA137" t="s">
        <v>59</v>
      </c>
      <c r="FB137" t="s">
        <v>218</v>
      </c>
      <c r="FC137" t="s">
        <v>218</v>
      </c>
      <c r="FD137" t="s">
        <v>218</v>
      </c>
      <c r="FE137" t="s">
        <v>218</v>
      </c>
      <c r="FF137" t="s">
        <v>218</v>
      </c>
      <c r="FG137" t="s">
        <v>218</v>
      </c>
      <c r="FH137" t="s">
        <v>218</v>
      </c>
      <c r="FI137" t="s">
        <v>218</v>
      </c>
      <c r="FJ137" t="s">
        <v>191</v>
      </c>
      <c r="FK137" t="s">
        <v>218</v>
      </c>
      <c r="FL137" t="s">
        <v>59</v>
      </c>
      <c r="FM137" t="s">
        <v>59</v>
      </c>
      <c r="FN137" t="s">
        <v>59</v>
      </c>
      <c r="FO137" t="s">
        <v>218</v>
      </c>
      <c r="FP137" t="s">
        <v>59</v>
      </c>
      <c r="FQ137" t="s">
        <v>59</v>
      </c>
      <c r="FR137" t="s">
        <v>59</v>
      </c>
      <c r="FS137" t="s">
        <v>218</v>
      </c>
      <c r="FT137" t="s">
        <v>59</v>
      </c>
      <c r="FU137" t="s">
        <v>59</v>
      </c>
      <c r="FV137" t="s">
        <v>59</v>
      </c>
      <c r="FW137" t="s">
        <v>59</v>
      </c>
      <c r="FX137" t="s">
        <v>59</v>
      </c>
      <c r="FY137" t="s">
        <v>59</v>
      </c>
      <c r="FZ137" t="s">
        <v>59</v>
      </c>
      <c r="GA137" t="s">
        <v>59</v>
      </c>
      <c r="GB137" t="s">
        <v>59</v>
      </c>
      <c r="GC137" t="s">
        <v>59</v>
      </c>
      <c r="GD137" t="s">
        <v>59</v>
      </c>
      <c r="GE137" t="s">
        <v>59</v>
      </c>
      <c r="GF137" t="s">
        <v>59</v>
      </c>
      <c r="GG137" t="s">
        <v>59</v>
      </c>
      <c r="GH137" t="s">
        <v>59</v>
      </c>
      <c r="GI137" t="s">
        <v>59</v>
      </c>
      <c r="GJ137" t="s">
        <v>59</v>
      </c>
      <c r="GK137" t="s">
        <v>218</v>
      </c>
      <c r="GL137" t="s">
        <v>59</v>
      </c>
      <c r="GM137" t="s">
        <v>59</v>
      </c>
      <c r="GN137" t="s">
        <v>59</v>
      </c>
      <c r="GO137" t="s">
        <v>59</v>
      </c>
      <c r="GP137" t="s">
        <v>59</v>
      </c>
      <c r="GQ137" t="s">
        <v>218</v>
      </c>
      <c r="GR137" t="s">
        <v>59</v>
      </c>
      <c r="GS137" t="s">
        <v>59</v>
      </c>
      <c r="GT137" t="s">
        <v>59</v>
      </c>
      <c r="GU137" t="s">
        <v>59</v>
      </c>
      <c r="GV137" t="s">
        <v>59</v>
      </c>
      <c r="GW137" t="s">
        <v>59</v>
      </c>
      <c r="GX137" t="s">
        <v>59</v>
      </c>
      <c r="GY137" t="s">
        <v>59</v>
      </c>
      <c r="GZ137" t="s">
        <v>59</v>
      </c>
      <c r="HA137" t="s">
        <v>218</v>
      </c>
      <c r="HB137" t="s">
        <v>218</v>
      </c>
      <c r="HC137" t="s">
        <v>59</v>
      </c>
      <c r="HD137" t="s">
        <v>59</v>
      </c>
      <c r="HE137" t="s">
        <v>59</v>
      </c>
      <c r="HF137" t="s">
        <v>59</v>
      </c>
      <c r="HG137" t="s">
        <v>59</v>
      </c>
      <c r="HH137" t="s">
        <v>59</v>
      </c>
      <c r="HI137" t="s">
        <v>59</v>
      </c>
      <c r="HJ137" t="s">
        <v>59</v>
      </c>
      <c r="HK137" t="s">
        <v>59</v>
      </c>
      <c r="HL137" t="s">
        <v>218</v>
      </c>
      <c r="HM137" t="s">
        <v>218</v>
      </c>
      <c r="HN137" t="s">
        <v>218</v>
      </c>
      <c r="HO137" t="s">
        <v>218</v>
      </c>
      <c r="HP137" t="s">
        <v>59</v>
      </c>
      <c r="HQ137" t="s">
        <v>59</v>
      </c>
      <c r="HR137" t="s">
        <v>59</v>
      </c>
      <c r="HS137" t="s">
        <v>59</v>
      </c>
      <c r="HT137" t="s">
        <v>59</v>
      </c>
      <c r="HU137" t="s">
        <v>59</v>
      </c>
      <c r="HV137" t="s">
        <v>59</v>
      </c>
      <c r="HW137" t="s">
        <v>59</v>
      </c>
      <c r="HX137" t="s">
        <v>59</v>
      </c>
      <c r="HY137" t="s">
        <v>59</v>
      </c>
      <c r="HZ137" t="s">
        <v>59</v>
      </c>
      <c r="IA137" t="s">
        <v>59</v>
      </c>
      <c r="IB137" t="s">
        <v>59</v>
      </c>
      <c r="IC137" t="s">
        <v>59</v>
      </c>
      <c r="ID137" t="s">
        <v>59</v>
      </c>
      <c r="IE137" t="s">
        <v>59</v>
      </c>
      <c r="IF137" t="s">
        <v>59</v>
      </c>
      <c r="IG137" t="s">
        <v>59</v>
      </c>
      <c r="IH137" t="s">
        <v>59</v>
      </c>
      <c r="II137" t="s">
        <v>59</v>
      </c>
      <c r="IJ137" t="s">
        <v>129</v>
      </c>
      <c r="IK137" t="s">
        <v>191</v>
      </c>
      <c r="IL137" t="s">
        <v>128</v>
      </c>
      <c r="IM137" t="s">
        <v>199</v>
      </c>
      <c r="IN137">
        <v>26</v>
      </c>
      <c r="IO137" t="s">
        <v>2730</v>
      </c>
      <c r="IP137" t="s">
        <v>2730</v>
      </c>
      <c r="IQ137" t="s">
        <v>2730</v>
      </c>
      <c r="IR137">
        <v>15</v>
      </c>
      <c r="IS137" t="s">
        <v>2730</v>
      </c>
      <c r="IT137" t="s">
        <v>2730</v>
      </c>
      <c r="IU137" t="s">
        <v>2730</v>
      </c>
      <c r="IV137">
        <v>16</v>
      </c>
      <c r="IW137" t="s">
        <v>2730</v>
      </c>
      <c r="IX137" t="s">
        <v>2730</v>
      </c>
      <c r="IY137" t="s">
        <v>2730</v>
      </c>
      <c r="IZ137">
        <v>34</v>
      </c>
      <c r="JA137" t="s">
        <v>2730</v>
      </c>
      <c r="JB137">
        <v>1</v>
      </c>
      <c r="JC137" t="s">
        <v>2730</v>
      </c>
      <c r="JD137">
        <v>23</v>
      </c>
      <c r="JE137" t="s">
        <v>2730</v>
      </c>
      <c r="JF137" t="s">
        <v>2730</v>
      </c>
      <c r="JG137" t="s">
        <v>2730</v>
      </c>
      <c r="JH137">
        <v>23</v>
      </c>
      <c r="JI137" t="s">
        <v>2730</v>
      </c>
      <c r="JJ137" t="s">
        <v>2730</v>
      </c>
      <c r="JK137" t="s">
        <v>2730</v>
      </c>
      <c r="JL137">
        <v>16</v>
      </c>
      <c r="JM137" t="s">
        <v>2730</v>
      </c>
      <c r="JN137" t="s">
        <v>2730</v>
      </c>
      <c r="JO137">
        <v>4</v>
      </c>
      <c r="JP137" t="s">
        <v>2730</v>
      </c>
      <c r="JQ137" t="s">
        <v>2730</v>
      </c>
    </row>
    <row r="138" spans="1:277">
      <c r="A138" t="str">
        <f>HYPERLINK("http://www.ofsted.gov.uk/inspection-reports/find-inspection-report/provider/ELS/113940 ","Ofsted School Webpage")</f>
        <v>Ofsted School Webpage</v>
      </c>
      <c r="B138">
        <v>1135497</v>
      </c>
      <c r="C138">
        <v>113940</v>
      </c>
      <c r="D138">
        <v>8376003</v>
      </c>
      <c r="E138" t="s">
        <v>289</v>
      </c>
      <c r="F138" t="s">
        <v>37</v>
      </c>
      <c r="G138" t="s">
        <v>209</v>
      </c>
      <c r="H138" t="s">
        <v>225</v>
      </c>
      <c r="I138" t="s">
        <v>225</v>
      </c>
      <c r="J138" t="s">
        <v>290</v>
      </c>
      <c r="K138" t="s">
        <v>291</v>
      </c>
      <c r="L138" t="s">
        <v>292</v>
      </c>
      <c r="M138" t="s">
        <v>212</v>
      </c>
      <c r="N138" t="s">
        <v>292</v>
      </c>
      <c r="O138" t="s">
        <v>2730</v>
      </c>
      <c r="P138" t="s">
        <v>186</v>
      </c>
      <c r="Q138">
        <v>10033883</v>
      </c>
      <c r="R138" s="120">
        <v>43004</v>
      </c>
      <c r="S138" s="120">
        <v>43006</v>
      </c>
      <c r="T138" s="120">
        <v>43038</v>
      </c>
      <c r="U138" t="s">
        <v>2730</v>
      </c>
      <c r="V138" t="s">
        <v>196</v>
      </c>
      <c r="W138" t="s">
        <v>2730</v>
      </c>
      <c r="X138" t="s">
        <v>197</v>
      </c>
      <c r="Y138">
        <v>2</v>
      </c>
      <c r="Z138">
        <v>2</v>
      </c>
      <c r="AA138">
        <v>2</v>
      </c>
      <c r="AB138">
        <v>2</v>
      </c>
      <c r="AC138">
        <v>2</v>
      </c>
      <c r="AD138">
        <v>3</v>
      </c>
      <c r="AE138" t="s">
        <v>2730</v>
      </c>
      <c r="AF138" t="s">
        <v>128</v>
      </c>
      <c r="AG138" t="s">
        <v>2730</v>
      </c>
      <c r="AH138" t="s">
        <v>2732</v>
      </c>
      <c r="AI138" t="s">
        <v>59</v>
      </c>
      <c r="AJ138" t="s">
        <v>59</v>
      </c>
      <c r="AK138" t="s">
        <v>59</v>
      </c>
      <c r="AL138" t="s">
        <v>59</v>
      </c>
      <c r="AM138" t="s">
        <v>59</v>
      </c>
      <c r="AN138" t="s">
        <v>59</v>
      </c>
      <c r="AO138" t="s">
        <v>59</v>
      </c>
      <c r="AP138" t="s">
        <v>59</v>
      </c>
      <c r="AQ138" t="s">
        <v>59</v>
      </c>
      <c r="AR138" t="s">
        <v>59</v>
      </c>
      <c r="AS138" t="s">
        <v>59</v>
      </c>
      <c r="AT138" t="s">
        <v>59</v>
      </c>
      <c r="AU138" t="s">
        <v>59</v>
      </c>
      <c r="AV138" t="s">
        <v>59</v>
      </c>
      <c r="AW138" t="s">
        <v>59</v>
      </c>
      <c r="AX138" t="s">
        <v>59</v>
      </c>
      <c r="AY138" t="s">
        <v>218</v>
      </c>
      <c r="AZ138" t="s">
        <v>59</v>
      </c>
      <c r="BA138" t="s">
        <v>59</v>
      </c>
      <c r="BB138" t="s">
        <v>59</v>
      </c>
      <c r="BC138" t="s">
        <v>218</v>
      </c>
      <c r="BD138" t="s">
        <v>218</v>
      </c>
      <c r="BE138" t="s">
        <v>218</v>
      </c>
      <c r="BF138" t="s">
        <v>218</v>
      </c>
      <c r="BG138" t="s">
        <v>218</v>
      </c>
      <c r="BH138" t="s">
        <v>218</v>
      </c>
      <c r="BI138" t="s">
        <v>59</v>
      </c>
      <c r="BJ138" t="s">
        <v>59</v>
      </c>
      <c r="BK138" t="s">
        <v>59</v>
      </c>
      <c r="BL138" t="s">
        <v>59</v>
      </c>
      <c r="BM138" t="s">
        <v>59</v>
      </c>
      <c r="BN138" t="s">
        <v>59</v>
      </c>
      <c r="BO138" t="s">
        <v>59</v>
      </c>
      <c r="BP138" t="s">
        <v>59</v>
      </c>
      <c r="BQ138" t="s">
        <v>59</v>
      </c>
      <c r="BR138" t="s">
        <v>59</v>
      </c>
      <c r="BS138" t="s">
        <v>59</v>
      </c>
      <c r="BT138" t="s">
        <v>59</v>
      </c>
      <c r="BU138" t="s">
        <v>59</v>
      </c>
      <c r="BV138" t="s">
        <v>59</v>
      </c>
      <c r="BW138" t="s">
        <v>59</v>
      </c>
      <c r="BX138" t="s">
        <v>59</v>
      </c>
      <c r="BY138" t="s">
        <v>59</v>
      </c>
      <c r="BZ138" t="s">
        <v>59</v>
      </c>
      <c r="CA138" t="s">
        <v>59</v>
      </c>
      <c r="CB138" t="s">
        <v>59</v>
      </c>
      <c r="CC138" t="s">
        <v>59</v>
      </c>
      <c r="CD138" t="s">
        <v>59</v>
      </c>
      <c r="CE138" t="s">
        <v>59</v>
      </c>
      <c r="CF138" t="s">
        <v>59</v>
      </c>
      <c r="CG138" t="s">
        <v>59</v>
      </c>
      <c r="CH138" t="s">
        <v>59</v>
      </c>
      <c r="CI138" t="s">
        <v>59</v>
      </c>
      <c r="CJ138" t="s">
        <v>59</v>
      </c>
      <c r="CK138" t="s">
        <v>59</v>
      </c>
      <c r="CL138" t="s">
        <v>59</v>
      </c>
      <c r="CM138" t="s">
        <v>59</v>
      </c>
      <c r="CN138" t="s">
        <v>59</v>
      </c>
      <c r="CO138" t="s">
        <v>218</v>
      </c>
      <c r="CP138" t="s">
        <v>218</v>
      </c>
      <c r="CQ138" t="s">
        <v>218</v>
      </c>
      <c r="CR138" t="s">
        <v>59</v>
      </c>
      <c r="CS138" t="s">
        <v>59</v>
      </c>
      <c r="CT138" t="s">
        <v>59</v>
      </c>
      <c r="CU138" t="s">
        <v>59</v>
      </c>
      <c r="CV138" t="s">
        <v>59</v>
      </c>
      <c r="CW138" t="s">
        <v>59</v>
      </c>
      <c r="CX138" t="s">
        <v>59</v>
      </c>
      <c r="CY138" t="s">
        <v>59</v>
      </c>
      <c r="CZ138" t="s">
        <v>59</v>
      </c>
      <c r="DA138" t="s">
        <v>59</v>
      </c>
      <c r="DB138" t="s">
        <v>59</v>
      </c>
      <c r="DC138" t="s">
        <v>59</v>
      </c>
      <c r="DD138" t="s">
        <v>59</v>
      </c>
      <c r="DE138" t="s">
        <v>59</v>
      </c>
      <c r="DF138" t="s">
        <v>59</v>
      </c>
      <c r="DG138" t="s">
        <v>59</v>
      </c>
      <c r="DH138" t="s">
        <v>59</v>
      </c>
      <c r="DI138" t="s">
        <v>59</v>
      </c>
      <c r="DJ138" t="s">
        <v>59</v>
      </c>
      <c r="DK138" t="s">
        <v>59</v>
      </c>
      <c r="DL138" t="s">
        <v>59</v>
      </c>
      <c r="DM138" t="s">
        <v>59</v>
      </c>
      <c r="DN138" t="s">
        <v>59</v>
      </c>
      <c r="DO138" t="s">
        <v>59</v>
      </c>
      <c r="DP138" t="s">
        <v>59</v>
      </c>
      <c r="DQ138" t="s">
        <v>218</v>
      </c>
      <c r="DR138" t="s">
        <v>218</v>
      </c>
      <c r="DS138" t="s">
        <v>218</v>
      </c>
      <c r="DT138" t="s">
        <v>218</v>
      </c>
      <c r="DU138" t="s">
        <v>218</v>
      </c>
      <c r="DV138" t="s">
        <v>218</v>
      </c>
      <c r="DW138" t="s">
        <v>218</v>
      </c>
      <c r="DX138" t="s">
        <v>218</v>
      </c>
      <c r="DY138" t="s">
        <v>218</v>
      </c>
      <c r="DZ138" t="s">
        <v>218</v>
      </c>
      <c r="EA138" t="s">
        <v>218</v>
      </c>
      <c r="EB138" t="s">
        <v>218</v>
      </c>
      <c r="EC138" t="s">
        <v>218</v>
      </c>
      <c r="ED138" t="s">
        <v>218</v>
      </c>
      <c r="EE138" t="s">
        <v>218</v>
      </c>
      <c r="EF138" t="s">
        <v>218</v>
      </c>
      <c r="EG138" t="s">
        <v>218</v>
      </c>
      <c r="EH138" t="s">
        <v>218</v>
      </c>
      <c r="EI138" t="s">
        <v>218</v>
      </c>
      <c r="EJ138" t="s">
        <v>218</v>
      </c>
      <c r="EK138" t="s">
        <v>218</v>
      </c>
      <c r="EL138" t="s">
        <v>218</v>
      </c>
      <c r="EM138" t="s">
        <v>218</v>
      </c>
      <c r="EN138" t="s">
        <v>59</v>
      </c>
      <c r="EO138" t="s">
        <v>59</v>
      </c>
      <c r="EP138" t="s">
        <v>59</v>
      </c>
      <c r="EQ138" t="s">
        <v>59</v>
      </c>
      <c r="ER138" t="s">
        <v>59</v>
      </c>
      <c r="ES138" t="s">
        <v>59</v>
      </c>
      <c r="ET138" t="s">
        <v>59</v>
      </c>
      <c r="EU138" t="s">
        <v>59</v>
      </c>
      <c r="EV138" t="s">
        <v>59</v>
      </c>
      <c r="EW138" t="s">
        <v>59</v>
      </c>
      <c r="EX138" t="s">
        <v>59</v>
      </c>
      <c r="EY138" t="s">
        <v>59</v>
      </c>
      <c r="EZ138" t="s">
        <v>59</v>
      </c>
      <c r="FA138" t="s">
        <v>59</v>
      </c>
      <c r="FB138" t="s">
        <v>218</v>
      </c>
      <c r="FC138" t="s">
        <v>218</v>
      </c>
      <c r="FD138" t="s">
        <v>218</v>
      </c>
      <c r="FE138" t="s">
        <v>218</v>
      </c>
      <c r="FF138" t="s">
        <v>218</v>
      </c>
      <c r="FG138" t="s">
        <v>218</v>
      </c>
      <c r="FH138" t="s">
        <v>218</v>
      </c>
      <c r="FI138" t="s">
        <v>218</v>
      </c>
      <c r="FJ138" t="s">
        <v>191</v>
      </c>
      <c r="FK138" t="s">
        <v>218</v>
      </c>
      <c r="FL138" t="s">
        <v>59</v>
      </c>
      <c r="FM138" t="s">
        <v>59</v>
      </c>
      <c r="FN138" t="s">
        <v>59</v>
      </c>
      <c r="FO138" t="s">
        <v>218</v>
      </c>
      <c r="FP138" t="s">
        <v>59</v>
      </c>
      <c r="FQ138" t="s">
        <v>59</v>
      </c>
      <c r="FR138" t="s">
        <v>59</v>
      </c>
      <c r="FS138" t="s">
        <v>218</v>
      </c>
      <c r="FT138" t="s">
        <v>59</v>
      </c>
      <c r="FU138" t="s">
        <v>59</v>
      </c>
      <c r="FV138" t="s">
        <v>59</v>
      </c>
      <c r="FW138" t="s">
        <v>59</v>
      </c>
      <c r="FX138" t="s">
        <v>59</v>
      </c>
      <c r="FY138" t="s">
        <v>59</v>
      </c>
      <c r="FZ138" t="s">
        <v>59</v>
      </c>
      <c r="GA138" t="s">
        <v>59</v>
      </c>
      <c r="GB138" t="s">
        <v>59</v>
      </c>
      <c r="GC138" t="s">
        <v>59</v>
      </c>
      <c r="GD138" t="s">
        <v>59</v>
      </c>
      <c r="GE138" t="s">
        <v>59</v>
      </c>
      <c r="GF138" t="s">
        <v>59</v>
      </c>
      <c r="GG138" t="s">
        <v>59</v>
      </c>
      <c r="GH138" t="s">
        <v>59</v>
      </c>
      <c r="GI138" t="s">
        <v>59</v>
      </c>
      <c r="GJ138" t="s">
        <v>59</v>
      </c>
      <c r="GK138" t="s">
        <v>218</v>
      </c>
      <c r="GL138" t="s">
        <v>59</v>
      </c>
      <c r="GM138" t="s">
        <v>59</v>
      </c>
      <c r="GN138" t="s">
        <v>59</v>
      </c>
      <c r="GO138" t="s">
        <v>59</v>
      </c>
      <c r="GP138" t="s">
        <v>59</v>
      </c>
      <c r="GQ138" t="s">
        <v>218</v>
      </c>
      <c r="GR138" t="s">
        <v>59</v>
      </c>
      <c r="GS138" t="s">
        <v>59</v>
      </c>
      <c r="GT138" t="s">
        <v>218</v>
      </c>
      <c r="GU138" t="s">
        <v>218</v>
      </c>
      <c r="GV138" t="s">
        <v>59</v>
      </c>
      <c r="GW138" t="s">
        <v>59</v>
      </c>
      <c r="GX138" t="s">
        <v>59</v>
      </c>
      <c r="GY138" t="s">
        <v>59</v>
      </c>
      <c r="GZ138" t="s">
        <v>59</v>
      </c>
      <c r="HA138" t="s">
        <v>218</v>
      </c>
      <c r="HB138" t="s">
        <v>218</v>
      </c>
      <c r="HC138" t="s">
        <v>59</v>
      </c>
      <c r="HD138" t="s">
        <v>59</v>
      </c>
      <c r="HE138" t="s">
        <v>59</v>
      </c>
      <c r="HF138" t="s">
        <v>59</v>
      </c>
      <c r="HG138" t="s">
        <v>59</v>
      </c>
      <c r="HH138" t="s">
        <v>59</v>
      </c>
      <c r="HI138" t="s">
        <v>59</v>
      </c>
      <c r="HJ138" t="s">
        <v>59</v>
      </c>
      <c r="HK138" t="s">
        <v>59</v>
      </c>
      <c r="HL138" t="s">
        <v>218</v>
      </c>
      <c r="HM138" t="s">
        <v>218</v>
      </c>
      <c r="HN138" t="s">
        <v>218</v>
      </c>
      <c r="HO138" t="s">
        <v>218</v>
      </c>
      <c r="HP138" t="s">
        <v>59</v>
      </c>
      <c r="HQ138" t="s">
        <v>59</v>
      </c>
      <c r="HR138" t="s">
        <v>59</v>
      </c>
      <c r="HS138" t="s">
        <v>59</v>
      </c>
      <c r="HT138" t="s">
        <v>59</v>
      </c>
      <c r="HU138" t="s">
        <v>59</v>
      </c>
      <c r="HV138" t="s">
        <v>59</v>
      </c>
      <c r="HW138" t="s">
        <v>59</v>
      </c>
      <c r="HX138" t="s">
        <v>59</v>
      </c>
      <c r="HY138" t="s">
        <v>59</v>
      </c>
      <c r="HZ138" t="s">
        <v>59</v>
      </c>
      <c r="IA138" t="s">
        <v>59</v>
      </c>
      <c r="IB138" t="s">
        <v>59</v>
      </c>
      <c r="IC138" t="s">
        <v>59</v>
      </c>
      <c r="ID138" t="s">
        <v>59</v>
      </c>
      <c r="IE138" t="s">
        <v>59</v>
      </c>
      <c r="IF138" t="s">
        <v>59</v>
      </c>
      <c r="IG138" t="s">
        <v>59</v>
      </c>
      <c r="IH138" t="s">
        <v>59</v>
      </c>
      <c r="II138" t="s">
        <v>59</v>
      </c>
      <c r="IJ138" t="s">
        <v>129</v>
      </c>
      <c r="IK138" t="s">
        <v>191</v>
      </c>
      <c r="IL138" t="s">
        <v>128</v>
      </c>
      <c r="IM138" t="s">
        <v>199</v>
      </c>
      <c r="IN138">
        <v>25</v>
      </c>
      <c r="IO138" t="s">
        <v>2730</v>
      </c>
      <c r="IP138" t="s">
        <v>2730</v>
      </c>
      <c r="IQ138" t="s">
        <v>2730</v>
      </c>
      <c r="IR138">
        <v>15</v>
      </c>
      <c r="IS138" t="s">
        <v>2730</v>
      </c>
      <c r="IT138" t="s">
        <v>2730</v>
      </c>
      <c r="IU138" t="s">
        <v>2730</v>
      </c>
      <c r="IV138">
        <v>16</v>
      </c>
      <c r="IW138" t="s">
        <v>2730</v>
      </c>
      <c r="IX138" t="s">
        <v>2730</v>
      </c>
      <c r="IY138" t="s">
        <v>2730</v>
      </c>
      <c r="IZ138">
        <v>26</v>
      </c>
      <c r="JA138" t="s">
        <v>2730</v>
      </c>
      <c r="JB138">
        <v>1</v>
      </c>
      <c r="JC138" t="s">
        <v>2730</v>
      </c>
      <c r="JD138">
        <v>23</v>
      </c>
      <c r="JE138" t="s">
        <v>2730</v>
      </c>
      <c r="JF138" t="s">
        <v>2730</v>
      </c>
      <c r="JG138" t="s">
        <v>2730</v>
      </c>
      <c r="JH138">
        <v>21</v>
      </c>
      <c r="JI138" t="s">
        <v>2730</v>
      </c>
      <c r="JJ138" t="s">
        <v>2730</v>
      </c>
      <c r="JK138" t="s">
        <v>2730</v>
      </c>
      <c r="JL138">
        <v>16</v>
      </c>
      <c r="JM138" t="s">
        <v>2730</v>
      </c>
      <c r="JN138" t="s">
        <v>2730</v>
      </c>
      <c r="JO138">
        <v>4</v>
      </c>
      <c r="JP138" t="s">
        <v>2730</v>
      </c>
      <c r="JQ138" t="s">
        <v>2730</v>
      </c>
    </row>
    <row r="139" spans="1:277">
      <c r="A139" t="str">
        <f>HYPERLINK("http://www.ofsted.gov.uk/inspection-reports/find-inspection-report/provider/ELS/134186 ","Ofsted School Webpage")</f>
        <v>Ofsted School Webpage</v>
      </c>
      <c r="B139">
        <v>1131996</v>
      </c>
      <c r="C139">
        <v>134186</v>
      </c>
      <c r="D139">
        <v>8776001</v>
      </c>
      <c r="E139" t="s">
        <v>389</v>
      </c>
      <c r="F139" t="s">
        <v>38</v>
      </c>
      <c r="G139" t="s">
        <v>180</v>
      </c>
      <c r="H139" t="s">
        <v>205</v>
      </c>
      <c r="I139" t="s">
        <v>205</v>
      </c>
      <c r="J139" t="s">
        <v>390</v>
      </c>
      <c r="K139" t="s">
        <v>391</v>
      </c>
      <c r="L139" t="s">
        <v>184</v>
      </c>
      <c r="M139" t="s">
        <v>185</v>
      </c>
      <c r="N139" t="s">
        <v>184</v>
      </c>
      <c r="O139" t="s">
        <v>2730</v>
      </c>
      <c r="P139" t="s">
        <v>186</v>
      </c>
      <c r="Q139">
        <v>10026010</v>
      </c>
      <c r="R139" s="120">
        <v>43018</v>
      </c>
      <c r="S139" s="120">
        <v>43020</v>
      </c>
      <c r="T139" s="120">
        <v>43061</v>
      </c>
      <c r="U139" t="s">
        <v>2730</v>
      </c>
      <c r="V139" t="s">
        <v>3120</v>
      </c>
      <c r="W139" t="s">
        <v>2730</v>
      </c>
      <c r="X139" t="s">
        <v>197</v>
      </c>
      <c r="Y139">
        <v>1</v>
      </c>
      <c r="Z139">
        <v>1</v>
      </c>
      <c r="AA139">
        <v>1</v>
      </c>
      <c r="AB139">
        <v>1</v>
      </c>
      <c r="AC139">
        <v>1</v>
      </c>
      <c r="AD139" t="s">
        <v>2730</v>
      </c>
      <c r="AE139">
        <v>1</v>
      </c>
      <c r="AF139" t="s">
        <v>128</v>
      </c>
      <c r="AG139" t="s">
        <v>2730</v>
      </c>
      <c r="AH139" t="s">
        <v>2732</v>
      </c>
      <c r="AI139" t="s">
        <v>59</v>
      </c>
      <c r="AJ139" t="s">
        <v>59</v>
      </c>
      <c r="AK139" t="s">
        <v>59</v>
      </c>
      <c r="AL139" t="s">
        <v>59</v>
      </c>
      <c r="AM139" t="s">
        <v>59</v>
      </c>
      <c r="AN139" t="s">
        <v>59</v>
      </c>
      <c r="AO139" t="s">
        <v>59</v>
      </c>
      <c r="AP139" t="s">
        <v>59</v>
      </c>
      <c r="AQ139" t="s">
        <v>59</v>
      </c>
      <c r="AR139" t="s">
        <v>59</v>
      </c>
      <c r="AS139" t="s">
        <v>59</v>
      </c>
      <c r="AT139" t="s">
        <v>59</v>
      </c>
      <c r="AU139" t="s">
        <v>59</v>
      </c>
      <c r="AV139" t="s">
        <v>59</v>
      </c>
      <c r="AW139" t="s">
        <v>59</v>
      </c>
      <c r="AX139" t="s">
        <v>59</v>
      </c>
      <c r="AY139" t="s">
        <v>218</v>
      </c>
      <c r="AZ139" t="s">
        <v>59</v>
      </c>
      <c r="BA139" t="s">
        <v>59</v>
      </c>
      <c r="BB139" t="s">
        <v>59</v>
      </c>
      <c r="BC139" t="s">
        <v>59</v>
      </c>
      <c r="BD139" t="s">
        <v>59</v>
      </c>
      <c r="BE139" t="s">
        <v>59</v>
      </c>
      <c r="BF139" t="s">
        <v>59</v>
      </c>
      <c r="BG139" t="s">
        <v>218</v>
      </c>
      <c r="BH139" t="s">
        <v>59</v>
      </c>
      <c r="BI139" t="s">
        <v>59</v>
      </c>
      <c r="BJ139" t="s">
        <v>59</v>
      </c>
      <c r="BK139" t="s">
        <v>59</v>
      </c>
      <c r="BL139" t="s">
        <v>59</v>
      </c>
      <c r="BM139" t="s">
        <v>59</v>
      </c>
      <c r="BN139" t="s">
        <v>59</v>
      </c>
      <c r="BO139" t="s">
        <v>59</v>
      </c>
      <c r="BP139" t="s">
        <v>59</v>
      </c>
      <c r="BQ139" t="s">
        <v>59</v>
      </c>
      <c r="BR139" t="s">
        <v>59</v>
      </c>
      <c r="BS139" t="s">
        <v>59</v>
      </c>
      <c r="BT139" t="s">
        <v>59</v>
      </c>
      <c r="BU139" t="s">
        <v>59</v>
      </c>
      <c r="BV139" t="s">
        <v>59</v>
      </c>
      <c r="BW139" t="s">
        <v>59</v>
      </c>
      <c r="BX139" t="s">
        <v>59</v>
      </c>
      <c r="BY139" t="s">
        <v>59</v>
      </c>
      <c r="BZ139" t="s">
        <v>59</v>
      </c>
      <c r="CA139" t="s">
        <v>59</v>
      </c>
      <c r="CB139" t="s">
        <v>59</v>
      </c>
      <c r="CC139" t="s">
        <v>59</v>
      </c>
      <c r="CD139" t="s">
        <v>59</v>
      </c>
      <c r="CE139" t="s">
        <v>59</v>
      </c>
      <c r="CF139" t="s">
        <v>59</v>
      </c>
      <c r="CG139" t="s">
        <v>59</v>
      </c>
      <c r="CH139" t="s">
        <v>59</v>
      </c>
      <c r="CI139" t="s">
        <v>59</v>
      </c>
      <c r="CJ139" t="s">
        <v>59</v>
      </c>
      <c r="CK139" t="s">
        <v>59</v>
      </c>
      <c r="CL139" t="s">
        <v>59</v>
      </c>
      <c r="CM139" t="s">
        <v>59</v>
      </c>
      <c r="CN139" t="s">
        <v>59</v>
      </c>
      <c r="CO139" t="s">
        <v>218</v>
      </c>
      <c r="CP139" t="s">
        <v>218</v>
      </c>
      <c r="CQ139" t="s">
        <v>218</v>
      </c>
      <c r="CR139" t="s">
        <v>59</v>
      </c>
      <c r="CS139" t="s">
        <v>59</v>
      </c>
      <c r="CT139" t="s">
        <v>59</v>
      </c>
      <c r="CU139" t="s">
        <v>59</v>
      </c>
      <c r="CV139" t="s">
        <v>59</v>
      </c>
      <c r="CW139" t="s">
        <v>59</v>
      </c>
      <c r="CX139" t="s">
        <v>59</v>
      </c>
      <c r="CY139" t="s">
        <v>59</v>
      </c>
      <c r="CZ139" t="s">
        <v>59</v>
      </c>
      <c r="DA139" t="s">
        <v>59</v>
      </c>
      <c r="DB139" t="s">
        <v>59</v>
      </c>
      <c r="DC139" t="s">
        <v>59</v>
      </c>
      <c r="DD139" t="s">
        <v>59</v>
      </c>
      <c r="DE139" t="s">
        <v>59</v>
      </c>
      <c r="DF139" t="s">
        <v>59</v>
      </c>
      <c r="DG139" t="s">
        <v>59</v>
      </c>
      <c r="DH139" t="s">
        <v>59</v>
      </c>
      <c r="DI139" t="s">
        <v>59</v>
      </c>
      <c r="DJ139" t="s">
        <v>59</v>
      </c>
      <c r="DK139" t="s">
        <v>59</v>
      </c>
      <c r="DL139" t="s">
        <v>59</v>
      </c>
      <c r="DM139" t="s">
        <v>59</v>
      </c>
      <c r="DN139" t="s">
        <v>59</v>
      </c>
      <c r="DO139" t="s">
        <v>59</v>
      </c>
      <c r="DP139" t="s">
        <v>59</v>
      </c>
      <c r="DQ139" t="s">
        <v>59</v>
      </c>
      <c r="DR139" t="s">
        <v>59</v>
      </c>
      <c r="DS139" t="s">
        <v>59</v>
      </c>
      <c r="DT139" t="s">
        <v>59</v>
      </c>
      <c r="DU139" t="s">
        <v>59</v>
      </c>
      <c r="DV139" t="s">
        <v>59</v>
      </c>
      <c r="DW139" t="s">
        <v>59</v>
      </c>
      <c r="DX139" t="s">
        <v>59</v>
      </c>
      <c r="DY139" t="s">
        <v>59</v>
      </c>
      <c r="DZ139" t="s">
        <v>59</v>
      </c>
      <c r="EA139" t="s">
        <v>59</v>
      </c>
      <c r="EB139" t="s">
        <v>59</v>
      </c>
      <c r="EC139" t="s">
        <v>218</v>
      </c>
      <c r="ED139" t="s">
        <v>59</v>
      </c>
      <c r="EE139" t="s">
        <v>59</v>
      </c>
      <c r="EF139" t="s">
        <v>59</v>
      </c>
      <c r="EG139" t="s">
        <v>59</v>
      </c>
      <c r="EH139" t="s">
        <v>59</v>
      </c>
      <c r="EI139" t="s">
        <v>59</v>
      </c>
      <c r="EJ139" t="s">
        <v>59</v>
      </c>
      <c r="EK139" t="s">
        <v>59</v>
      </c>
      <c r="EL139" t="s">
        <v>59</v>
      </c>
      <c r="EM139" t="s">
        <v>59</v>
      </c>
      <c r="EN139" t="s">
        <v>59</v>
      </c>
      <c r="EO139" t="s">
        <v>59</v>
      </c>
      <c r="EP139" t="s">
        <v>59</v>
      </c>
      <c r="EQ139" t="s">
        <v>59</v>
      </c>
      <c r="ER139" t="s">
        <v>59</v>
      </c>
      <c r="ES139" t="s">
        <v>59</v>
      </c>
      <c r="ET139" t="s">
        <v>59</v>
      </c>
      <c r="EU139" t="s">
        <v>59</v>
      </c>
      <c r="EV139" t="s">
        <v>59</v>
      </c>
      <c r="EW139" t="s">
        <v>59</v>
      </c>
      <c r="EX139" t="s">
        <v>59</v>
      </c>
      <c r="EY139" t="s">
        <v>59</v>
      </c>
      <c r="EZ139" t="s">
        <v>59</v>
      </c>
      <c r="FA139" t="s">
        <v>59</v>
      </c>
      <c r="FB139" t="s">
        <v>59</v>
      </c>
      <c r="FC139" t="s">
        <v>59</v>
      </c>
      <c r="FD139" t="s">
        <v>59</v>
      </c>
      <c r="FE139" t="s">
        <v>59</v>
      </c>
      <c r="FF139" t="s">
        <v>59</v>
      </c>
      <c r="FG139" t="s">
        <v>59</v>
      </c>
      <c r="FH139" t="s">
        <v>59</v>
      </c>
      <c r="FI139" t="s">
        <v>59</v>
      </c>
      <c r="FJ139" t="s">
        <v>59</v>
      </c>
      <c r="FK139" t="s">
        <v>59</v>
      </c>
      <c r="FL139" t="s">
        <v>59</v>
      </c>
      <c r="FM139" t="s">
        <v>59</v>
      </c>
      <c r="FN139" t="s">
        <v>59</v>
      </c>
      <c r="FO139" t="s">
        <v>59</v>
      </c>
      <c r="FP139" t="s">
        <v>59</v>
      </c>
      <c r="FQ139" t="s">
        <v>59</v>
      </c>
      <c r="FR139" t="s">
        <v>59</v>
      </c>
      <c r="FS139" t="s">
        <v>59</v>
      </c>
      <c r="FT139" t="s">
        <v>59</v>
      </c>
      <c r="FU139" t="s">
        <v>59</v>
      </c>
      <c r="FV139" t="s">
        <v>59</v>
      </c>
      <c r="FW139" t="s">
        <v>59</v>
      </c>
      <c r="FX139" t="s">
        <v>59</v>
      </c>
      <c r="FY139" t="s">
        <v>59</v>
      </c>
      <c r="FZ139" t="s">
        <v>59</v>
      </c>
      <c r="GA139" t="s">
        <v>59</v>
      </c>
      <c r="GB139" t="s">
        <v>59</v>
      </c>
      <c r="GC139" t="s">
        <v>59</v>
      </c>
      <c r="GD139" t="s">
        <v>59</v>
      </c>
      <c r="GE139" t="s">
        <v>59</v>
      </c>
      <c r="GF139" t="s">
        <v>59</v>
      </c>
      <c r="GG139" t="s">
        <v>59</v>
      </c>
      <c r="GH139" t="s">
        <v>59</v>
      </c>
      <c r="GI139" t="s">
        <v>59</v>
      </c>
      <c r="GJ139" t="s">
        <v>59</v>
      </c>
      <c r="GK139" t="s">
        <v>218</v>
      </c>
      <c r="GL139" t="s">
        <v>59</v>
      </c>
      <c r="GM139" t="s">
        <v>59</v>
      </c>
      <c r="GN139" t="s">
        <v>59</v>
      </c>
      <c r="GO139" t="s">
        <v>59</v>
      </c>
      <c r="GP139" t="s">
        <v>59</v>
      </c>
      <c r="GQ139" t="s">
        <v>59</v>
      </c>
      <c r="GR139" t="s">
        <v>59</v>
      </c>
      <c r="GS139" t="s">
        <v>59</v>
      </c>
      <c r="GT139" t="s">
        <v>59</v>
      </c>
      <c r="GU139" t="s">
        <v>59</v>
      </c>
      <c r="GV139" t="s">
        <v>59</v>
      </c>
      <c r="GW139" t="s">
        <v>59</v>
      </c>
      <c r="GX139" t="s">
        <v>59</v>
      </c>
      <c r="GY139" t="s">
        <v>59</v>
      </c>
      <c r="GZ139" t="s">
        <v>59</v>
      </c>
      <c r="HA139" t="s">
        <v>59</v>
      </c>
      <c r="HB139" t="s">
        <v>59</v>
      </c>
      <c r="HC139" t="s">
        <v>59</v>
      </c>
      <c r="HD139" t="s">
        <v>59</v>
      </c>
      <c r="HE139" t="s">
        <v>59</v>
      </c>
      <c r="HF139" t="s">
        <v>59</v>
      </c>
      <c r="HG139" t="s">
        <v>59</v>
      </c>
      <c r="HH139" t="s">
        <v>59</v>
      </c>
      <c r="HI139" t="s">
        <v>59</v>
      </c>
      <c r="HJ139" t="s">
        <v>59</v>
      </c>
      <c r="HK139" t="s">
        <v>59</v>
      </c>
      <c r="HL139" t="s">
        <v>59</v>
      </c>
      <c r="HM139" t="s">
        <v>59</v>
      </c>
      <c r="HN139" t="s">
        <v>59</v>
      </c>
      <c r="HO139" t="s">
        <v>59</v>
      </c>
      <c r="HP139" t="s">
        <v>59</v>
      </c>
      <c r="HQ139" t="s">
        <v>59</v>
      </c>
      <c r="HR139" t="s">
        <v>59</v>
      </c>
      <c r="HS139" t="s">
        <v>59</v>
      </c>
      <c r="HT139" t="s">
        <v>59</v>
      </c>
      <c r="HU139" t="s">
        <v>59</v>
      </c>
      <c r="HV139" t="s">
        <v>59</v>
      </c>
      <c r="HW139" t="s">
        <v>59</v>
      </c>
      <c r="HX139" t="s">
        <v>59</v>
      </c>
      <c r="HY139" t="s">
        <v>59</v>
      </c>
      <c r="HZ139" t="s">
        <v>59</v>
      </c>
      <c r="IA139" t="s">
        <v>59</v>
      </c>
      <c r="IB139" t="s">
        <v>59</v>
      </c>
      <c r="IC139" t="s">
        <v>59</v>
      </c>
      <c r="ID139" t="s">
        <v>59</v>
      </c>
      <c r="IE139" t="s">
        <v>59</v>
      </c>
      <c r="IF139" t="s">
        <v>59</v>
      </c>
      <c r="IG139" t="s">
        <v>59</v>
      </c>
      <c r="IH139" t="s">
        <v>59</v>
      </c>
      <c r="II139" t="s">
        <v>59</v>
      </c>
      <c r="IJ139" t="s">
        <v>129</v>
      </c>
      <c r="IK139" t="s">
        <v>191</v>
      </c>
      <c r="IL139" t="s">
        <v>128</v>
      </c>
      <c r="IM139" t="s">
        <v>199</v>
      </c>
      <c r="IN139">
        <v>30</v>
      </c>
      <c r="IO139" t="s">
        <v>2730</v>
      </c>
      <c r="IP139" t="s">
        <v>2730</v>
      </c>
      <c r="IQ139" t="s">
        <v>2730</v>
      </c>
      <c r="IR139">
        <v>15</v>
      </c>
      <c r="IS139" t="s">
        <v>2730</v>
      </c>
      <c r="IT139" t="s">
        <v>2730</v>
      </c>
      <c r="IU139" t="s">
        <v>2730</v>
      </c>
      <c r="IV139">
        <v>16</v>
      </c>
      <c r="IW139" t="s">
        <v>2730</v>
      </c>
      <c r="IX139" t="s">
        <v>2730</v>
      </c>
      <c r="IY139" t="s">
        <v>2730</v>
      </c>
      <c r="IZ139">
        <v>58</v>
      </c>
      <c r="JA139" t="s">
        <v>2730</v>
      </c>
      <c r="JB139" t="s">
        <v>2730</v>
      </c>
      <c r="JC139" t="s">
        <v>2730</v>
      </c>
      <c r="JD139">
        <v>25</v>
      </c>
      <c r="JE139" t="s">
        <v>2730</v>
      </c>
      <c r="JF139" t="s">
        <v>2730</v>
      </c>
      <c r="JG139" t="s">
        <v>2730</v>
      </c>
      <c r="JH139">
        <v>30</v>
      </c>
      <c r="JI139" t="s">
        <v>2730</v>
      </c>
      <c r="JJ139" t="s">
        <v>2730</v>
      </c>
      <c r="JK139" t="s">
        <v>2730</v>
      </c>
      <c r="JL139">
        <v>16</v>
      </c>
      <c r="JM139" t="s">
        <v>2730</v>
      </c>
      <c r="JN139" t="s">
        <v>2730</v>
      </c>
      <c r="JO139">
        <v>4</v>
      </c>
      <c r="JP139" t="s">
        <v>2730</v>
      </c>
      <c r="JQ139" t="s">
        <v>2730</v>
      </c>
    </row>
    <row r="140" spans="1:277">
      <c r="A140" t="str">
        <f>HYPERLINK("http://www.ofsted.gov.uk/inspection-reports/find-inspection-report/provider/ELS/143840 ","Ofsted School Webpage")</f>
        <v>Ofsted School Webpage</v>
      </c>
      <c r="B140">
        <v>1249309</v>
      </c>
      <c r="C140">
        <v>143840</v>
      </c>
      <c r="D140">
        <v>2046017</v>
      </c>
      <c r="E140" t="s">
        <v>2670</v>
      </c>
      <c r="F140" t="s">
        <v>37</v>
      </c>
      <c r="G140" t="s">
        <v>209</v>
      </c>
      <c r="H140" t="s">
        <v>232</v>
      </c>
      <c r="I140" t="s">
        <v>232</v>
      </c>
      <c r="J140" t="s">
        <v>479</v>
      </c>
      <c r="K140" t="s">
        <v>2671</v>
      </c>
      <c r="L140" t="s">
        <v>184</v>
      </c>
      <c r="M140" t="s">
        <v>185</v>
      </c>
      <c r="N140" t="s">
        <v>184</v>
      </c>
      <c r="O140" t="s">
        <v>2730</v>
      </c>
      <c r="P140" t="s">
        <v>186</v>
      </c>
      <c r="Q140">
        <v>10038181</v>
      </c>
      <c r="R140" s="120">
        <v>43039</v>
      </c>
      <c r="S140" s="120">
        <v>43041</v>
      </c>
      <c r="T140" s="120">
        <v>43080</v>
      </c>
      <c r="U140" t="s">
        <v>2730</v>
      </c>
      <c r="V140" t="s">
        <v>249</v>
      </c>
      <c r="W140" t="s">
        <v>2730</v>
      </c>
      <c r="X140" t="s">
        <v>197</v>
      </c>
      <c r="Y140">
        <v>3</v>
      </c>
      <c r="Z140">
        <v>3</v>
      </c>
      <c r="AA140">
        <v>3</v>
      </c>
      <c r="AB140">
        <v>3</v>
      </c>
      <c r="AC140">
        <v>3</v>
      </c>
      <c r="AD140" t="s">
        <v>2730</v>
      </c>
      <c r="AE140" t="s">
        <v>2730</v>
      </c>
      <c r="AF140" t="s">
        <v>128</v>
      </c>
      <c r="AG140" t="s">
        <v>2730</v>
      </c>
      <c r="AH140" t="s">
        <v>2733</v>
      </c>
      <c r="AI140" t="s">
        <v>60</v>
      </c>
      <c r="AJ140" t="s">
        <v>59</v>
      </c>
      <c r="AK140" t="s">
        <v>59</v>
      </c>
      <c r="AL140" t="s">
        <v>59</v>
      </c>
      <c r="AM140" t="s">
        <v>60</v>
      </c>
      <c r="AN140" t="s">
        <v>59</v>
      </c>
      <c r="AO140" t="s">
        <v>59</v>
      </c>
      <c r="AP140" t="s">
        <v>60</v>
      </c>
      <c r="AQ140" t="s">
        <v>60</v>
      </c>
      <c r="AR140" t="s">
        <v>60</v>
      </c>
      <c r="AS140" t="s">
        <v>59</v>
      </c>
      <c r="AT140" t="s">
        <v>59</v>
      </c>
      <c r="AU140" t="s">
        <v>59</v>
      </c>
      <c r="AV140" t="s">
        <v>60</v>
      </c>
      <c r="AW140" t="s">
        <v>60</v>
      </c>
      <c r="AX140" t="s">
        <v>59</v>
      </c>
      <c r="AY140" t="s">
        <v>191</v>
      </c>
      <c r="AZ140" t="s">
        <v>59</v>
      </c>
      <c r="BA140" t="s">
        <v>59</v>
      </c>
      <c r="BB140" t="s">
        <v>59</v>
      </c>
      <c r="BC140" t="s">
        <v>59</v>
      </c>
      <c r="BD140" t="s">
        <v>59</v>
      </c>
      <c r="BE140" t="s">
        <v>59</v>
      </c>
      <c r="BF140" t="s">
        <v>59</v>
      </c>
      <c r="BG140" t="s">
        <v>191</v>
      </c>
      <c r="BH140" t="s">
        <v>191</v>
      </c>
      <c r="BI140" t="s">
        <v>59</v>
      </c>
      <c r="BJ140" t="s">
        <v>59</v>
      </c>
      <c r="BK140" t="s">
        <v>59</v>
      </c>
      <c r="BL140" t="s">
        <v>59</v>
      </c>
      <c r="BM140" t="s">
        <v>59</v>
      </c>
      <c r="BN140" t="s">
        <v>59</v>
      </c>
      <c r="BO140" t="s">
        <v>203</v>
      </c>
      <c r="BP140" t="s">
        <v>59</v>
      </c>
      <c r="BQ140" t="s">
        <v>59</v>
      </c>
      <c r="BR140" t="s">
        <v>59</v>
      </c>
      <c r="BS140" t="s">
        <v>59</v>
      </c>
      <c r="BT140" t="s">
        <v>59</v>
      </c>
      <c r="BU140" t="s">
        <v>59</v>
      </c>
      <c r="BV140" t="s">
        <v>59</v>
      </c>
      <c r="BW140" t="s">
        <v>59</v>
      </c>
      <c r="BX140" t="s">
        <v>59</v>
      </c>
      <c r="BY140" t="s">
        <v>59</v>
      </c>
      <c r="BZ140" t="s">
        <v>59</v>
      </c>
      <c r="CA140" t="s">
        <v>59</v>
      </c>
      <c r="CB140" t="s">
        <v>59</v>
      </c>
      <c r="CC140" t="s">
        <v>59</v>
      </c>
      <c r="CD140" t="s">
        <v>59</v>
      </c>
      <c r="CE140" t="s">
        <v>59</v>
      </c>
      <c r="CF140" t="s">
        <v>59</v>
      </c>
      <c r="CG140" t="s">
        <v>59</v>
      </c>
      <c r="CH140" t="s">
        <v>59</v>
      </c>
      <c r="CI140" t="s">
        <v>59</v>
      </c>
      <c r="CJ140" t="s">
        <v>59</v>
      </c>
      <c r="CK140" t="s">
        <v>59</v>
      </c>
      <c r="CL140" t="s">
        <v>59</v>
      </c>
      <c r="CM140" t="s">
        <v>59</v>
      </c>
      <c r="CN140" t="s">
        <v>59</v>
      </c>
      <c r="CO140" t="s">
        <v>59</v>
      </c>
      <c r="CP140" t="s">
        <v>191</v>
      </c>
      <c r="CQ140" t="s">
        <v>191</v>
      </c>
      <c r="CR140" t="s">
        <v>59</v>
      </c>
      <c r="CS140" t="s">
        <v>59</v>
      </c>
      <c r="CT140" t="s">
        <v>59</v>
      </c>
      <c r="CU140" t="s">
        <v>59</v>
      </c>
      <c r="CV140" t="s">
        <v>59</v>
      </c>
      <c r="CW140" t="s">
        <v>59</v>
      </c>
      <c r="CX140" t="s">
        <v>59</v>
      </c>
      <c r="CY140" t="s">
        <v>59</v>
      </c>
      <c r="CZ140" t="s">
        <v>59</v>
      </c>
      <c r="DA140" t="s">
        <v>59</v>
      </c>
      <c r="DB140" t="s">
        <v>59</v>
      </c>
      <c r="DC140" t="s">
        <v>59</v>
      </c>
      <c r="DD140" t="s">
        <v>59</v>
      </c>
      <c r="DE140" t="s">
        <v>59</v>
      </c>
      <c r="DF140" t="s">
        <v>59</v>
      </c>
      <c r="DG140" t="s">
        <v>59</v>
      </c>
      <c r="DH140" t="s">
        <v>59</v>
      </c>
      <c r="DI140" t="s">
        <v>59</v>
      </c>
      <c r="DJ140" t="s">
        <v>59</v>
      </c>
      <c r="DK140" t="s">
        <v>59</v>
      </c>
      <c r="DL140" t="s">
        <v>59</v>
      </c>
      <c r="DM140" t="s">
        <v>59</v>
      </c>
      <c r="DN140" t="s">
        <v>59</v>
      </c>
      <c r="DO140" t="s">
        <v>59</v>
      </c>
      <c r="DP140" t="s">
        <v>59</v>
      </c>
      <c r="DQ140" t="s">
        <v>59</v>
      </c>
      <c r="DR140" t="s">
        <v>59</v>
      </c>
      <c r="DS140" t="s">
        <v>59</v>
      </c>
      <c r="DT140" t="s">
        <v>59</v>
      </c>
      <c r="DU140" t="s">
        <v>59</v>
      </c>
      <c r="DV140" t="s">
        <v>59</v>
      </c>
      <c r="DW140" t="s">
        <v>59</v>
      </c>
      <c r="DX140" t="s">
        <v>59</v>
      </c>
      <c r="DY140" t="s">
        <v>59</v>
      </c>
      <c r="DZ140" t="s">
        <v>59</v>
      </c>
      <c r="EA140" t="s">
        <v>59</v>
      </c>
      <c r="EB140" t="s">
        <v>59</v>
      </c>
      <c r="EC140" t="s">
        <v>59</v>
      </c>
      <c r="ED140" t="s">
        <v>59</v>
      </c>
      <c r="EE140" t="s">
        <v>59</v>
      </c>
      <c r="EF140" t="s">
        <v>59</v>
      </c>
      <c r="EG140" t="s">
        <v>59</v>
      </c>
      <c r="EH140" t="s">
        <v>59</v>
      </c>
      <c r="EI140" t="s">
        <v>59</v>
      </c>
      <c r="EJ140" t="s">
        <v>59</v>
      </c>
      <c r="EK140" t="s">
        <v>59</v>
      </c>
      <c r="EL140" t="s">
        <v>191</v>
      </c>
      <c r="EM140" t="s">
        <v>59</v>
      </c>
      <c r="EN140" t="s">
        <v>59</v>
      </c>
      <c r="EO140" t="s">
        <v>59</v>
      </c>
      <c r="EP140" t="s">
        <v>59</v>
      </c>
      <c r="EQ140" t="s">
        <v>59</v>
      </c>
      <c r="ER140" t="s">
        <v>59</v>
      </c>
      <c r="ES140" t="s">
        <v>59</v>
      </c>
      <c r="ET140" t="s">
        <v>59</v>
      </c>
      <c r="EU140" t="s">
        <v>59</v>
      </c>
      <c r="EV140" t="s">
        <v>59</v>
      </c>
      <c r="EW140" t="s">
        <v>59</v>
      </c>
      <c r="EX140" t="s">
        <v>59</v>
      </c>
      <c r="EY140" t="s">
        <v>59</v>
      </c>
      <c r="EZ140" t="s">
        <v>59</v>
      </c>
      <c r="FA140" t="s">
        <v>191</v>
      </c>
      <c r="FB140" t="s">
        <v>191</v>
      </c>
      <c r="FC140" t="s">
        <v>191</v>
      </c>
      <c r="FD140" t="s">
        <v>191</v>
      </c>
      <c r="FE140" t="s">
        <v>191</v>
      </c>
      <c r="FF140" t="s">
        <v>191</v>
      </c>
      <c r="FG140" t="s">
        <v>191</v>
      </c>
      <c r="FH140" t="s">
        <v>59</v>
      </c>
      <c r="FI140" t="s">
        <v>191</v>
      </c>
      <c r="FJ140" t="s">
        <v>59</v>
      </c>
      <c r="FK140" t="s">
        <v>59</v>
      </c>
      <c r="FL140" t="s">
        <v>60</v>
      </c>
      <c r="FM140" t="s">
        <v>59</v>
      </c>
      <c r="FN140" t="s">
        <v>59</v>
      </c>
      <c r="FO140" t="s">
        <v>60</v>
      </c>
      <c r="FP140" t="s">
        <v>60</v>
      </c>
      <c r="FQ140" t="s">
        <v>59</v>
      </c>
      <c r="FR140" t="s">
        <v>60</v>
      </c>
      <c r="FS140" t="s">
        <v>191</v>
      </c>
      <c r="FT140" t="s">
        <v>59</v>
      </c>
      <c r="FU140" t="s">
        <v>59</v>
      </c>
      <c r="FV140" t="s">
        <v>59</v>
      </c>
      <c r="FW140" t="s">
        <v>59</v>
      </c>
      <c r="FX140" t="s">
        <v>59</v>
      </c>
      <c r="FY140" t="s">
        <v>59</v>
      </c>
      <c r="FZ140" t="s">
        <v>59</v>
      </c>
      <c r="GA140" t="s">
        <v>59</v>
      </c>
      <c r="GB140" t="s">
        <v>60</v>
      </c>
      <c r="GC140" t="s">
        <v>59</v>
      </c>
      <c r="GD140" t="s">
        <v>59</v>
      </c>
      <c r="GE140" t="s">
        <v>59</v>
      </c>
      <c r="GF140" t="s">
        <v>59</v>
      </c>
      <c r="GG140" t="s">
        <v>59</v>
      </c>
      <c r="GH140" t="s">
        <v>60</v>
      </c>
      <c r="GI140" t="s">
        <v>60</v>
      </c>
      <c r="GJ140" t="s">
        <v>191</v>
      </c>
      <c r="GK140" t="s">
        <v>191</v>
      </c>
      <c r="GL140" t="s">
        <v>59</v>
      </c>
      <c r="GM140" t="s">
        <v>59</v>
      </c>
      <c r="GN140" t="s">
        <v>59</v>
      </c>
      <c r="GO140" t="s">
        <v>59</v>
      </c>
      <c r="GP140" t="s">
        <v>191</v>
      </c>
      <c r="GQ140" t="s">
        <v>59</v>
      </c>
      <c r="GR140" t="s">
        <v>59</v>
      </c>
      <c r="GS140" t="s">
        <v>59</v>
      </c>
      <c r="GT140" t="s">
        <v>59</v>
      </c>
      <c r="GU140" t="s">
        <v>191</v>
      </c>
      <c r="GV140" t="s">
        <v>59</v>
      </c>
      <c r="GW140" t="s">
        <v>59</v>
      </c>
      <c r="GX140" t="s">
        <v>59</v>
      </c>
      <c r="GY140" t="s">
        <v>59</v>
      </c>
      <c r="GZ140" t="s">
        <v>59</v>
      </c>
      <c r="HA140" t="s">
        <v>191</v>
      </c>
      <c r="HB140" t="s">
        <v>59</v>
      </c>
      <c r="HC140" t="s">
        <v>59</v>
      </c>
      <c r="HD140" t="s">
        <v>59</v>
      </c>
      <c r="HE140" t="s">
        <v>59</v>
      </c>
      <c r="HF140" t="s">
        <v>59</v>
      </c>
      <c r="HG140" t="s">
        <v>59</v>
      </c>
      <c r="HH140" t="s">
        <v>59</v>
      </c>
      <c r="HI140" t="s">
        <v>59</v>
      </c>
      <c r="HJ140" t="s">
        <v>59</v>
      </c>
      <c r="HK140" t="s">
        <v>191</v>
      </c>
      <c r="HL140" t="s">
        <v>191</v>
      </c>
      <c r="HM140" t="s">
        <v>191</v>
      </c>
      <c r="HN140" t="s">
        <v>191</v>
      </c>
      <c r="HO140" t="s">
        <v>191</v>
      </c>
      <c r="HP140" t="s">
        <v>59</v>
      </c>
      <c r="HQ140" t="s">
        <v>59</v>
      </c>
      <c r="HR140" t="s">
        <v>59</v>
      </c>
      <c r="HS140" t="s">
        <v>59</v>
      </c>
      <c r="HT140" t="s">
        <v>59</v>
      </c>
      <c r="HU140" t="s">
        <v>59</v>
      </c>
      <c r="HV140" t="s">
        <v>59</v>
      </c>
      <c r="HW140" t="s">
        <v>59</v>
      </c>
      <c r="HX140" t="s">
        <v>59</v>
      </c>
      <c r="HY140" t="s">
        <v>59</v>
      </c>
      <c r="HZ140" t="s">
        <v>59</v>
      </c>
      <c r="IA140" t="s">
        <v>59</v>
      </c>
      <c r="IB140" t="s">
        <v>59</v>
      </c>
      <c r="IC140" t="s">
        <v>59</v>
      </c>
      <c r="ID140" t="s">
        <v>59</v>
      </c>
      <c r="IE140" t="s">
        <v>59</v>
      </c>
      <c r="IF140" t="s">
        <v>60</v>
      </c>
      <c r="IG140" t="s">
        <v>60</v>
      </c>
      <c r="IH140" t="s">
        <v>60</v>
      </c>
      <c r="II140" t="s">
        <v>59</v>
      </c>
      <c r="IJ140" t="s">
        <v>129</v>
      </c>
      <c r="IK140" t="s">
        <v>198</v>
      </c>
      <c r="IL140" t="s">
        <v>128</v>
      </c>
      <c r="IM140" t="s">
        <v>199</v>
      </c>
      <c r="IN140">
        <v>24</v>
      </c>
      <c r="IO140">
        <v>1</v>
      </c>
      <c r="IP140">
        <v>3</v>
      </c>
      <c r="IQ140">
        <v>4</v>
      </c>
      <c r="IR140">
        <v>15</v>
      </c>
      <c r="IS140" t="s">
        <v>2730</v>
      </c>
      <c r="IT140" t="s">
        <v>2730</v>
      </c>
      <c r="IU140" t="s">
        <v>2730</v>
      </c>
      <c r="IV140">
        <v>17</v>
      </c>
      <c r="IW140" t="s">
        <v>2730</v>
      </c>
      <c r="IX140">
        <v>2</v>
      </c>
      <c r="IY140" t="s">
        <v>2730</v>
      </c>
      <c r="IZ140">
        <v>50</v>
      </c>
      <c r="JA140" t="s">
        <v>2730</v>
      </c>
      <c r="JB140">
        <v>9</v>
      </c>
      <c r="JC140" t="s">
        <v>2730</v>
      </c>
      <c r="JD140">
        <v>16</v>
      </c>
      <c r="JE140" t="s">
        <v>2730</v>
      </c>
      <c r="JF140">
        <v>3</v>
      </c>
      <c r="JG140">
        <v>7</v>
      </c>
      <c r="JH140">
        <v>22</v>
      </c>
      <c r="JI140" t="s">
        <v>2730</v>
      </c>
      <c r="JJ140">
        <v>8</v>
      </c>
      <c r="JK140" t="s">
        <v>2730</v>
      </c>
      <c r="JL140">
        <v>16</v>
      </c>
      <c r="JM140" t="s">
        <v>2730</v>
      </c>
      <c r="JN140" t="s">
        <v>2730</v>
      </c>
      <c r="JO140">
        <v>1</v>
      </c>
      <c r="JP140" t="s">
        <v>2730</v>
      </c>
      <c r="JQ140">
        <v>3</v>
      </c>
    </row>
    <row r="141" spans="1:277">
      <c r="A141" t="str">
        <f>HYPERLINK("http://www.ofsted.gov.uk/inspection-reports/find-inspection-report/provider/ELS/134858 ","Ofsted School Webpage")</f>
        <v>Ofsted School Webpage</v>
      </c>
      <c r="B141">
        <v>1134591</v>
      </c>
      <c r="C141">
        <v>134858</v>
      </c>
      <c r="D141">
        <v>8876007</v>
      </c>
      <c r="E141" t="s">
        <v>271</v>
      </c>
      <c r="F141" t="s">
        <v>37</v>
      </c>
      <c r="G141" t="s">
        <v>209</v>
      </c>
      <c r="H141" t="s">
        <v>181</v>
      </c>
      <c r="I141" t="s">
        <v>181</v>
      </c>
      <c r="J141" t="s">
        <v>272</v>
      </c>
      <c r="K141" t="s">
        <v>273</v>
      </c>
      <c r="L141" t="s">
        <v>184</v>
      </c>
      <c r="M141" t="s">
        <v>185</v>
      </c>
      <c r="N141" t="s">
        <v>212</v>
      </c>
      <c r="O141" t="s">
        <v>2730</v>
      </c>
      <c r="P141" t="s">
        <v>186</v>
      </c>
      <c r="Q141">
        <v>10039161</v>
      </c>
      <c r="R141" s="120">
        <v>43046</v>
      </c>
      <c r="S141" s="120">
        <v>43048</v>
      </c>
      <c r="T141" s="120">
        <v>43069</v>
      </c>
      <c r="U141" t="s">
        <v>2730</v>
      </c>
      <c r="V141" t="s">
        <v>196</v>
      </c>
      <c r="W141" t="s">
        <v>2730</v>
      </c>
      <c r="X141" t="s">
        <v>197</v>
      </c>
      <c r="Y141">
        <v>3</v>
      </c>
      <c r="Z141">
        <v>2</v>
      </c>
      <c r="AA141">
        <v>2</v>
      </c>
      <c r="AB141">
        <v>3</v>
      </c>
      <c r="AC141">
        <v>2</v>
      </c>
      <c r="AD141">
        <v>2</v>
      </c>
      <c r="AE141" t="s">
        <v>2730</v>
      </c>
      <c r="AF141" t="s">
        <v>128</v>
      </c>
      <c r="AG141" t="s">
        <v>2730</v>
      </c>
      <c r="AH141" t="s">
        <v>2732</v>
      </c>
      <c r="AI141" t="s">
        <v>59</v>
      </c>
      <c r="AJ141" t="s">
        <v>59</v>
      </c>
      <c r="AK141" t="s">
        <v>59</v>
      </c>
      <c r="AL141" t="s">
        <v>59</v>
      </c>
      <c r="AM141" t="s">
        <v>59</v>
      </c>
      <c r="AN141" t="s">
        <v>59</v>
      </c>
      <c r="AO141" t="s">
        <v>59</v>
      </c>
      <c r="AP141" t="s">
        <v>59</v>
      </c>
      <c r="AQ141" t="s">
        <v>59</v>
      </c>
      <c r="AR141" t="s">
        <v>59</v>
      </c>
      <c r="AS141" t="s">
        <v>59</v>
      </c>
      <c r="AT141" t="s">
        <v>59</v>
      </c>
      <c r="AU141" t="s">
        <v>59</v>
      </c>
      <c r="AV141" t="s">
        <v>59</v>
      </c>
      <c r="AW141" t="s">
        <v>59</v>
      </c>
      <c r="AX141" t="s">
        <v>59</v>
      </c>
      <c r="AY141" t="s">
        <v>59</v>
      </c>
      <c r="AZ141" t="s">
        <v>59</v>
      </c>
      <c r="BA141" t="s">
        <v>59</v>
      </c>
      <c r="BB141" t="s">
        <v>59</v>
      </c>
      <c r="BC141" t="s">
        <v>218</v>
      </c>
      <c r="BD141" t="s">
        <v>218</v>
      </c>
      <c r="BE141" t="s">
        <v>218</v>
      </c>
      <c r="BF141" t="s">
        <v>218</v>
      </c>
      <c r="BG141" t="s">
        <v>59</v>
      </c>
      <c r="BH141" t="s">
        <v>59</v>
      </c>
      <c r="BI141" t="s">
        <v>59</v>
      </c>
      <c r="BJ141" t="s">
        <v>59</v>
      </c>
      <c r="BK141" t="s">
        <v>59</v>
      </c>
      <c r="BL141" t="s">
        <v>59</v>
      </c>
      <c r="BM141" t="s">
        <v>59</v>
      </c>
      <c r="BN141" t="s">
        <v>59</v>
      </c>
      <c r="BO141" t="s">
        <v>59</v>
      </c>
      <c r="BP141" t="s">
        <v>59</v>
      </c>
      <c r="BQ141" t="s">
        <v>59</v>
      </c>
      <c r="BR141" t="s">
        <v>59</v>
      </c>
      <c r="BS141" t="s">
        <v>59</v>
      </c>
      <c r="BT141" t="s">
        <v>59</v>
      </c>
      <c r="BU141" t="s">
        <v>59</v>
      </c>
      <c r="BV141" t="s">
        <v>59</v>
      </c>
      <c r="BW141" t="s">
        <v>59</v>
      </c>
      <c r="BX141" t="s">
        <v>59</v>
      </c>
      <c r="BY141" t="s">
        <v>59</v>
      </c>
      <c r="BZ141" t="s">
        <v>59</v>
      </c>
      <c r="CA141" t="s">
        <v>59</v>
      </c>
      <c r="CB141" t="s">
        <v>59</v>
      </c>
      <c r="CC141" t="s">
        <v>59</v>
      </c>
      <c r="CD141" t="s">
        <v>59</v>
      </c>
      <c r="CE141" t="s">
        <v>59</v>
      </c>
      <c r="CF141" t="s">
        <v>59</v>
      </c>
      <c r="CG141" t="s">
        <v>59</v>
      </c>
      <c r="CH141" t="s">
        <v>59</v>
      </c>
      <c r="CI141" t="s">
        <v>59</v>
      </c>
      <c r="CJ141" t="s">
        <v>59</v>
      </c>
      <c r="CK141" t="s">
        <v>59</v>
      </c>
      <c r="CL141" t="s">
        <v>59</v>
      </c>
      <c r="CM141" t="s">
        <v>59</v>
      </c>
      <c r="CN141" t="s">
        <v>59</v>
      </c>
      <c r="CO141" t="s">
        <v>218</v>
      </c>
      <c r="CP141" t="s">
        <v>218</v>
      </c>
      <c r="CQ141" t="s">
        <v>218</v>
      </c>
      <c r="CR141" t="s">
        <v>59</v>
      </c>
      <c r="CS141" t="s">
        <v>59</v>
      </c>
      <c r="CT141" t="s">
        <v>59</v>
      </c>
      <c r="CU141" t="s">
        <v>59</v>
      </c>
      <c r="CV141" t="s">
        <v>59</v>
      </c>
      <c r="CW141" t="s">
        <v>59</v>
      </c>
      <c r="CX141" t="s">
        <v>59</v>
      </c>
      <c r="CY141" t="s">
        <v>59</v>
      </c>
      <c r="CZ141" t="s">
        <v>59</v>
      </c>
      <c r="DA141" t="s">
        <v>59</v>
      </c>
      <c r="DB141" t="s">
        <v>59</v>
      </c>
      <c r="DC141" t="s">
        <v>59</v>
      </c>
      <c r="DD141" t="s">
        <v>59</v>
      </c>
      <c r="DE141" t="s">
        <v>59</v>
      </c>
      <c r="DF141" t="s">
        <v>59</v>
      </c>
      <c r="DG141" t="s">
        <v>59</v>
      </c>
      <c r="DH141" t="s">
        <v>59</v>
      </c>
      <c r="DI141" t="s">
        <v>59</v>
      </c>
      <c r="DJ141" t="s">
        <v>59</v>
      </c>
      <c r="DK141" t="s">
        <v>59</v>
      </c>
      <c r="DL141" t="s">
        <v>59</v>
      </c>
      <c r="DM141" t="s">
        <v>59</v>
      </c>
      <c r="DN141" t="s">
        <v>59</v>
      </c>
      <c r="DO141" t="s">
        <v>218</v>
      </c>
      <c r="DP141" t="s">
        <v>59</v>
      </c>
      <c r="DQ141" t="s">
        <v>59</v>
      </c>
      <c r="DR141" t="s">
        <v>59</v>
      </c>
      <c r="DS141" t="s">
        <v>59</v>
      </c>
      <c r="DT141" t="s">
        <v>59</v>
      </c>
      <c r="DU141" t="s">
        <v>59</v>
      </c>
      <c r="DV141" t="s">
        <v>59</v>
      </c>
      <c r="DW141" t="s">
        <v>59</v>
      </c>
      <c r="DX141" t="s">
        <v>59</v>
      </c>
      <c r="DY141" t="s">
        <v>59</v>
      </c>
      <c r="DZ141" t="s">
        <v>59</v>
      </c>
      <c r="EA141" t="s">
        <v>59</v>
      </c>
      <c r="EB141" t="s">
        <v>59</v>
      </c>
      <c r="EC141" t="s">
        <v>218</v>
      </c>
      <c r="ED141" t="s">
        <v>59</v>
      </c>
      <c r="EE141" t="s">
        <v>59</v>
      </c>
      <c r="EF141" t="s">
        <v>59</v>
      </c>
      <c r="EG141" t="s">
        <v>59</v>
      </c>
      <c r="EH141" t="s">
        <v>59</v>
      </c>
      <c r="EI141" t="s">
        <v>59</v>
      </c>
      <c r="EJ141" t="s">
        <v>59</v>
      </c>
      <c r="EK141" t="s">
        <v>59</v>
      </c>
      <c r="EL141" t="s">
        <v>59</v>
      </c>
      <c r="EM141" t="s">
        <v>59</v>
      </c>
      <c r="EN141" t="s">
        <v>59</v>
      </c>
      <c r="EO141" t="s">
        <v>59</v>
      </c>
      <c r="EP141" t="s">
        <v>59</v>
      </c>
      <c r="EQ141" t="s">
        <v>59</v>
      </c>
      <c r="ER141" t="s">
        <v>59</v>
      </c>
      <c r="ES141" t="s">
        <v>59</v>
      </c>
      <c r="ET141" t="s">
        <v>59</v>
      </c>
      <c r="EU141" t="s">
        <v>59</v>
      </c>
      <c r="EV141" t="s">
        <v>59</v>
      </c>
      <c r="EW141" t="s">
        <v>59</v>
      </c>
      <c r="EX141" t="s">
        <v>59</v>
      </c>
      <c r="EY141" t="s">
        <v>59</v>
      </c>
      <c r="EZ141" t="s">
        <v>59</v>
      </c>
      <c r="FA141" t="s">
        <v>59</v>
      </c>
      <c r="FB141" t="s">
        <v>59</v>
      </c>
      <c r="FC141" t="s">
        <v>59</v>
      </c>
      <c r="FD141" t="s">
        <v>59</v>
      </c>
      <c r="FE141" t="s">
        <v>59</v>
      </c>
      <c r="FF141" t="s">
        <v>59</v>
      </c>
      <c r="FG141" t="s">
        <v>59</v>
      </c>
      <c r="FH141" t="s">
        <v>59</v>
      </c>
      <c r="FI141" t="s">
        <v>59</v>
      </c>
      <c r="FJ141" t="s">
        <v>59</v>
      </c>
      <c r="FK141" t="s">
        <v>59</v>
      </c>
      <c r="FL141" t="s">
        <v>59</v>
      </c>
      <c r="FM141" t="s">
        <v>59</v>
      </c>
      <c r="FN141" t="s">
        <v>59</v>
      </c>
      <c r="FO141" t="s">
        <v>218</v>
      </c>
      <c r="FP141" t="s">
        <v>59</v>
      </c>
      <c r="FQ141" t="s">
        <v>59</v>
      </c>
      <c r="FR141" t="s">
        <v>59</v>
      </c>
      <c r="FS141" t="s">
        <v>59</v>
      </c>
      <c r="FT141" t="s">
        <v>59</v>
      </c>
      <c r="FU141" t="s">
        <v>218</v>
      </c>
      <c r="FV141" t="s">
        <v>59</v>
      </c>
      <c r="FW141" t="s">
        <v>59</v>
      </c>
      <c r="FX141" t="s">
        <v>59</v>
      </c>
      <c r="FY141" t="s">
        <v>59</v>
      </c>
      <c r="FZ141" t="s">
        <v>59</v>
      </c>
      <c r="GA141" t="s">
        <v>59</v>
      </c>
      <c r="GB141" t="s">
        <v>59</v>
      </c>
      <c r="GC141" t="s">
        <v>59</v>
      </c>
      <c r="GD141" t="s">
        <v>59</v>
      </c>
      <c r="GE141" t="s">
        <v>59</v>
      </c>
      <c r="GF141" t="s">
        <v>59</v>
      </c>
      <c r="GG141" t="s">
        <v>59</v>
      </c>
      <c r="GH141" t="s">
        <v>59</v>
      </c>
      <c r="GI141" t="s">
        <v>59</v>
      </c>
      <c r="GJ141" t="s">
        <v>59</v>
      </c>
      <c r="GK141" t="s">
        <v>218</v>
      </c>
      <c r="GL141" t="s">
        <v>59</v>
      </c>
      <c r="GM141" t="s">
        <v>59</v>
      </c>
      <c r="GN141" t="s">
        <v>59</v>
      </c>
      <c r="GO141" t="s">
        <v>59</v>
      </c>
      <c r="GP141" t="s">
        <v>59</v>
      </c>
      <c r="GQ141" t="s">
        <v>59</v>
      </c>
      <c r="GR141" t="s">
        <v>59</v>
      </c>
      <c r="GS141" t="s">
        <v>59</v>
      </c>
      <c r="GT141" t="s">
        <v>218</v>
      </c>
      <c r="GU141" t="s">
        <v>218</v>
      </c>
      <c r="GV141" t="s">
        <v>59</v>
      </c>
      <c r="GW141" t="s">
        <v>59</v>
      </c>
      <c r="GX141" t="s">
        <v>59</v>
      </c>
      <c r="GY141" t="s">
        <v>59</v>
      </c>
      <c r="GZ141" t="s">
        <v>218</v>
      </c>
      <c r="HA141" t="s">
        <v>59</v>
      </c>
      <c r="HB141" t="s">
        <v>218</v>
      </c>
      <c r="HC141" t="s">
        <v>59</v>
      </c>
      <c r="HD141" t="s">
        <v>59</v>
      </c>
      <c r="HE141" t="s">
        <v>59</v>
      </c>
      <c r="HF141" t="s">
        <v>59</v>
      </c>
      <c r="HG141" t="s">
        <v>59</v>
      </c>
      <c r="HH141" t="s">
        <v>59</v>
      </c>
      <c r="HI141" t="s">
        <v>59</v>
      </c>
      <c r="HJ141" t="s">
        <v>59</v>
      </c>
      <c r="HK141" t="s">
        <v>59</v>
      </c>
      <c r="HL141" t="s">
        <v>59</v>
      </c>
      <c r="HM141" t="s">
        <v>59</v>
      </c>
      <c r="HN141" t="s">
        <v>59</v>
      </c>
      <c r="HO141" t="s">
        <v>59</v>
      </c>
      <c r="HP141" t="s">
        <v>59</v>
      </c>
      <c r="HQ141" t="s">
        <v>59</v>
      </c>
      <c r="HR141" t="s">
        <v>59</v>
      </c>
      <c r="HS141" t="s">
        <v>59</v>
      </c>
      <c r="HT141" t="s">
        <v>59</v>
      </c>
      <c r="HU141" t="s">
        <v>59</v>
      </c>
      <c r="HV141" t="s">
        <v>59</v>
      </c>
      <c r="HW141" t="s">
        <v>59</v>
      </c>
      <c r="HX141" t="s">
        <v>59</v>
      </c>
      <c r="HY141" t="s">
        <v>59</v>
      </c>
      <c r="HZ141" t="s">
        <v>59</v>
      </c>
      <c r="IA141" t="s">
        <v>59</v>
      </c>
      <c r="IB141" t="s">
        <v>59</v>
      </c>
      <c r="IC141" t="s">
        <v>59</v>
      </c>
      <c r="ID141" t="s">
        <v>59</v>
      </c>
      <c r="IE141" t="s">
        <v>59</v>
      </c>
      <c r="IF141" t="s">
        <v>59</v>
      </c>
      <c r="IG141" t="s">
        <v>59</v>
      </c>
      <c r="IH141" t="s">
        <v>59</v>
      </c>
      <c r="II141" t="s">
        <v>59</v>
      </c>
      <c r="IJ141" t="s">
        <v>129</v>
      </c>
      <c r="IK141" t="s">
        <v>191</v>
      </c>
      <c r="IL141" t="s">
        <v>203</v>
      </c>
      <c r="IM141" t="s">
        <v>199</v>
      </c>
      <c r="IN141">
        <v>28</v>
      </c>
      <c r="IO141" t="s">
        <v>2730</v>
      </c>
      <c r="IP141" t="s">
        <v>2730</v>
      </c>
      <c r="IQ141" t="s">
        <v>2730</v>
      </c>
      <c r="IR141">
        <v>15</v>
      </c>
      <c r="IS141" t="s">
        <v>2730</v>
      </c>
      <c r="IT141" t="s">
        <v>2730</v>
      </c>
      <c r="IU141" t="s">
        <v>2730</v>
      </c>
      <c r="IV141">
        <v>16</v>
      </c>
      <c r="IW141" t="s">
        <v>2730</v>
      </c>
      <c r="IX141" t="s">
        <v>2730</v>
      </c>
      <c r="IY141" t="s">
        <v>2730</v>
      </c>
      <c r="IZ141">
        <v>57</v>
      </c>
      <c r="JA141" t="s">
        <v>2730</v>
      </c>
      <c r="JB141" t="s">
        <v>2730</v>
      </c>
      <c r="JC141" t="s">
        <v>2730</v>
      </c>
      <c r="JD141">
        <v>23</v>
      </c>
      <c r="JE141" t="s">
        <v>2730</v>
      </c>
      <c r="JF141" t="s">
        <v>2730</v>
      </c>
      <c r="JG141" t="s">
        <v>2730</v>
      </c>
      <c r="JH141">
        <v>26</v>
      </c>
      <c r="JI141" t="s">
        <v>2730</v>
      </c>
      <c r="JJ141" t="s">
        <v>2730</v>
      </c>
      <c r="JK141" t="s">
        <v>2730</v>
      </c>
      <c r="JL141">
        <v>16</v>
      </c>
      <c r="JM141" t="s">
        <v>2730</v>
      </c>
      <c r="JN141" t="s">
        <v>2730</v>
      </c>
      <c r="JO141">
        <v>4</v>
      </c>
      <c r="JP141" t="s">
        <v>2730</v>
      </c>
      <c r="JQ141" t="s">
        <v>2730</v>
      </c>
    </row>
    <row r="142" spans="1:277">
      <c r="A142" t="str">
        <f>HYPERLINK("http://www.ofsted.gov.uk/inspection-reports/find-inspection-report/provider/ELS/103586 ","Ofsted School Webpage")</f>
        <v>Ofsted School Webpage</v>
      </c>
      <c r="B142">
        <v>1133471</v>
      </c>
      <c r="C142">
        <v>103586</v>
      </c>
      <c r="D142">
        <v>3306078</v>
      </c>
      <c r="E142" t="s">
        <v>403</v>
      </c>
      <c r="F142" t="s">
        <v>37</v>
      </c>
      <c r="G142" t="s">
        <v>209</v>
      </c>
      <c r="H142" t="s">
        <v>193</v>
      </c>
      <c r="I142" t="s">
        <v>193</v>
      </c>
      <c r="J142" t="s">
        <v>210</v>
      </c>
      <c r="K142" t="s">
        <v>404</v>
      </c>
      <c r="L142" t="s">
        <v>184</v>
      </c>
      <c r="M142" t="s">
        <v>185</v>
      </c>
      <c r="N142" t="s">
        <v>223</v>
      </c>
      <c r="O142" t="s">
        <v>2730</v>
      </c>
      <c r="P142" t="s">
        <v>186</v>
      </c>
      <c r="Q142">
        <v>10038825</v>
      </c>
      <c r="R142" s="120">
        <v>42997</v>
      </c>
      <c r="S142" s="120">
        <v>42999</v>
      </c>
      <c r="T142" s="120">
        <v>43040</v>
      </c>
      <c r="U142" t="s">
        <v>2730</v>
      </c>
      <c r="V142" t="s">
        <v>196</v>
      </c>
      <c r="W142" t="s">
        <v>2730</v>
      </c>
      <c r="X142" t="s">
        <v>197</v>
      </c>
      <c r="Y142">
        <v>2</v>
      </c>
      <c r="Z142">
        <v>2</v>
      </c>
      <c r="AA142">
        <v>2</v>
      </c>
      <c r="AB142">
        <v>2</v>
      </c>
      <c r="AC142">
        <v>2</v>
      </c>
      <c r="AD142" t="s">
        <v>2730</v>
      </c>
      <c r="AE142" t="s">
        <v>2730</v>
      </c>
      <c r="AF142" t="s">
        <v>128</v>
      </c>
      <c r="AG142" t="s">
        <v>2730</v>
      </c>
      <c r="AH142" t="s">
        <v>2732</v>
      </c>
      <c r="AI142" t="s">
        <v>59</v>
      </c>
      <c r="AJ142" t="s">
        <v>59</v>
      </c>
      <c r="AK142" t="s">
        <v>59</v>
      </c>
      <c r="AL142" t="s">
        <v>59</v>
      </c>
      <c r="AM142" t="s">
        <v>59</v>
      </c>
      <c r="AN142" t="s">
        <v>59</v>
      </c>
      <c r="AO142" t="s">
        <v>59</v>
      </c>
      <c r="AP142" t="s">
        <v>59</v>
      </c>
      <c r="AQ142" t="s">
        <v>59</v>
      </c>
      <c r="AR142" t="s">
        <v>59</v>
      </c>
      <c r="AS142" t="s">
        <v>59</v>
      </c>
      <c r="AT142" t="s">
        <v>59</v>
      </c>
      <c r="AU142" t="s">
        <v>59</v>
      </c>
      <c r="AV142" t="s">
        <v>59</v>
      </c>
      <c r="AW142" t="s">
        <v>59</v>
      </c>
      <c r="AX142" t="s">
        <v>59</v>
      </c>
      <c r="AY142" t="s">
        <v>191</v>
      </c>
      <c r="AZ142" t="s">
        <v>59</v>
      </c>
      <c r="BA142" t="s">
        <v>59</v>
      </c>
      <c r="BB142" t="s">
        <v>59</v>
      </c>
      <c r="BC142" t="s">
        <v>59</v>
      </c>
      <c r="BD142" t="s">
        <v>59</v>
      </c>
      <c r="BE142" t="s">
        <v>59</v>
      </c>
      <c r="BF142" t="s">
        <v>59</v>
      </c>
      <c r="BG142" t="s">
        <v>191</v>
      </c>
      <c r="BH142" t="s">
        <v>59</v>
      </c>
      <c r="BI142" t="s">
        <v>59</v>
      </c>
      <c r="BJ142" t="s">
        <v>59</v>
      </c>
      <c r="BK142" t="s">
        <v>59</v>
      </c>
      <c r="BL142" t="s">
        <v>59</v>
      </c>
      <c r="BM142" t="s">
        <v>59</v>
      </c>
      <c r="BN142" t="s">
        <v>59</v>
      </c>
      <c r="BO142" t="s">
        <v>59</v>
      </c>
      <c r="BP142" t="s">
        <v>59</v>
      </c>
      <c r="BQ142" t="s">
        <v>59</v>
      </c>
      <c r="BR142" t="s">
        <v>59</v>
      </c>
      <c r="BS142" t="s">
        <v>59</v>
      </c>
      <c r="BT142" t="s">
        <v>59</v>
      </c>
      <c r="BU142" t="s">
        <v>59</v>
      </c>
      <c r="BV142" t="s">
        <v>59</v>
      </c>
      <c r="BW142" t="s">
        <v>59</v>
      </c>
      <c r="BX142" t="s">
        <v>59</v>
      </c>
      <c r="BY142" t="s">
        <v>59</v>
      </c>
      <c r="BZ142" t="s">
        <v>59</v>
      </c>
      <c r="CA142" t="s">
        <v>59</v>
      </c>
      <c r="CB142" t="s">
        <v>59</v>
      </c>
      <c r="CC142" t="s">
        <v>59</v>
      </c>
      <c r="CD142" t="s">
        <v>59</v>
      </c>
      <c r="CE142" t="s">
        <v>59</v>
      </c>
      <c r="CF142" t="s">
        <v>59</v>
      </c>
      <c r="CG142" t="s">
        <v>59</v>
      </c>
      <c r="CH142" t="s">
        <v>59</v>
      </c>
      <c r="CI142" t="s">
        <v>59</v>
      </c>
      <c r="CJ142" t="s">
        <v>59</v>
      </c>
      <c r="CK142" t="s">
        <v>59</v>
      </c>
      <c r="CL142" t="s">
        <v>59</v>
      </c>
      <c r="CM142" t="s">
        <v>59</v>
      </c>
      <c r="CN142" t="s">
        <v>59</v>
      </c>
      <c r="CO142" t="s">
        <v>191</v>
      </c>
      <c r="CP142" t="s">
        <v>191</v>
      </c>
      <c r="CQ142" t="s">
        <v>191</v>
      </c>
      <c r="CR142" t="s">
        <v>59</v>
      </c>
      <c r="CS142" t="s">
        <v>59</v>
      </c>
      <c r="CT142" t="s">
        <v>59</v>
      </c>
      <c r="CU142" t="s">
        <v>59</v>
      </c>
      <c r="CV142" t="s">
        <v>59</v>
      </c>
      <c r="CW142" t="s">
        <v>59</v>
      </c>
      <c r="CX142" t="s">
        <v>59</v>
      </c>
      <c r="CY142" t="s">
        <v>59</v>
      </c>
      <c r="CZ142" t="s">
        <v>59</v>
      </c>
      <c r="DA142" t="s">
        <v>59</v>
      </c>
      <c r="DB142" t="s">
        <v>59</v>
      </c>
      <c r="DC142" t="s">
        <v>59</v>
      </c>
      <c r="DD142" t="s">
        <v>59</v>
      </c>
      <c r="DE142" t="s">
        <v>59</v>
      </c>
      <c r="DF142" t="s">
        <v>59</v>
      </c>
      <c r="DG142" t="s">
        <v>59</v>
      </c>
      <c r="DH142" t="s">
        <v>59</v>
      </c>
      <c r="DI142" t="s">
        <v>59</v>
      </c>
      <c r="DJ142" t="s">
        <v>59</v>
      </c>
      <c r="DK142" t="s">
        <v>59</v>
      </c>
      <c r="DL142" t="s">
        <v>59</v>
      </c>
      <c r="DM142" t="s">
        <v>59</v>
      </c>
      <c r="DN142" t="s">
        <v>59</v>
      </c>
      <c r="DO142" t="s">
        <v>191</v>
      </c>
      <c r="DP142" t="s">
        <v>59</v>
      </c>
      <c r="DQ142" t="s">
        <v>59</v>
      </c>
      <c r="DR142" t="s">
        <v>59</v>
      </c>
      <c r="DS142" t="s">
        <v>59</v>
      </c>
      <c r="DT142" t="s">
        <v>59</v>
      </c>
      <c r="DU142" t="s">
        <v>59</v>
      </c>
      <c r="DV142" t="s">
        <v>59</v>
      </c>
      <c r="DW142" t="s">
        <v>59</v>
      </c>
      <c r="DX142" t="s">
        <v>59</v>
      </c>
      <c r="DY142" t="s">
        <v>59</v>
      </c>
      <c r="DZ142" t="s">
        <v>59</v>
      </c>
      <c r="EA142" t="s">
        <v>59</v>
      </c>
      <c r="EB142" t="s">
        <v>59</v>
      </c>
      <c r="EC142" t="s">
        <v>191</v>
      </c>
      <c r="ED142" t="s">
        <v>59</v>
      </c>
      <c r="EE142" t="s">
        <v>59</v>
      </c>
      <c r="EF142" t="s">
        <v>59</v>
      </c>
      <c r="EG142" t="s">
        <v>59</v>
      </c>
      <c r="EH142" t="s">
        <v>59</v>
      </c>
      <c r="EI142" t="s">
        <v>59</v>
      </c>
      <c r="EJ142" t="s">
        <v>59</v>
      </c>
      <c r="EK142" t="s">
        <v>59</v>
      </c>
      <c r="EL142" t="s">
        <v>59</v>
      </c>
      <c r="EM142" t="s">
        <v>59</v>
      </c>
      <c r="EN142" t="s">
        <v>59</v>
      </c>
      <c r="EO142" t="s">
        <v>59</v>
      </c>
      <c r="EP142" t="s">
        <v>59</v>
      </c>
      <c r="EQ142" t="s">
        <v>59</v>
      </c>
      <c r="ER142" t="s">
        <v>59</v>
      </c>
      <c r="ES142" t="s">
        <v>59</v>
      </c>
      <c r="ET142" t="s">
        <v>59</v>
      </c>
      <c r="EU142" t="s">
        <v>59</v>
      </c>
      <c r="EV142" t="s">
        <v>59</v>
      </c>
      <c r="EW142" t="s">
        <v>59</v>
      </c>
      <c r="EX142" t="s">
        <v>59</v>
      </c>
      <c r="EY142" t="s">
        <v>59</v>
      </c>
      <c r="EZ142" t="s">
        <v>59</v>
      </c>
      <c r="FA142" t="s">
        <v>59</v>
      </c>
      <c r="FB142" t="s">
        <v>59</v>
      </c>
      <c r="FC142" t="s">
        <v>59</v>
      </c>
      <c r="FD142" t="s">
        <v>59</v>
      </c>
      <c r="FE142" t="s">
        <v>59</v>
      </c>
      <c r="FF142" t="s">
        <v>59</v>
      </c>
      <c r="FG142" t="s">
        <v>59</v>
      </c>
      <c r="FH142" t="s">
        <v>59</v>
      </c>
      <c r="FI142" t="s">
        <v>191</v>
      </c>
      <c r="FJ142" t="s">
        <v>191</v>
      </c>
      <c r="FK142" t="s">
        <v>191</v>
      </c>
      <c r="FL142" t="s">
        <v>59</v>
      </c>
      <c r="FM142" t="s">
        <v>59</v>
      </c>
      <c r="FN142" t="s">
        <v>59</v>
      </c>
      <c r="FO142" t="s">
        <v>59</v>
      </c>
      <c r="FP142" t="s">
        <v>59</v>
      </c>
      <c r="FQ142" t="s">
        <v>59</v>
      </c>
      <c r="FR142" t="s">
        <v>59</v>
      </c>
      <c r="FS142" t="s">
        <v>191</v>
      </c>
      <c r="FT142" t="s">
        <v>59</v>
      </c>
      <c r="FU142" t="s">
        <v>59</v>
      </c>
      <c r="FV142" t="s">
        <v>59</v>
      </c>
      <c r="FW142" t="s">
        <v>59</v>
      </c>
      <c r="FX142" t="s">
        <v>59</v>
      </c>
      <c r="FY142" t="s">
        <v>59</v>
      </c>
      <c r="FZ142" t="s">
        <v>59</v>
      </c>
      <c r="GA142" t="s">
        <v>59</v>
      </c>
      <c r="GB142" t="s">
        <v>59</v>
      </c>
      <c r="GC142" t="s">
        <v>59</v>
      </c>
      <c r="GD142" t="s">
        <v>59</v>
      </c>
      <c r="GE142" t="s">
        <v>59</v>
      </c>
      <c r="GF142" t="s">
        <v>59</v>
      </c>
      <c r="GG142" t="s">
        <v>59</v>
      </c>
      <c r="GH142" t="s">
        <v>59</v>
      </c>
      <c r="GI142" t="s">
        <v>59</v>
      </c>
      <c r="GJ142" t="s">
        <v>59</v>
      </c>
      <c r="GK142" t="s">
        <v>191</v>
      </c>
      <c r="GL142" t="s">
        <v>59</v>
      </c>
      <c r="GM142" t="s">
        <v>59</v>
      </c>
      <c r="GN142" t="s">
        <v>59</v>
      </c>
      <c r="GO142" t="s">
        <v>59</v>
      </c>
      <c r="GP142" t="s">
        <v>59</v>
      </c>
      <c r="GQ142" t="s">
        <v>191</v>
      </c>
      <c r="GR142" t="s">
        <v>59</v>
      </c>
      <c r="GS142" t="s">
        <v>59</v>
      </c>
      <c r="GT142" t="s">
        <v>191</v>
      </c>
      <c r="GU142" t="s">
        <v>191</v>
      </c>
      <c r="GV142" t="s">
        <v>59</v>
      </c>
      <c r="GW142" t="s">
        <v>59</v>
      </c>
      <c r="GX142" t="s">
        <v>59</v>
      </c>
      <c r="GY142" t="s">
        <v>59</v>
      </c>
      <c r="GZ142" t="s">
        <v>191</v>
      </c>
      <c r="HA142" t="s">
        <v>59</v>
      </c>
      <c r="HB142" t="s">
        <v>191</v>
      </c>
      <c r="HC142" t="s">
        <v>59</v>
      </c>
      <c r="HD142" t="s">
        <v>59</v>
      </c>
      <c r="HE142" t="s">
        <v>59</v>
      </c>
      <c r="HF142" t="s">
        <v>59</v>
      </c>
      <c r="HG142" t="s">
        <v>59</v>
      </c>
      <c r="HH142" t="s">
        <v>59</v>
      </c>
      <c r="HI142" t="s">
        <v>59</v>
      </c>
      <c r="HJ142" t="s">
        <v>59</v>
      </c>
      <c r="HK142" t="s">
        <v>59</v>
      </c>
      <c r="HL142" t="s">
        <v>191</v>
      </c>
      <c r="HM142" t="s">
        <v>191</v>
      </c>
      <c r="HN142" t="s">
        <v>191</v>
      </c>
      <c r="HO142" t="s">
        <v>191</v>
      </c>
      <c r="HP142" t="s">
        <v>59</v>
      </c>
      <c r="HQ142" t="s">
        <v>59</v>
      </c>
      <c r="HR142" t="s">
        <v>59</v>
      </c>
      <c r="HS142" t="s">
        <v>59</v>
      </c>
      <c r="HT142" t="s">
        <v>59</v>
      </c>
      <c r="HU142" t="s">
        <v>59</v>
      </c>
      <c r="HV142" t="s">
        <v>59</v>
      </c>
      <c r="HW142" t="s">
        <v>59</v>
      </c>
      <c r="HX142" t="s">
        <v>59</v>
      </c>
      <c r="HY142" t="s">
        <v>59</v>
      </c>
      <c r="HZ142" t="s">
        <v>59</v>
      </c>
      <c r="IA142" t="s">
        <v>59</v>
      </c>
      <c r="IB142" t="s">
        <v>59</v>
      </c>
      <c r="IC142" t="s">
        <v>59</v>
      </c>
      <c r="ID142" t="s">
        <v>59</v>
      </c>
      <c r="IE142" t="s">
        <v>59</v>
      </c>
      <c r="IF142" t="s">
        <v>59</v>
      </c>
      <c r="IG142" t="s">
        <v>59</v>
      </c>
      <c r="IH142" t="s">
        <v>59</v>
      </c>
      <c r="II142" t="s">
        <v>59</v>
      </c>
      <c r="IJ142" t="s">
        <v>129</v>
      </c>
      <c r="IK142" t="s">
        <v>198</v>
      </c>
      <c r="IL142" t="s">
        <v>128</v>
      </c>
      <c r="IM142" t="s">
        <v>199</v>
      </c>
      <c r="IN142">
        <v>30</v>
      </c>
      <c r="IO142" t="s">
        <v>2730</v>
      </c>
      <c r="IP142">
        <v>2</v>
      </c>
      <c r="IQ142" t="s">
        <v>2730</v>
      </c>
      <c r="IR142">
        <v>15</v>
      </c>
      <c r="IS142" t="s">
        <v>2730</v>
      </c>
      <c r="IT142" t="s">
        <v>2730</v>
      </c>
      <c r="IU142" t="s">
        <v>2730</v>
      </c>
      <c r="IV142">
        <v>16</v>
      </c>
      <c r="IW142" t="s">
        <v>2730</v>
      </c>
      <c r="IX142">
        <v>3</v>
      </c>
      <c r="IY142" t="s">
        <v>2730</v>
      </c>
      <c r="IZ142">
        <v>54</v>
      </c>
      <c r="JA142" t="s">
        <v>2730</v>
      </c>
      <c r="JB142">
        <v>5</v>
      </c>
      <c r="JC142" t="s">
        <v>2730</v>
      </c>
      <c r="JD142">
        <v>24</v>
      </c>
      <c r="JE142" t="s">
        <v>2730</v>
      </c>
      <c r="JF142">
        <v>2</v>
      </c>
      <c r="JG142" t="s">
        <v>2730</v>
      </c>
      <c r="JH142">
        <v>21</v>
      </c>
      <c r="JI142" t="s">
        <v>2730</v>
      </c>
      <c r="JJ142">
        <v>9</v>
      </c>
      <c r="JK142" t="s">
        <v>2730</v>
      </c>
      <c r="JL142">
        <v>16</v>
      </c>
      <c r="JM142" t="s">
        <v>2730</v>
      </c>
      <c r="JN142" t="s">
        <v>2730</v>
      </c>
      <c r="JO142">
        <v>4</v>
      </c>
      <c r="JP142" t="s">
        <v>2730</v>
      </c>
      <c r="JQ142" t="s">
        <v>2730</v>
      </c>
    </row>
    <row r="143" spans="1:277">
      <c r="A143" t="str">
        <f>HYPERLINK("http://www.ofsted.gov.uk/inspection-reports/find-inspection-report/provider/ELS/116564 ","Ofsted School Webpage")</f>
        <v>Ofsted School Webpage</v>
      </c>
      <c r="B143">
        <v>1132500</v>
      </c>
      <c r="C143">
        <v>116564</v>
      </c>
      <c r="D143">
        <v>8506030</v>
      </c>
      <c r="E143" t="s">
        <v>381</v>
      </c>
      <c r="F143" t="s">
        <v>38</v>
      </c>
      <c r="G143" t="s">
        <v>180</v>
      </c>
      <c r="H143" t="s">
        <v>181</v>
      </c>
      <c r="I143" t="s">
        <v>181</v>
      </c>
      <c r="J143" t="s">
        <v>201</v>
      </c>
      <c r="K143" t="s">
        <v>382</v>
      </c>
      <c r="L143" t="s">
        <v>184</v>
      </c>
      <c r="M143" t="s">
        <v>185</v>
      </c>
      <c r="N143" t="s">
        <v>184</v>
      </c>
      <c r="O143" t="s">
        <v>2730</v>
      </c>
      <c r="P143" t="s">
        <v>186</v>
      </c>
      <c r="Q143">
        <v>10035876</v>
      </c>
      <c r="R143" s="120">
        <v>43011</v>
      </c>
      <c r="S143" s="120">
        <v>43013</v>
      </c>
      <c r="T143" s="120">
        <v>43053</v>
      </c>
      <c r="U143" t="s">
        <v>2730</v>
      </c>
      <c r="V143" t="s">
        <v>3120</v>
      </c>
      <c r="W143" t="s">
        <v>2730</v>
      </c>
      <c r="X143" t="s">
        <v>197</v>
      </c>
      <c r="Y143">
        <v>2</v>
      </c>
      <c r="Z143">
        <v>2</v>
      </c>
      <c r="AA143">
        <v>2</v>
      </c>
      <c r="AB143">
        <v>2</v>
      </c>
      <c r="AC143">
        <v>2</v>
      </c>
      <c r="AD143" t="s">
        <v>2730</v>
      </c>
      <c r="AE143" t="s">
        <v>2730</v>
      </c>
      <c r="AF143" t="s">
        <v>128</v>
      </c>
      <c r="AG143" t="s">
        <v>2730</v>
      </c>
      <c r="AH143" t="s">
        <v>2732</v>
      </c>
      <c r="AI143" t="s">
        <v>59</v>
      </c>
      <c r="AJ143" t="s">
        <v>59</v>
      </c>
      <c r="AK143" t="s">
        <v>59</v>
      </c>
      <c r="AL143" t="s">
        <v>59</v>
      </c>
      <c r="AM143" t="s">
        <v>59</v>
      </c>
      <c r="AN143" t="s">
        <v>59</v>
      </c>
      <c r="AO143" t="s">
        <v>59</v>
      </c>
      <c r="AP143" t="s">
        <v>59</v>
      </c>
      <c r="AQ143" t="s">
        <v>59</v>
      </c>
      <c r="AR143" t="s">
        <v>59</v>
      </c>
      <c r="AS143" t="s">
        <v>59</v>
      </c>
      <c r="AT143" t="s">
        <v>59</v>
      </c>
      <c r="AU143" t="s">
        <v>59</v>
      </c>
      <c r="AV143" t="s">
        <v>59</v>
      </c>
      <c r="AW143" t="s">
        <v>59</v>
      </c>
      <c r="AX143" t="s">
        <v>59</v>
      </c>
      <c r="AY143" t="s">
        <v>218</v>
      </c>
      <c r="AZ143" t="s">
        <v>59</v>
      </c>
      <c r="BA143" t="s">
        <v>59</v>
      </c>
      <c r="BB143" t="s">
        <v>59</v>
      </c>
      <c r="BC143" t="s">
        <v>59</v>
      </c>
      <c r="BD143" t="s">
        <v>59</v>
      </c>
      <c r="BE143" t="s">
        <v>59</v>
      </c>
      <c r="BF143" t="s">
        <v>59</v>
      </c>
      <c r="BG143" t="s">
        <v>218</v>
      </c>
      <c r="BH143" t="s">
        <v>59</v>
      </c>
      <c r="BI143" t="s">
        <v>59</v>
      </c>
      <c r="BJ143" t="s">
        <v>59</v>
      </c>
      <c r="BK143" t="s">
        <v>59</v>
      </c>
      <c r="BL143" t="s">
        <v>59</v>
      </c>
      <c r="BM143" t="s">
        <v>59</v>
      </c>
      <c r="BN143" t="s">
        <v>59</v>
      </c>
      <c r="BO143" t="s">
        <v>59</v>
      </c>
      <c r="BP143" t="s">
        <v>59</v>
      </c>
      <c r="BQ143" t="s">
        <v>59</v>
      </c>
      <c r="BR143" t="s">
        <v>59</v>
      </c>
      <c r="BS143" t="s">
        <v>59</v>
      </c>
      <c r="BT143" t="s">
        <v>59</v>
      </c>
      <c r="BU143" t="s">
        <v>59</v>
      </c>
      <c r="BV143" t="s">
        <v>59</v>
      </c>
      <c r="BW143" t="s">
        <v>59</v>
      </c>
      <c r="BX143" t="s">
        <v>59</v>
      </c>
      <c r="BY143" t="s">
        <v>59</v>
      </c>
      <c r="BZ143" t="s">
        <v>59</v>
      </c>
      <c r="CA143" t="s">
        <v>59</v>
      </c>
      <c r="CB143" t="s">
        <v>59</v>
      </c>
      <c r="CC143" t="s">
        <v>59</v>
      </c>
      <c r="CD143" t="s">
        <v>59</v>
      </c>
      <c r="CE143" t="s">
        <v>59</v>
      </c>
      <c r="CF143" t="s">
        <v>59</v>
      </c>
      <c r="CG143" t="s">
        <v>59</v>
      </c>
      <c r="CH143" t="s">
        <v>59</v>
      </c>
      <c r="CI143" t="s">
        <v>59</v>
      </c>
      <c r="CJ143" t="s">
        <v>59</v>
      </c>
      <c r="CK143" t="s">
        <v>59</v>
      </c>
      <c r="CL143" t="s">
        <v>59</v>
      </c>
      <c r="CM143" t="s">
        <v>59</v>
      </c>
      <c r="CN143" t="s">
        <v>59</v>
      </c>
      <c r="CO143" t="s">
        <v>59</v>
      </c>
      <c r="CP143" t="s">
        <v>218</v>
      </c>
      <c r="CQ143" t="s">
        <v>218</v>
      </c>
      <c r="CR143" t="s">
        <v>59</v>
      </c>
      <c r="CS143" t="s">
        <v>59</v>
      </c>
      <c r="CT143" t="s">
        <v>59</v>
      </c>
      <c r="CU143" t="s">
        <v>59</v>
      </c>
      <c r="CV143" t="s">
        <v>59</v>
      </c>
      <c r="CW143" t="s">
        <v>59</v>
      </c>
      <c r="CX143" t="s">
        <v>59</v>
      </c>
      <c r="CY143" t="s">
        <v>59</v>
      </c>
      <c r="CZ143" t="s">
        <v>59</v>
      </c>
      <c r="DA143" t="s">
        <v>59</v>
      </c>
      <c r="DB143" t="s">
        <v>59</v>
      </c>
      <c r="DC143" t="s">
        <v>59</v>
      </c>
      <c r="DD143" t="s">
        <v>59</v>
      </c>
      <c r="DE143" t="s">
        <v>59</v>
      </c>
      <c r="DF143" t="s">
        <v>59</v>
      </c>
      <c r="DG143" t="s">
        <v>59</v>
      </c>
      <c r="DH143" t="s">
        <v>59</v>
      </c>
      <c r="DI143" t="s">
        <v>59</v>
      </c>
      <c r="DJ143" t="s">
        <v>59</v>
      </c>
      <c r="DK143" t="s">
        <v>59</v>
      </c>
      <c r="DL143" t="s">
        <v>59</v>
      </c>
      <c r="DM143" t="s">
        <v>59</v>
      </c>
      <c r="DN143" t="s">
        <v>59</v>
      </c>
      <c r="DO143" t="s">
        <v>218</v>
      </c>
      <c r="DP143" t="s">
        <v>59</v>
      </c>
      <c r="DQ143" t="s">
        <v>59</v>
      </c>
      <c r="DR143" t="s">
        <v>59</v>
      </c>
      <c r="DS143" t="s">
        <v>59</v>
      </c>
      <c r="DT143" t="s">
        <v>59</v>
      </c>
      <c r="DU143" t="s">
        <v>59</v>
      </c>
      <c r="DV143" t="s">
        <v>59</v>
      </c>
      <c r="DW143" t="s">
        <v>59</v>
      </c>
      <c r="DX143" t="s">
        <v>59</v>
      </c>
      <c r="DY143" t="s">
        <v>59</v>
      </c>
      <c r="DZ143" t="s">
        <v>59</v>
      </c>
      <c r="EA143" t="s">
        <v>59</v>
      </c>
      <c r="EB143" t="s">
        <v>59</v>
      </c>
      <c r="EC143" t="s">
        <v>218</v>
      </c>
      <c r="ED143" t="s">
        <v>59</v>
      </c>
      <c r="EE143" t="s">
        <v>59</v>
      </c>
      <c r="EF143" t="s">
        <v>59</v>
      </c>
      <c r="EG143" t="s">
        <v>59</v>
      </c>
      <c r="EH143" t="s">
        <v>59</v>
      </c>
      <c r="EI143" t="s">
        <v>59</v>
      </c>
      <c r="EJ143" t="s">
        <v>59</v>
      </c>
      <c r="EK143" t="s">
        <v>59</v>
      </c>
      <c r="EL143" t="s">
        <v>59</v>
      </c>
      <c r="EM143" t="s">
        <v>59</v>
      </c>
      <c r="EN143" t="s">
        <v>59</v>
      </c>
      <c r="EO143" t="s">
        <v>59</v>
      </c>
      <c r="EP143" t="s">
        <v>59</v>
      </c>
      <c r="EQ143" t="s">
        <v>59</v>
      </c>
      <c r="ER143" t="s">
        <v>59</v>
      </c>
      <c r="ES143" t="s">
        <v>59</v>
      </c>
      <c r="ET143" t="s">
        <v>59</v>
      </c>
      <c r="EU143" t="s">
        <v>59</v>
      </c>
      <c r="EV143" t="s">
        <v>59</v>
      </c>
      <c r="EW143" t="s">
        <v>59</v>
      </c>
      <c r="EX143" t="s">
        <v>59</v>
      </c>
      <c r="EY143" t="s">
        <v>59</v>
      </c>
      <c r="EZ143" t="s">
        <v>59</v>
      </c>
      <c r="FA143" t="s">
        <v>59</v>
      </c>
      <c r="FB143" t="s">
        <v>59</v>
      </c>
      <c r="FC143" t="s">
        <v>59</v>
      </c>
      <c r="FD143" t="s">
        <v>59</v>
      </c>
      <c r="FE143" t="s">
        <v>59</v>
      </c>
      <c r="FF143" t="s">
        <v>59</v>
      </c>
      <c r="FG143" t="s">
        <v>59</v>
      </c>
      <c r="FH143" t="s">
        <v>59</v>
      </c>
      <c r="FI143" t="s">
        <v>59</v>
      </c>
      <c r="FJ143" t="s">
        <v>59</v>
      </c>
      <c r="FK143" t="s">
        <v>59</v>
      </c>
      <c r="FL143" t="s">
        <v>59</v>
      </c>
      <c r="FM143" t="s">
        <v>59</v>
      </c>
      <c r="FN143" t="s">
        <v>59</v>
      </c>
      <c r="FO143" t="s">
        <v>59</v>
      </c>
      <c r="FP143" t="s">
        <v>59</v>
      </c>
      <c r="FQ143" t="s">
        <v>59</v>
      </c>
      <c r="FR143" t="s">
        <v>59</v>
      </c>
      <c r="FS143" t="s">
        <v>59</v>
      </c>
      <c r="FT143" t="s">
        <v>59</v>
      </c>
      <c r="FU143" t="s">
        <v>59</v>
      </c>
      <c r="FV143" t="s">
        <v>59</v>
      </c>
      <c r="FW143" t="s">
        <v>59</v>
      </c>
      <c r="FX143" t="s">
        <v>59</v>
      </c>
      <c r="FY143" t="s">
        <v>59</v>
      </c>
      <c r="FZ143" t="s">
        <v>59</v>
      </c>
      <c r="GA143" t="s">
        <v>59</v>
      </c>
      <c r="GB143" t="s">
        <v>59</v>
      </c>
      <c r="GC143" t="s">
        <v>59</v>
      </c>
      <c r="GD143" t="s">
        <v>59</v>
      </c>
      <c r="GE143" t="s">
        <v>59</v>
      </c>
      <c r="GF143" t="s">
        <v>59</v>
      </c>
      <c r="GG143" t="s">
        <v>59</v>
      </c>
      <c r="GH143" t="s">
        <v>59</v>
      </c>
      <c r="GI143" t="s">
        <v>59</v>
      </c>
      <c r="GJ143" t="s">
        <v>59</v>
      </c>
      <c r="GK143" t="s">
        <v>218</v>
      </c>
      <c r="GL143" t="s">
        <v>59</v>
      </c>
      <c r="GM143" t="s">
        <v>59</v>
      </c>
      <c r="GN143" t="s">
        <v>59</v>
      </c>
      <c r="GO143" t="s">
        <v>59</v>
      </c>
      <c r="GP143" t="s">
        <v>59</v>
      </c>
      <c r="GQ143" t="s">
        <v>59</v>
      </c>
      <c r="GR143" t="s">
        <v>59</v>
      </c>
      <c r="GS143" t="s">
        <v>59</v>
      </c>
      <c r="GT143" t="s">
        <v>59</v>
      </c>
      <c r="GU143" t="s">
        <v>59</v>
      </c>
      <c r="GV143" t="s">
        <v>59</v>
      </c>
      <c r="GW143" t="s">
        <v>59</v>
      </c>
      <c r="GX143" t="s">
        <v>59</v>
      </c>
      <c r="GY143" t="s">
        <v>59</v>
      </c>
      <c r="GZ143" t="s">
        <v>218</v>
      </c>
      <c r="HA143" t="s">
        <v>59</v>
      </c>
      <c r="HB143" t="s">
        <v>59</v>
      </c>
      <c r="HC143" t="s">
        <v>59</v>
      </c>
      <c r="HD143" t="s">
        <v>59</v>
      </c>
      <c r="HE143" t="s">
        <v>59</v>
      </c>
      <c r="HF143" t="s">
        <v>59</v>
      </c>
      <c r="HG143" t="s">
        <v>59</v>
      </c>
      <c r="HH143" t="s">
        <v>59</v>
      </c>
      <c r="HI143" t="s">
        <v>59</v>
      </c>
      <c r="HJ143" t="s">
        <v>59</v>
      </c>
      <c r="HK143" t="s">
        <v>59</v>
      </c>
      <c r="HL143" t="s">
        <v>59</v>
      </c>
      <c r="HM143" t="s">
        <v>218</v>
      </c>
      <c r="HN143" t="s">
        <v>218</v>
      </c>
      <c r="HO143" t="s">
        <v>218</v>
      </c>
      <c r="HP143" t="s">
        <v>59</v>
      </c>
      <c r="HQ143" t="s">
        <v>59</v>
      </c>
      <c r="HR143" t="s">
        <v>59</v>
      </c>
      <c r="HS143" t="s">
        <v>59</v>
      </c>
      <c r="HT143" t="s">
        <v>59</v>
      </c>
      <c r="HU143" t="s">
        <v>59</v>
      </c>
      <c r="HV143" t="s">
        <v>59</v>
      </c>
      <c r="HW143" t="s">
        <v>59</v>
      </c>
      <c r="HX143" t="s">
        <v>59</v>
      </c>
      <c r="HY143" t="s">
        <v>59</v>
      </c>
      <c r="HZ143" t="s">
        <v>59</v>
      </c>
      <c r="IA143" t="s">
        <v>59</v>
      </c>
      <c r="IB143" t="s">
        <v>59</v>
      </c>
      <c r="IC143" t="s">
        <v>59</v>
      </c>
      <c r="ID143" t="s">
        <v>59</v>
      </c>
      <c r="IE143" t="s">
        <v>59</v>
      </c>
      <c r="IF143" t="s">
        <v>59</v>
      </c>
      <c r="IG143" t="s">
        <v>59</v>
      </c>
      <c r="IH143" t="s">
        <v>59</v>
      </c>
      <c r="II143" t="s">
        <v>59</v>
      </c>
      <c r="IJ143" t="s">
        <v>128</v>
      </c>
      <c r="IK143" t="s">
        <v>128</v>
      </c>
      <c r="IL143" t="s">
        <v>128</v>
      </c>
      <c r="IM143" t="s">
        <v>199</v>
      </c>
      <c r="IN143">
        <v>30</v>
      </c>
      <c r="IO143" t="s">
        <v>2730</v>
      </c>
      <c r="IP143" t="s">
        <v>2730</v>
      </c>
      <c r="IQ143" t="s">
        <v>2730</v>
      </c>
      <c r="IR143">
        <v>15</v>
      </c>
      <c r="IS143" t="s">
        <v>2730</v>
      </c>
      <c r="IT143" t="s">
        <v>2730</v>
      </c>
      <c r="IU143" t="s">
        <v>2730</v>
      </c>
      <c r="IV143">
        <v>17</v>
      </c>
      <c r="IW143" t="s">
        <v>2730</v>
      </c>
      <c r="IX143" t="s">
        <v>2730</v>
      </c>
      <c r="IY143" t="s">
        <v>2730</v>
      </c>
      <c r="IZ143">
        <v>57</v>
      </c>
      <c r="JA143" t="s">
        <v>2730</v>
      </c>
      <c r="JB143" t="s">
        <v>2730</v>
      </c>
      <c r="JC143" t="s">
        <v>2730</v>
      </c>
      <c r="JD143">
        <v>25</v>
      </c>
      <c r="JE143" t="s">
        <v>2730</v>
      </c>
      <c r="JF143" t="s">
        <v>2730</v>
      </c>
      <c r="JG143" t="s">
        <v>2730</v>
      </c>
      <c r="JH143">
        <v>26</v>
      </c>
      <c r="JI143" t="s">
        <v>2730</v>
      </c>
      <c r="JJ143" t="s">
        <v>2730</v>
      </c>
      <c r="JK143" t="s">
        <v>2730</v>
      </c>
      <c r="JL143">
        <v>16</v>
      </c>
      <c r="JM143" t="s">
        <v>2730</v>
      </c>
      <c r="JN143" t="s">
        <v>2730</v>
      </c>
      <c r="JO143">
        <v>4</v>
      </c>
      <c r="JP143" t="s">
        <v>2730</v>
      </c>
      <c r="JQ143" t="s">
        <v>2730</v>
      </c>
    </row>
    <row r="144" spans="1:277">
      <c r="A144" t="str">
        <f>HYPERLINK("http://www.ofsted.gov.uk/inspection-reports/find-inspection-report/provider/ELS/142334 ","Ofsted School Webpage")</f>
        <v>Ofsted School Webpage</v>
      </c>
      <c r="B144">
        <v>1185756</v>
      </c>
      <c r="C144">
        <v>142334</v>
      </c>
      <c r="D144">
        <v>3116001</v>
      </c>
      <c r="E144" t="s">
        <v>793</v>
      </c>
      <c r="F144" t="s">
        <v>38</v>
      </c>
      <c r="G144" t="s">
        <v>180</v>
      </c>
      <c r="H144" t="s">
        <v>232</v>
      </c>
      <c r="I144" t="s">
        <v>232</v>
      </c>
      <c r="J144" t="s">
        <v>794</v>
      </c>
      <c r="K144" t="s">
        <v>795</v>
      </c>
      <c r="L144" t="s">
        <v>184</v>
      </c>
      <c r="M144" t="s">
        <v>185</v>
      </c>
      <c r="N144" t="s">
        <v>184</v>
      </c>
      <c r="O144" t="s">
        <v>2730</v>
      </c>
      <c r="P144" t="s">
        <v>186</v>
      </c>
      <c r="Q144">
        <v>10041270</v>
      </c>
      <c r="R144" s="120">
        <v>43018</v>
      </c>
      <c r="S144" s="120">
        <v>43020</v>
      </c>
      <c r="T144" s="120">
        <v>43077</v>
      </c>
      <c r="U144" t="s">
        <v>2730</v>
      </c>
      <c r="V144" t="s">
        <v>196</v>
      </c>
      <c r="W144" t="s">
        <v>2730</v>
      </c>
      <c r="X144" t="s">
        <v>197</v>
      </c>
      <c r="Y144">
        <v>3</v>
      </c>
      <c r="Z144">
        <v>3</v>
      </c>
      <c r="AA144">
        <v>2</v>
      </c>
      <c r="AB144">
        <v>3</v>
      </c>
      <c r="AC144">
        <v>3</v>
      </c>
      <c r="AD144" t="s">
        <v>2730</v>
      </c>
      <c r="AE144" t="s">
        <v>2730</v>
      </c>
      <c r="AF144" t="s">
        <v>128</v>
      </c>
      <c r="AG144" t="s">
        <v>2730</v>
      </c>
      <c r="AH144" t="s">
        <v>2732</v>
      </c>
      <c r="AI144" t="s">
        <v>59</v>
      </c>
      <c r="AJ144" t="s">
        <v>59</v>
      </c>
      <c r="AK144" t="s">
        <v>59</v>
      </c>
      <c r="AL144" t="s">
        <v>59</v>
      </c>
      <c r="AM144" t="s">
        <v>59</v>
      </c>
      <c r="AN144" t="s">
        <v>59</v>
      </c>
      <c r="AO144" t="s">
        <v>59</v>
      </c>
      <c r="AP144" t="s">
        <v>59</v>
      </c>
      <c r="AQ144" t="s">
        <v>59</v>
      </c>
      <c r="AR144" t="s">
        <v>59</v>
      </c>
      <c r="AS144" t="s">
        <v>59</v>
      </c>
      <c r="AT144" t="s">
        <v>59</v>
      </c>
      <c r="AU144" t="s">
        <v>59</v>
      </c>
      <c r="AV144" t="s">
        <v>59</v>
      </c>
      <c r="AW144" t="s">
        <v>59</v>
      </c>
      <c r="AX144" t="s">
        <v>59</v>
      </c>
      <c r="AY144" t="s">
        <v>218</v>
      </c>
      <c r="AZ144" t="s">
        <v>59</v>
      </c>
      <c r="BA144" t="s">
        <v>59</v>
      </c>
      <c r="BB144" t="s">
        <v>59</v>
      </c>
      <c r="BC144" t="s">
        <v>59</v>
      </c>
      <c r="BD144" t="s">
        <v>59</v>
      </c>
      <c r="BE144" t="s">
        <v>59</v>
      </c>
      <c r="BF144" t="s">
        <v>59</v>
      </c>
      <c r="BG144" t="s">
        <v>218</v>
      </c>
      <c r="BH144" t="s">
        <v>59</v>
      </c>
      <c r="BI144" t="s">
        <v>59</v>
      </c>
      <c r="BJ144" t="s">
        <v>59</v>
      </c>
      <c r="BK144" t="s">
        <v>59</v>
      </c>
      <c r="BL144" t="s">
        <v>59</v>
      </c>
      <c r="BM144" t="s">
        <v>59</v>
      </c>
      <c r="BN144" t="s">
        <v>59</v>
      </c>
      <c r="BO144" t="s">
        <v>59</v>
      </c>
      <c r="BP144" t="s">
        <v>59</v>
      </c>
      <c r="BQ144" t="s">
        <v>59</v>
      </c>
      <c r="BR144" t="s">
        <v>59</v>
      </c>
      <c r="BS144" t="s">
        <v>59</v>
      </c>
      <c r="BT144" t="s">
        <v>59</v>
      </c>
      <c r="BU144" t="s">
        <v>59</v>
      </c>
      <c r="BV144" t="s">
        <v>59</v>
      </c>
      <c r="BW144" t="s">
        <v>59</v>
      </c>
      <c r="BX144" t="s">
        <v>59</v>
      </c>
      <c r="BY144" t="s">
        <v>59</v>
      </c>
      <c r="BZ144" t="s">
        <v>59</v>
      </c>
      <c r="CA144" t="s">
        <v>59</v>
      </c>
      <c r="CB144" t="s">
        <v>59</v>
      </c>
      <c r="CC144" t="s">
        <v>59</v>
      </c>
      <c r="CD144" t="s">
        <v>59</v>
      </c>
      <c r="CE144" t="s">
        <v>59</v>
      </c>
      <c r="CF144" t="s">
        <v>59</v>
      </c>
      <c r="CG144" t="s">
        <v>59</v>
      </c>
      <c r="CH144" t="s">
        <v>59</v>
      </c>
      <c r="CI144" t="s">
        <v>59</v>
      </c>
      <c r="CJ144" t="s">
        <v>218</v>
      </c>
      <c r="CK144" t="s">
        <v>59</v>
      </c>
      <c r="CL144" t="s">
        <v>59</v>
      </c>
      <c r="CM144" t="s">
        <v>59</v>
      </c>
      <c r="CN144" t="s">
        <v>59</v>
      </c>
      <c r="CO144" t="s">
        <v>59</v>
      </c>
      <c r="CP144" t="s">
        <v>59</v>
      </c>
      <c r="CQ144" t="s">
        <v>218</v>
      </c>
      <c r="CR144" t="s">
        <v>59</v>
      </c>
      <c r="CS144" t="s">
        <v>59</v>
      </c>
      <c r="CT144" t="s">
        <v>59</v>
      </c>
      <c r="CU144" t="s">
        <v>59</v>
      </c>
      <c r="CV144" t="s">
        <v>59</v>
      </c>
      <c r="CW144" t="s">
        <v>59</v>
      </c>
      <c r="CX144" t="s">
        <v>59</v>
      </c>
      <c r="CY144" t="s">
        <v>59</v>
      </c>
      <c r="CZ144" t="s">
        <v>59</v>
      </c>
      <c r="DA144" t="s">
        <v>59</v>
      </c>
      <c r="DB144" t="s">
        <v>59</v>
      </c>
      <c r="DC144" t="s">
        <v>59</v>
      </c>
      <c r="DD144" t="s">
        <v>59</v>
      </c>
      <c r="DE144" t="s">
        <v>59</v>
      </c>
      <c r="DF144" t="s">
        <v>59</v>
      </c>
      <c r="DG144" t="s">
        <v>59</v>
      </c>
      <c r="DH144" t="s">
        <v>59</v>
      </c>
      <c r="DI144" t="s">
        <v>59</v>
      </c>
      <c r="DJ144" t="s">
        <v>59</v>
      </c>
      <c r="DK144" t="s">
        <v>59</v>
      </c>
      <c r="DL144" t="s">
        <v>59</v>
      </c>
      <c r="DM144" t="s">
        <v>59</v>
      </c>
      <c r="DN144" t="s">
        <v>59</v>
      </c>
      <c r="DO144" t="s">
        <v>218</v>
      </c>
      <c r="DP144" t="s">
        <v>59</v>
      </c>
      <c r="DQ144" t="s">
        <v>59</v>
      </c>
      <c r="DR144" t="s">
        <v>59</v>
      </c>
      <c r="DS144" t="s">
        <v>59</v>
      </c>
      <c r="DT144" t="s">
        <v>59</v>
      </c>
      <c r="DU144" t="s">
        <v>59</v>
      </c>
      <c r="DV144" t="s">
        <v>59</v>
      </c>
      <c r="DW144" t="s">
        <v>59</v>
      </c>
      <c r="DX144" t="s">
        <v>59</v>
      </c>
      <c r="DY144" t="s">
        <v>59</v>
      </c>
      <c r="DZ144" t="s">
        <v>59</v>
      </c>
      <c r="EA144" t="s">
        <v>59</v>
      </c>
      <c r="EB144" t="s">
        <v>59</v>
      </c>
      <c r="EC144" t="s">
        <v>218</v>
      </c>
      <c r="ED144" t="s">
        <v>59</v>
      </c>
      <c r="EE144" t="s">
        <v>59</v>
      </c>
      <c r="EF144" t="s">
        <v>59</v>
      </c>
      <c r="EG144" t="s">
        <v>59</v>
      </c>
      <c r="EH144" t="s">
        <v>59</v>
      </c>
      <c r="EI144" t="s">
        <v>59</v>
      </c>
      <c r="EJ144" t="s">
        <v>59</v>
      </c>
      <c r="EK144" t="s">
        <v>59</v>
      </c>
      <c r="EL144" t="s">
        <v>59</v>
      </c>
      <c r="EM144" t="s">
        <v>59</v>
      </c>
      <c r="EN144" t="s">
        <v>59</v>
      </c>
      <c r="EO144" t="s">
        <v>59</v>
      </c>
      <c r="EP144" t="s">
        <v>59</v>
      </c>
      <c r="EQ144" t="s">
        <v>59</v>
      </c>
      <c r="ER144" t="s">
        <v>59</v>
      </c>
      <c r="ES144" t="s">
        <v>59</v>
      </c>
      <c r="ET144" t="s">
        <v>59</v>
      </c>
      <c r="EU144" t="s">
        <v>59</v>
      </c>
      <c r="EV144" t="s">
        <v>59</v>
      </c>
      <c r="EW144" t="s">
        <v>59</v>
      </c>
      <c r="EX144" t="s">
        <v>59</v>
      </c>
      <c r="EY144" t="s">
        <v>59</v>
      </c>
      <c r="EZ144" t="s">
        <v>59</v>
      </c>
      <c r="FA144" t="s">
        <v>59</v>
      </c>
      <c r="FB144" t="s">
        <v>59</v>
      </c>
      <c r="FC144" t="s">
        <v>59</v>
      </c>
      <c r="FD144" t="s">
        <v>59</v>
      </c>
      <c r="FE144" t="s">
        <v>59</v>
      </c>
      <c r="FF144" t="s">
        <v>59</v>
      </c>
      <c r="FG144" t="s">
        <v>59</v>
      </c>
      <c r="FH144" t="s">
        <v>59</v>
      </c>
      <c r="FI144" t="s">
        <v>59</v>
      </c>
      <c r="FJ144" t="s">
        <v>59</v>
      </c>
      <c r="FK144" t="s">
        <v>59</v>
      </c>
      <c r="FL144" t="s">
        <v>59</v>
      </c>
      <c r="FM144" t="s">
        <v>59</v>
      </c>
      <c r="FN144" t="s">
        <v>59</v>
      </c>
      <c r="FO144" t="s">
        <v>59</v>
      </c>
      <c r="FP144" t="s">
        <v>59</v>
      </c>
      <c r="FQ144" t="s">
        <v>59</v>
      </c>
      <c r="FR144" t="s">
        <v>59</v>
      </c>
      <c r="FS144" t="s">
        <v>218</v>
      </c>
      <c r="FT144" t="s">
        <v>59</v>
      </c>
      <c r="FU144" t="s">
        <v>59</v>
      </c>
      <c r="FV144" t="s">
        <v>59</v>
      </c>
      <c r="FW144" t="s">
        <v>59</v>
      </c>
      <c r="FX144" t="s">
        <v>59</v>
      </c>
      <c r="FY144" t="s">
        <v>59</v>
      </c>
      <c r="FZ144" t="s">
        <v>59</v>
      </c>
      <c r="GA144" t="s">
        <v>59</v>
      </c>
      <c r="GB144" t="s">
        <v>59</v>
      </c>
      <c r="GC144" t="s">
        <v>59</v>
      </c>
      <c r="GD144" t="s">
        <v>59</v>
      </c>
      <c r="GE144" t="s">
        <v>59</v>
      </c>
      <c r="GF144" t="s">
        <v>59</v>
      </c>
      <c r="GG144" t="s">
        <v>59</v>
      </c>
      <c r="GH144" t="s">
        <v>59</v>
      </c>
      <c r="GI144" t="s">
        <v>59</v>
      </c>
      <c r="GJ144" t="s">
        <v>59</v>
      </c>
      <c r="GK144" t="s">
        <v>218</v>
      </c>
      <c r="GL144" t="s">
        <v>59</v>
      </c>
      <c r="GM144" t="s">
        <v>59</v>
      </c>
      <c r="GN144" t="s">
        <v>59</v>
      </c>
      <c r="GO144" t="s">
        <v>59</v>
      </c>
      <c r="GP144" t="s">
        <v>59</v>
      </c>
      <c r="GQ144" t="s">
        <v>59</v>
      </c>
      <c r="GR144" t="s">
        <v>59</v>
      </c>
      <c r="GS144" t="s">
        <v>59</v>
      </c>
      <c r="GT144" t="s">
        <v>59</v>
      </c>
      <c r="GU144" t="s">
        <v>59</v>
      </c>
      <c r="GV144" t="s">
        <v>59</v>
      </c>
      <c r="GW144" t="s">
        <v>59</v>
      </c>
      <c r="GX144" t="s">
        <v>59</v>
      </c>
      <c r="GY144" t="s">
        <v>59</v>
      </c>
      <c r="GZ144" t="s">
        <v>59</v>
      </c>
      <c r="HA144" t="s">
        <v>218</v>
      </c>
      <c r="HB144" t="s">
        <v>59</v>
      </c>
      <c r="HC144" t="s">
        <v>59</v>
      </c>
      <c r="HD144" t="s">
        <v>59</v>
      </c>
      <c r="HE144" t="s">
        <v>59</v>
      </c>
      <c r="HF144" t="s">
        <v>59</v>
      </c>
      <c r="HG144" t="s">
        <v>59</v>
      </c>
      <c r="HH144" t="s">
        <v>59</v>
      </c>
      <c r="HI144" t="s">
        <v>218</v>
      </c>
      <c r="HJ144" t="s">
        <v>59</v>
      </c>
      <c r="HK144" t="s">
        <v>59</v>
      </c>
      <c r="HL144" t="s">
        <v>59</v>
      </c>
      <c r="HM144" t="s">
        <v>218</v>
      </c>
      <c r="HN144" t="s">
        <v>218</v>
      </c>
      <c r="HO144" t="s">
        <v>218</v>
      </c>
      <c r="HP144" t="s">
        <v>59</v>
      </c>
      <c r="HQ144" t="s">
        <v>59</v>
      </c>
      <c r="HR144" t="s">
        <v>59</v>
      </c>
      <c r="HS144" t="s">
        <v>59</v>
      </c>
      <c r="HT144" t="s">
        <v>59</v>
      </c>
      <c r="HU144" t="s">
        <v>59</v>
      </c>
      <c r="HV144" t="s">
        <v>59</v>
      </c>
      <c r="HW144" t="s">
        <v>59</v>
      </c>
      <c r="HX144" t="s">
        <v>59</v>
      </c>
      <c r="HY144" t="s">
        <v>59</v>
      </c>
      <c r="HZ144" t="s">
        <v>59</v>
      </c>
      <c r="IA144" t="s">
        <v>59</v>
      </c>
      <c r="IB144" t="s">
        <v>59</v>
      </c>
      <c r="IC144" t="s">
        <v>59</v>
      </c>
      <c r="ID144" t="s">
        <v>59</v>
      </c>
      <c r="IE144" t="s">
        <v>59</v>
      </c>
      <c r="IF144" t="s">
        <v>59</v>
      </c>
      <c r="IG144" t="s">
        <v>59</v>
      </c>
      <c r="IH144" t="s">
        <v>59</v>
      </c>
      <c r="II144" t="s">
        <v>59</v>
      </c>
      <c r="IJ144" t="s">
        <v>129</v>
      </c>
      <c r="IK144" t="s">
        <v>191</v>
      </c>
      <c r="IL144" t="s">
        <v>128</v>
      </c>
      <c r="IM144" t="s">
        <v>199</v>
      </c>
      <c r="IN144">
        <v>30</v>
      </c>
      <c r="IO144" t="s">
        <v>2730</v>
      </c>
      <c r="IP144" t="s">
        <v>2730</v>
      </c>
      <c r="IQ144" t="s">
        <v>2730</v>
      </c>
      <c r="IR144">
        <v>14</v>
      </c>
      <c r="IS144" t="s">
        <v>2730</v>
      </c>
      <c r="IT144" t="s">
        <v>2730</v>
      </c>
      <c r="IU144" t="s">
        <v>2730</v>
      </c>
      <c r="IV144">
        <v>18</v>
      </c>
      <c r="IW144" t="s">
        <v>2730</v>
      </c>
      <c r="IX144" t="s">
        <v>2730</v>
      </c>
      <c r="IY144" t="s">
        <v>2730</v>
      </c>
      <c r="IZ144">
        <v>57</v>
      </c>
      <c r="JA144" t="s">
        <v>2730</v>
      </c>
      <c r="JB144" t="s">
        <v>2730</v>
      </c>
      <c r="JC144" t="s">
        <v>2730</v>
      </c>
      <c r="JD144">
        <v>24</v>
      </c>
      <c r="JE144" t="s">
        <v>2730</v>
      </c>
      <c r="JF144" t="s">
        <v>2730</v>
      </c>
      <c r="JG144" t="s">
        <v>2730</v>
      </c>
      <c r="JH144">
        <v>25</v>
      </c>
      <c r="JI144" t="s">
        <v>2730</v>
      </c>
      <c r="JJ144" t="s">
        <v>2730</v>
      </c>
      <c r="JK144" t="s">
        <v>2730</v>
      </c>
      <c r="JL144">
        <v>16</v>
      </c>
      <c r="JM144" t="s">
        <v>2730</v>
      </c>
      <c r="JN144" t="s">
        <v>2730</v>
      </c>
      <c r="JO144">
        <v>4</v>
      </c>
      <c r="JP144" t="s">
        <v>2730</v>
      </c>
      <c r="JQ144" t="s">
        <v>2730</v>
      </c>
    </row>
    <row r="145" spans="1:277">
      <c r="A145" t="str">
        <f>HYPERLINK("http://www.ofsted.gov.uk/inspection-reports/find-inspection-report/provider/ELS/142621 ","Ofsted School Webpage")</f>
        <v>Ofsted School Webpage</v>
      </c>
      <c r="B145">
        <v>1230363</v>
      </c>
      <c r="C145">
        <v>142621</v>
      </c>
      <c r="D145">
        <v>3066016</v>
      </c>
      <c r="E145" t="s">
        <v>2599</v>
      </c>
      <c r="F145" t="s">
        <v>38</v>
      </c>
      <c r="G145" t="s">
        <v>180</v>
      </c>
      <c r="H145" t="s">
        <v>232</v>
      </c>
      <c r="I145" t="s">
        <v>232</v>
      </c>
      <c r="J145" t="s">
        <v>723</v>
      </c>
      <c r="K145" t="s">
        <v>2600</v>
      </c>
      <c r="L145" t="s">
        <v>184</v>
      </c>
      <c r="M145" t="s">
        <v>185</v>
      </c>
      <c r="N145" t="s">
        <v>184</v>
      </c>
      <c r="O145" t="s">
        <v>2730</v>
      </c>
      <c r="P145" t="s">
        <v>186</v>
      </c>
      <c r="Q145">
        <v>10035816</v>
      </c>
      <c r="R145" s="120">
        <v>43046</v>
      </c>
      <c r="S145" s="120">
        <v>43048</v>
      </c>
      <c r="T145" s="120">
        <v>43077</v>
      </c>
      <c r="U145" t="s">
        <v>2730</v>
      </c>
      <c r="V145" t="s">
        <v>249</v>
      </c>
      <c r="W145" t="s">
        <v>2730</v>
      </c>
      <c r="X145" t="s">
        <v>197</v>
      </c>
      <c r="Y145">
        <v>3</v>
      </c>
      <c r="Z145">
        <v>2</v>
      </c>
      <c r="AA145">
        <v>2</v>
      </c>
      <c r="AB145">
        <v>3</v>
      </c>
      <c r="AC145">
        <v>3</v>
      </c>
      <c r="AD145" t="s">
        <v>2730</v>
      </c>
      <c r="AE145" t="s">
        <v>2730</v>
      </c>
      <c r="AF145" t="s">
        <v>128</v>
      </c>
      <c r="AG145" t="s">
        <v>2730</v>
      </c>
      <c r="AH145" t="s">
        <v>2732</v>
      </c>
      <c r="AI145" t="s">
        <v>59</v>
      </c>
      <c r="AJ145" t="s">
        <v>59</v>
      </c>
      <c r="AK145" t="s">
        <v>59</v>
      </c>
      <c r="AL145" t="s">
        <v>59</v>
      </c>
      <c r="AM145" t="s">
        <v>59</v>
      </c>
      <c r="AN145" t="s">
        <v>59</v>
      </c>
      <c r="AO145" t="s">
        <v>59</v>
      </c>
      <c r="AP145" t="s">
        <v>59</v>
      </c>
      <c r="AQ145" t="s">
        <v>59</v>
      </c>
      <c r="AR145" t="s">
        <v>59</v>
      </c>
      <c r="AS145" t="s">
        <v>59</v>
      </c>
      <c r="AT145" t="s">
        <v>59</v>
      </c>
      <c r="AU145" t="s">
        <v>59</v>
      </c>
      <c r="AV145" t="s">
        <v>59</v>
      </c>
      <c r="AW145" t="s">
        <v>59</v>
      </c>
      <c r="AX145" t="s">
        <v>59</v>
      </c>
      <c r="AY145" t="s">
        <v>218</v>
      </c>
      <c r="AZ145" t="s">
        <v>59</v>
      </c>
      <c r="BA145" t="s">
        <v>59</v>
      </c>
      <c r="BB145" t="s">
        <v>59</v>
      </c>
      <c r="BC145" t="s">
        <v>59</v>
      </c>
      <c r="BD145" t="s">
        <v>59</v>
      </c>
      <c r="BE145" t="s">
        <v>59</v>
      </c>
      <c r="BF145" t="s">
        <v>59</v>
      </c>
      <c r="BG145" t="s">
        <v>218</v>
      </c>
      <c r="BH145" t="s">
        <v>218</v>
      </c>
      <c r="BI145" t="s">
        <v>59</v>
      </c>
      <c r="BJ145" t="s">
        <v>59</v>
      </c>
      <c r="BK145" t="s">
        <v>59</v>
      </c>
      <c r="BL145" t="s">
        <v>59</v>
      </c>
      <c r="BM145" t="s">
        <v>59</v>
      </c>
      <c r="BN145" t="s">
        <v>59</v>
      </c>
      <c r="BO145" t="s">
        <v>59</v>
      </c>
      <c r="BP145" t="s">
        <v>59</v>
      </c>
      <c r="BQ145" t="s">
        <v>59</v>
      </c>
      <c r="BR145" t="s">
        <v>59</v>
      </c>
      <c r="BS145" t="s">
        <v>59</v>
      </c>
      <c r="BT145" t="s">
        <v>59</v>
      </c>
      <c r="BU145" t="s">
        <v>59</v>
      </c>
      <c r="BV145" t="s">
        <v>59</v>
      </c>
      <c r="BW145" t="s">
        <v>59</v>
      </c>
      <c r="BX145" t="s">
        <v>59</v>
      </c>
      <c r="BY145" t="s">
        <v>59</v>
      </c>
      <c r="BZ145" t="s">
        <v>59</v>
      </c>
      <c r="CA145" t="s">
        <v>59</v>
      </c>
      <c r="CB145" t="s">
        <v>59</v>
      </c>
      <c r="CC145" t="s">
        <v>59</v>
      </c>
      <c r="CD145" t="s">
        <v>59</v>
      </c>
      <c r="CE145" t="s">
        <v>59</v>
      </c>
      <c r="CF145" t="s">
        <v>59</v>
      </c>
      <c r="CG145" t="s">
        <v>59</v>
      </c>
      <c r="CH145" t="s">
        <v>59</v>
      </c>
      <c r="CI145" t="s">
        <v>59</v>
      </c>
      <c r="CJ145" t="s">
        <v>59</v>
      </c>
      <c r="CK145" t="s">
        <v>59</v>
      </c>
      <c r="CL145" t="s">
        <v>59</v>
      </c>
      <c r="CM145" t="s">
        <v>59</v>
      </c>
      <c r="CN145" t="s">
        <v>59</v>
      </c>
      <c r="CO145" t="s">
        <v>218</v>
      </c>
      <c r="CP145" t="s">
        <v>218</v>
      </c>
      <c r="CQ145" t="s">
        <v>218</v>
      </c>
      <c r="CR145" t="s">
        <v>59</v>
      </c>
      <c r="CS145" t="s">
        <v>59</v>
      </c>
      <c r="CT145" t="s">
        <v>59</v>
      </c>
      <c r="CU145" t="s">
        <v>59</v>
      </c>
      <c r="CV145" t="s">
        <v>59</v>
      </c>
      <c r="CW145" t="s">
        <v>59</v>
      </c>
      <c r="CX145" t="s">
        <v>59</v>
      </c>
      <c r="CY145" t="s">
        <v>59</v>
      </c>
      <c r="CZ145" t="s">
        <v>59</v>
      </c>
      <c r="DA145" t="s">
        <v>59</v>
      </c>
      <c r="DB145" t="s">
        <v>59</v>
      </c>
      <c r="DC145" t="s">
        <v>59</v>
      </c>
      <c r="DD145" t="s">
        <v>59</v>
      </c>
      <c r="DE145" t="s">
        <v>59</v>
      </c>
      <c r="DF145" t="s">
        <v>59</v>
      </c>
      <c r="DG145" t="s">
        <v>59</v>
      </c>
      <c r="DH145" t="s">
        <v>59</v>
      </c>
      <c r="DI145" t="s">
        <v>59</v>
      </c>
      <c r="DJ145" t="s">
        <v>59</v>
      </c>
      <c r="DK145" t="s">
        <v>59</v>
      </c>
      <c r="DL145" t="s">
        <v>59</v>
      </c>
      <c r="DM145" t="s">
        <v>59</v>
      </c>
      <c r="DN145" t="s">
        <v>59</v>
      </c>
      <c r="DO145" t="s">
        <v>218</v>
      </c>
      <c r="DP145" t="s">
        <v>59</v>
      </c>
      <c r="DQ145" t="s">
        <v>218</v>
      </c>
      <c r="DR145" t="s">
        <v>218</v>
      </c>
      <c r="DS145" t="s">
        <v>218</v>
      </c>
      <c r="DT145" t="s">
        <v>218</v>
      </c>
      <c r="DU145" t="s">
        <v>218</v>
      </c>
      <c r="DV145" t="s">
        <v>218</v>
      </c>
      <c r="DW145" t="s">
        <v>218</v>
      </c>
      <c r="DX145" t="s">
        <v>218</v>
      </c>
      <c r="DY145" t="s">
        <v>218</v>
      </c>
      <c r="DZ145" t="s">
        <v>218</v>
      </c>
      <c r="EA145" t="s">
        <v>218</v>
      </c>
      <c r="EB145" t="s">
        <v>218</v>
      </c>
      <c r="EC145" t="s">
        <v>218</v>
      </c>
      <c r="ED145" t="s">
        <v>218</v>
      </c>
      <c r="EE145" t="s">
        <v>218</v>
      </c>
      <c r="EF145" t="s">
        <v>218</v>
      </c>
      <c r="EG145" t="s">
        <v>218</v>
      </c>
      <c r="EH145" t="s">
        <v>218</v>
      </c>
      <c r="EI145" t="s">
        <v>218</v>
      </c>
      <c r="EJ145" t="s">
        <v>218</v>
      </c>
      <c r="EK145" t="s">
        <v>218</v>
      </c>
      <c r="EL145" t="s">
        <v>218</v>
      </c>
      <c r="EM145" t="s">
        <v>218</v>
      </c>
      <c r="EN145" t="s">
        <v>59</v>
      </c>
      <c r="EO145" t="s">
        <v>59</v>
      </c>
      <c r="EP145" t="s">
        <v>59</v>
      </c>
      <c r="EQ145" t="s">
        <v>59</v>
      </c>
      <c r="ER145" t="s">
        <v>59</v>
      </c>
      <c r="ES145" t="s">
        <v>59</v>
      </c>
      <c r="ET145" t="s">
        <v>59</v>
      </c>
      <c r="EU145" t="s">
        <v>59</v>
      </c>
      <c r="EV145" t="s">
        <v>59</v>
      </c>
      <c r="EW145" t="s">
        <v>59</v>
      </c>
      <c r="EX145" t="s">
        <v>59</v>
      </c>
      <c r="EY145" t="s">
        <v>59</v>
      </c>
      <c r="EZ145" t="s">
        <v>59</v>
      </c>
      <c r="FA145" t="s">
        <v>218</v>
      </c>
      <c r="FB145" t="s">
        <v>218</v>
      </c>
      <c r="FC145" t="s">
        <v>218</v>
      </c>
      <c r="FD145" t="s">
        <v>218</v>
      </c>
      <c r="FE145" t="s">
        <v>218</v>
      </c>
      <c r="FF145" t="s">
        <v>218</v>
      </c>
      <c r="FG145" t="s">
        <v>218</v>
      </c>
      <c r="FH145" t="s">
        <v>218</v>
      </c>
      <c r="FI145" t="s">
        <v>218</v>
      </c>
      <c r="FJ145" t="s">
        <v>191</v>
      </c>
      <c r="FK145" t="s">
        <v>218</v>
      </c>
      <c r="FL145" t="s">
        <v>59</v>
      </c>
      <c r="FM145" t="s">
        <v>59</v>
      </c>
      <c r="FN145" t="s">
        <v>59</v>
      </c>
      <c r="FO145" t="s">
        <v>59</v>
      </c>
      <c r="FP145" t="s">
        <v>59</v>
      </c>
      <c r="FQ145" t="s">
        <v>59</v>
      </c>
      <c r="FR145" t="s">
        <v>59</v>
      </c>
      <c r="FS145" t="s">
        <v>218</v>
      </c>
      <c r="FT145" t="s">
        <v>59</v>
      </c>
      <c r="FU145" t="s">
        <v>59</v>
      </c>
      <c r="FV145" t="s">
        <v>59</v>
      </c>
      <c r="FW145" t="s">
        <v>59</v>
      </c>
      <c r="FX145" t="s">
        <v>59</v>
      </c>
      <c r="FY145" t="s">
        <v>59</v>
      </c>
      <c r="FZ145" t="s">
        <v>59</v>
      </c>
      <c r="GA145" t="s">
        <v>59</v>
      </c>
      <c r="GB145" t="s">
        <v>59</v>
      </c>
      <c r="GC145" t="s">
        <v>59</v>
      </c>
      <c r="GD145" t="s">
        <v>59</v>
      </c>
      <c r="GE145" t="s">
        <v>59</v>
      </c>
      <c r="GF145" t="s">
        <v>59</v>
      </c>
      <c r="GG145" t="s">
        <v>59</v>
      </c>
      <c r="GH145" t="s">
        <v>59</v>
      </c>
      <c r="GI145" t="s">
        <v>59</v>
      </c>
      <c r="GJ145" t="s">
        <v>59</v>
      </c>
      <c r="GK145" t="s">
        <v>218</v>
      </c>
      <c r="GL145" t="s">
        <v>59</v>
      </c>
      <c r="GM145" t="s">
        <v>59</v>
      </c>
      <c r="GN145" t="s">
        <v>59</v>
      </c>
      <c r="GO145" t="s">
        <v>59</v>
      </c>
      <c r="GP145" t="s">
        <v>218</v>
      </c>
      <c r="GQ145" t="s">
        <v>218</v>
      </c>
      <c r="GR145" t="s">
        <v>59</v>
      </c>
      <c r="GS145" t="s">
        <v>59</v>
      </c>
      <c r="GT145" t="s">
        <v>59</v>
      </c>
      <c r="GU145" t="s">
        <v>59</v>
      </c>
      <c r="GV145" t="s">
        <v>59</v>
      </c>
      <c r="GW145" t="s">
        <v>59</v>
      </c>
      <c r="GX145" t="s">
        <v>59</v>
      </c>
      <c r="GY145" t="s">
        <v>59</v>
      </c>
      <c r="GZ145" t="s">
        <v>59</v>
      </c>
      <c r="HA145" t="s">
        <v>218</v>
      </c>
      <c r="HB145" t="s">
        <v>218</v>
      </c>
      <c r="HC145" t="s">
        <v>59</v>
      </c>
      <c r="HD145" t="s">
        <v>59</v>
      </c>
      <c r="HE145" t="s">
        <v>59</v>
      </c>
      <c r="HF145" t="s">
        <v>59</v>
      </c>
      <c r="HG145" t="s">
        <v>59</v>
      </c>
      <c r="HH145" t="s">
        <v>59</v>
      </c>
      <c r="HI145" t="s">
        <v>59</v>
      </c>
      <c r="HJ145" t="s">
        <v>59</v>
      </c>
      <c r="HK145" t="s">
        <v>218</v>
      </c>
      <c r="HL145" t="s">
        <v>218</v>
      </c>
      <c r="HM145" t="s">
        <v>218</v>
      </c>
      <c r="HN145" t="s">
        <v>218</v>
      </c>
      <c r="HO145" t="s">
        <v>218</v>
      </c>
      <c r="HP145" t="s">
        <v>59</v>
      </c>
      <c r="HQ145" t="s">
        <v>59</v>
      </c>
      <c r="HR145" t="s">
        <v>59</v>
      </c>
      <c r="HS145" t="s">
        <v>59</v>
      </c>
      <c r="HT145" t="s">
        <v>59</v>
      </c>
      <c r="HU145" t="s">
        <v>59</v>
      </c>
      <c r="HV145" t="s">
        <v>59</v>
      </c>
      <c r="HW145" t="s">
        <v>59</v>
      </c>
      <c r="HX145" t="s">
        <v>59</v>
      </c>
      <c r="HY145" t="s">
        <v>59</v>
      </c>
      <c r="HZ145" t="s">
        <v>59</v>
      </c>
      <c r="IA145" t="s">
        <v>59</v>
      </c>
      <c r="IB145" t="s">
        <v>59</v>
      </c>
      <c r="IC145" t="s">
        <v>59</v>
      </c>
      <c r="ID145" t="s">
        <v>59</v>
      </c>
      <c r="IE145" t="s">
        <v>59</v>
      </c>
      <c r="IF145" t="s">
        <v>59</v>
      </c>
      <c r="IG145" t="s">
        <v>59</v>
      </c>
      <c r="IH145" t="s">
        <v>59</v>
      </c>
      <c r="II145" t="s">
        <v>59</v>
      </c>
      <c r="IJ145" t="s">
        <v>129</v>
      </c>
      <c r="IK145" t="s">
        <v>191</v>
      </c>
      <c r="IL145" t="s">
        <v>128</v>
      </c>
      <c r="IM145" t="s">
        <v>199</v>
      </c>
      <c r="IN145">
        <v>29</v>
      </c>
      <c r="IO145" t="s">
        <v>2730</v>
      </c>
      <c r="IP145" t="s">
        <v>2730</v>
      </c>
      <c r="IQ145" t="s">
        <v>2730</v>
      </c>
      <c r="IR145">
        <v>15</v>
      </c>
      <c r="IS145" t="s">
        <v>2730</v>
      </c>
      <c r="IT145" t="s">
        <v>2730</v>
      </c>
      <c r="IU145" t="s">
        <v>2730</v>
      </c>
      <c r="IV145">
        <v>16</v>
      </c>
      <c r="IW145" t="s">
        <v>2730</v>
      </c>
      <c r="IX145" t="s">
        <v>2730</v>
      </c>
      <c r="IY145" t="s">
        <v>2730</v>
      </c>
      <c r="IZ145">
        <v>24</v>
      </c>
      <c r="JA145" t="s">
        <v>2730</v>
      </c>
      <c r="JB145">
        <v>1</v>
      </c>
      <c r="JC145" t="s">
        <v>2730</v>
      </c>
      <c r="JD145">
        <v>24</v>
      </c>
      <c r="JE145" t="s">
        <v>2730</v>
      </c>
      <c r="JF145" t="s">
        <v>2730</v>
      </c>
      <c r="JG145" t="s">
        <v>2730</v>
      </c>
      <c r="JH145">
        <v>21</v>
      </c>
      <c r="JI145" t="s">
        <v>2730</v>
      </c>
      <c r="JJ145" t="s">
        <v>2730</v>
      </c>
      <c r="JK145" t="s">
        <v>2730</v>
      </c>
      <c r="JL145">
        <v>16</v>
      </c>
      <c r="JM145" t="s">
        <v>2730</v>
      </c>
      <c r="JN145" t="s">
        <v>2730</v>
      </c>
      <c r="JO145">
        <v>4</v>
      </c>
      <c r="JP145" t="s">
        <v>2730</v>
      </c>
      <c r="JQ145" t="s">
        <v>2730</v>
      </c>
    </row>
    <row r="146" spans="1:277">
      <c r="A146" t="str">
        <f>HYPERLINK("http://www.ofsted.gov.uk/inspection-reports/find-inspection-report/provider/ELS/143041 ","Ofsted School Webpage")</f>
        <v>Ofsted School Webpage</v>
      </c>
      <c r="B146">
        <v>1243703</v>
      </c>
      <c r="C146">
        <v>143041</v>
      </c>
      <c r="D146">
        <v>8886064</v>
      </c>
      <c r="E146" t="s">
        <v>524</v>
      </c>
      <c r="F146" t="s">
        <v>37</v>
      </c>
      <c r="G146" t="s">
        <v>209</v>
      </c>
      <c r="H146" t="s">
        <v>205</v>
      </c>
      <c r="I146" t="s">
        <v>205</v>
      </c>
      <c r="J146" t="s">
        <v>206</v>
      </c>
      <c r="K146" t="s">
        <v>525</v>
      </c>
      <c r="L146" t="s">
        <v>184</v>
      </c>
      <c r="M146" t="s">
        <v>185</v>
      </c>
      <c r="N146" t="s">
        <v>184</v>
      </c>
      <c r="O146" t="s">
        <v>2730</v>
      </c>
      <c r="P146" t="s">
        <v>186</v>
      </c>
      <c r="Q146">
        <v>10038937</v>
      </c>
      <c r="R146" s="120">
        <v>43004</v>
      </c>
      <c r="S146" s="120">
        <v>43005</v>
      </c>
      <c r="T146" s="120">
        <v>43027</v>
      </c>
      <c r="U146" t="s">
        <v>2730</v>
      </c>
      <c r="V146" t="s">
        <v>196</v>
      </c>
      <c r="W146" t="s">
        <v>2730</v>
      </c>
      <c r="X146" t="s">
        <v>197</v>
      </c>
      <c r="Y146">
        <v>2</v>
      </c>
      <c r="Z146">
        <v>2</v>
      </c>
      <c r="AA146">
        <v>2</v>
      </c>
      <c r="AB146">
        <v>2</v>
      </c>
      <c r="AC146">
        <v>2</v>
      </c>
      <c r="AD146" t="s">
        <v>2730</v>
      </c>
      <c r="AE146" t="s">
        <v>2730</v>
      </c>
      <c r="AF146" t="s">
        <v>128</v>
      </c>
      <c r="AG146" t="s">
        <v>2730</v>
      </c>
      <c r="AH146" t="s">
        <v>2732</v>
      </c>
      <c r="AI146" t="s">
        <v>59</v>
      </c>
      <c r="AJ146" t="s">
        <v>59</v>
      </c>
      <c r="AK146" t="s">
        <v>59</v>
      </c>
      <c r="AL146" t="s">
        <v>59</v>
      </c>
      <c r="AM146" t="s">
        <v>59</v>
      </c>
      <c r="AN146" t="s">
        <v>59</v>
      </c>
      <c r="AO146" t="s">
        <v>59</v>
      </c>
      <c r="AP146" t="s">
        <v>59</v>
      </c>
      <c r="AQ146" t="s">
        <v>59</v>
      </c>
      <c r="AR146" t="s">
        <v>59</v>
      </c>
      <c r="AS146" t="s">
        <v>59</v>
      </c>
      <c r="AT146" t="s">
        <v>59</v>
      </c>
      <c r="AU146" t="s">
        <v>59</v>
      </c>
      <c r="AV146" t="s">
        <v>59</v>
      </c>
      <c r="AW146" t="s">
        <v>59</v>
      </c>
      <c r="AX146" t="s">
        <v>59</v>
      </c>
      <c r="AY146" t="s">
        <v>218</v>
      </c>
      <c r="AZ146" t="s">
        <v>59</v>
      </c>
      <c r="BA146" t="s">
        <v>59</v>
      </c>
      <c r="BB146" t="s">
        <v>59</v>
      </c>
      <c r="BC146" t="s">
        <v>59</v>
      </c>
      <c r="BD146" t="s">
        <v>59</v>
      </c>
      <c r="BE146" t="s">
        <v>59</v>
      </c>
      <c r="BF146" t="s">
        <v>59</v>
      </c>
      <c r="BG146" t="s">
        <v>218</v>
      </c>
      <c r="BH146" t="s">
        <v>218</v>
      </c>
      <c r="BI146" t="s">
        <v>59</v>
      </c>
      <c r="BJ146" t="s">
        <v>59</v>
      </c>
      <c r="BK146" t="s">
        <v>59</v>
      </c>
      <c r="BL146" t="s">
        <v>59</v>
      </c>
      <c r="BM146" t="s">
        <v>59</v>
      </c>
      <c r="BN146" t="s">
        <v>59</v>
      </c>
      <c r="BO146" t="s">
        <v>59</v>
      </c>
      <c r="BP146" t="s">
        <v>59</v>
      </c>
      <c r="BQ146" t="s">
        <v>59</v>
      </c>
      <c r="BR146" t="s">
        <v>59</v>
      </c>
      <c r="BS146" t="s">
        <v>59</v>
      </c>
      <c r="BT146" t="s">
        <v>59</v>
      </c>
      <c r="BU146" t="s">
        <v>59</v>
      </c>
      <c r="BV146" t="s">
        <v>59</v>
      </c>
      <c r="BW146" t="s">
        <v>59</v>
      </c>
      <c r="BX146" t="s">
        <v>59</v>
      </c>
      <c r="BY146" t="s">
        <v>59</v>
      </c>
      <c r="BZ146" t="s">
        <v>59</v>
      </c>
      <c r="CA146" t="s">
        <v>59</v>
      </c>
      <c r="CB146" t="s">
        <v>59</v>
      </c>
      <c r="CC146" t="s">
        <v>59</v>
      </c>
      <c r="CD146" t="s">
        <v>59</v>
      </c>
      <c r="CE146" t="s">
        <v>59</v>
      </c>
      <c r="CF146" t="s">
        <v>59</v>
      </c>
      <c r="CG146" t="s">
        <v>59</v>
      </c>
      <c r="CH146" t="s">
        <v>59</v>
      </c>
      <c r="CI146" t="s">
        <v>59</v>
      </c>
      <c r="CJ146" t="s">
        <v>59</v>
      </c>
      <c r="CK146" t="s">
        <v>59</v>
      </c>
      <c r="CL146" t="s">
        <v>59</v>
      </c>
      <c r="CM146" t="s">
        <v>59</v>
      </c>
      <c r="CN146" t="s">
        <v>59</v>
      </c>
      <c r="CO146" t="s">
        <v>59</v>
      </c>
      <c r="CP146" t="s">
        <v>218</v>
      </c>
      <c r="CQ146" t="s">
        <v>218</v>
      </c>
      <c r="CR146" t="s">
        <v>59</v>
      </c>
      <c r="CS146" t="s">
        <v>59</v>
      </c>
      <c r="CT146" t="s">
        <v>59</v>
      </c>
      <c r="CU146" t="s">
        <v>59</v>
      </c>
      <c r="CV146" t="s">
        <v>59</v>
      </c>
      <c r="CW146" t="s">
        <v>59</v>
      </c>
      <c r="CX146" t="s">
        <v>59</v>
      </c>
      <c r="CY146" t="s">
        <v>59</v>
      </c>
      <c r="CZ146" t="s">
        <v>59</v>
      </c>
      <c r="DA146" t="s">
        <v>59</v>
      </c>
      <c r="DB146" t="s">
        <v>59</v>
      </c>
      <c r="DC146" t="s">
        <v>59</v>
      </c>
      <c r="DD146" t="s">
        <v>59</v>
      </c>
      <c r="DE146" t="s">
        <v>59</v>
      </c>
      <c r="DF146" t="s">
        <v>59</v>
      </c>
      <c r="DG146" t="s">
        <v>59</v>
      </c>
      <c r="DH146" t="s">
        <v>59</v>
      </c>
      <c r="DI146" t="s">
        <v>59</v>
      </c>
      <c r="DJ146" t="s">
        <v>59</v>
      </c>
      <c r="DK146" t="s">
        <v>59</v>
      </c>
      <c r="DL146" t="s">
        <v>59</v>
      </c>
      <c r="DM146" t="s">
        <v>59</v>
      </c>
      <c r="DN146" t="s">
        <v>59</v>
      </c>
      <c r="DO146" t="s">
        <v>218</v>
      </c>
      <c r="DP146" t="s">
        <v>59</v>
      </c>
      <c r="DQ146" t="s">
        <v>218</v>
      </c>
      <c r="DR146" t="s">
        <v>218</v>
      </c>
      <c r="DS146" t="s">
        <v>218</v>
      </c>
      <c r="DT146" t="s">
        <v>218</v>
      </c>
      <c r="DU146" t="s">
        <v>218</v>
      </c>
      <c r="DV146" t="s">
        <v>218</v>
      </c>
      <c r="DW146" t="s">
        <v>218</v>
      </c>
      <c r="DX146" t="s">
        <v>59</v>
      </c>
      <c r="DY146" t="s">
        <v>218</v>
      </c>
      <c r="DZ146" t="s">
        <v>218</v>
      </c>
      <c r="EA146" t="s">
        <v>59</v>
      </c>
      <c r="EB146" t="s">
        <v>218</v>
      </c>
      <c r="EC146" t="s">
        <v>218</v>
      </c>
      <c r="ED146" t="s">
        <v>218</v>
      </c>
      <c r="EE146" t="s">
        <v>59</v>
      </c>
      <c r="EF146" t="s">
        <v>59</v>
      </c>
      <c r="EG146" t="s">
        <v>59</v>
      </c>
      <c r="EH146" t="s">
        <v>59</v>
      </c>
      <c r="EI146" t="s">
        <v>59</v>
      </c>
      <c r="EJ146" t="s">
        <v>59</v>
      </c>
      <c r="EK146" t="s">
        <v>59</v>
      </c>
      <c r="EL146" t="s">
        <v>59</v>
      </c>
      <c r="EM146" t="s">
        <v>59</v>
      </c>
      <c r="EN146" t="s">
        <v>218</v>
      </c>
      <c r="EO146" t="s">
        <v>59</v>
      </c>
      <c r="EP146" t="s">
        <v>59</v>
      </c>
      <c r="EQ146" t="s">
        <v>59</v>
      </c>
      <c r="ER146" t="s">
        <v>59</v>
      </c>
      <c r="ES146" t="s">
        <v>59</v>
      </c>
      <c r="ET146" t="s">
        <v>59</v>
      </c>
      <c r="EU146" t="s">
        <v>59</v>
      </c>
      <c r="EV146" t="s">
        <v>59</v>
      </c>
      <c r="EW146" t="s">
        <v>59</v>
      </c>
      <c r="EX146" t="s">
        <v>59</v>
      </c>
      <c r="EY146" t="s">
        <v>59</v>
      </c>
      <c r="EZ146" t="s">
        <v>59</v>
      </c>
      <c r="FA146" t="s">
        <v>218</v>
      </c>
      <c r="FB146" t="s">
        <v>218</v>
      </c>
      <c r="FC146" t="s">
        <v>218</v>
      </c>
      <c r="FD146" t="s">
        <v>218</v>
      </c>
      <c r="FE146" t="s">
        <v>218</v>
      </c>
      <c r="FF146" t="s">
        <v>218</v>
      </c>
      <c r="FG146" t="s">
        <v>218</v>
      </c>
      <c r="FH146" t="s">
        <v>218</v>
      </c>
      <c r="FI146" t="s">
        <v>218</v>
      </c>
      <c r="FJ146" t="s">
        <v>191</v>
      </c>
      <c r="FK146" t="s">
        <v>218</v>
      </c>
      <c r="FL146" t="s">
        <v>59</v>
      </c>
      <c r="FM146" t="s">
        <v>59</v>
      </c>
      <c r="FN146" t="s">
        <v>218</v>
      </c>
      <c r="FO146" t="s">
        <v>59</v>
      </c>
      <c r="FP146" t="s">
        <v>59</v>
      </c>
      <c r="FQ146" t="s">
        <v>59</v>
      </c>
      <c r="FR146" t="s">
        <v>59</v>
      </c>
      <c r="FS146" t="s">
        <v>218</v>
      </c>
      <c r="FT146" t="s">
        <v>59</v>
      </c>
      <c r="FU146" t="s">
        <v>59</v>
      </c>
      <c r="FV146" t="s">
        <v>59</v>
      </c>
      <c r="FW146" t="s">
        <v>59</v>
      </c>
      <c r="FX146" t="s">
        <v>59</v>
      </c>
      <c r="FY146" t="s">
        <v>59</v>
      </c>
      <c r="FZ146" t="s">
        <v>59</v>
      </c>
      <c r="GA146" t="s">
        <v>59</v>
      </c>
      <c r="GB146" t="s">
        <v>59</v>
      </c>
      <c r="GC146" t="s">
        <v>59</v>
      </c>
      <c r="GD146" t="s">
        <v>59</v>
      </c>
      <c r="GE146" t="s">
        <v>59</v>
      </c>
      <c r="GF146" t="s">
        <v>59</v>
      </c>
      <c r="GG146" t="s">
        <v>59</v>
      </c>
      <c r="GH146" t="s">
        <v>59</v>
      </c>
      <c r="GI146" t="s">
        <v>59</v>
      </c>
      <c r="GJ146" t="s">
        <v>59</v>
      </c>
      <c r="GK146" t="s">
        <v>59</v>
      </c>
      <c r="GL146" t="s">
        <v>59</v>
      </c>
      <c r="GM146" t="s">
        <v>59</v>
      </c>
      <c r="GN146" t="s">
        <v>59</v>
      </c>
      <c r="GO146" t="s">
        <v>59</v>
      </c>
      <c r="GP146" t="s">
        <v>59</v>
      </c>
      <c r="GQ146" t="s">
        <v>59</v>
      </c>
      <c r="GR146" t="s">
        <v>59</v>
      </c>
      <c r="GS146" t="s">
        <v>59</v>
      </c>
      <c r="GT146" t="s">
        <v>59</v>
      </c>
      <c r="GU146" t="s">
        <v>59</v>
      </c>
      <c r="GV146" t="s">
        <v>59</v>
      </c>
      <c r="GW146" t="s">
        <v>59</v>
      </c>
      <c r="GX146" t="s">
        <v>59</v>
      </c>
      <c r="GY146" t="s">
        <v>59</v>
      </c>
      <c r="GZ146" t="s">
        <v>59</v>
      </c>
      <c r="HA146" t="s">
        <v>59</v>
      </c>
      <c r="HB146" t="s">
        <v>59</v>
      </c>
      <c r="HC146" t="s">
        <v>59</v>
      </c>
      <c r="HD146" t="s">
        <v>59</v>
      </c>
      <c r="HE146" t="s">
        <v>59</v>
      </c>
      <c r="HF146" t="s">
        <v>59</v>
      </c>
      <c r="HG146" t="s">
        <v>59</v>
      </c>
      <c r="HH146" t="s">
        <v>59</v>
      </c>
      <c r="HI146" t="s">
        <v>59</v>
      </c>
      <c r="HJ146" t="s">
        <v>59</v>
      </c>
      <c r="HK146" t="s">
        <v>59</v>
      </c>
      <c r="HL146" t="s">
        <v>59</v>
      </c>
      <c r="HM146" t="s">
        <v>59</v>
      </c>
      <c r="HN146" t="s">
        <v>59</v>
      </c>
      <c r="HO146" t="s">
        <v>59</v>
      </c>
      <c r="HP146" t="s">
        <v>59</v>
      </c>
      <c r="HQ146" t="s">
        <v>59</v>
      </c>
      <c r="HR146" t="s">
        <v>59</v>
      </c>
      <c r="HS146" t="s">
        <v>59</v>
      </c>
      <c r="HT146" t="s">
        <v>59</v>
      </c>
      <c r="HU146" t="s">
        <v>59</v>
      </c>
      <c r="HV146" t="s">
        <v>59</v>
      </c>
      <c r="HW146" t="s">
        <v>59</v>
      </c>
      <c r="HX146" t="s">
        <v>59</v>
      </c>
      <c r="HY146" t="s">
        <v>59</v>
      </c>
      <c r="HZ146" t="s">
        <v>59</v>
      </c>
      <c r="IA146" t="s">
        <v>59</v>
      </c>
      <c r="IB146" t="s">
        <v>59</v>
      </c>
      <c r="IC146" t="s">
        <v>59</v>
      </c>
      <c r="ID146" t="s">
        <v>59</v>
      </c>
      <c r="IE146" t="s">
        <v>59</v>
      </c>
      <c r="IF146" t="s">
        <v>59</v>
      </c>
      <c r="IG146" t="s">
        <v>59</v>
      </c>
      <c r="IH146" t="s">
        <v>59</v>
      </c>
      <c r="II146" t="s">
        <v>59</v>
      </c>
      <c r="IJ146" t="s">
        <v>129</v>
      </c>
      <c r="IK146" t="s">
        <v>191</v>
      </c>
      <c r="IL146" t="s">
        <v>128</v>
      </c>
      <c r="IM146" t="s">
        <v>199</v>
      </c>
      <c r="IN146">
        <v>29</v>
      </c>
      <c r="IO146" t="s">
        <v>2730</v>
      </c>
      <c r="IP146" t="s">
        <v>2730</v>
      </c>
      <c r="IQ146" t="s">
        <v>2730</v>
      </c>
      <c r="IR146">
        <v>15</v>
      </c>
      <c r="IS146" t="s">
        <v>2730</v>
      </c>
      <c r="IT146" t="s">
        <v>2730</v>
      </c>
      <c r="IU146" t="s">
        <v>2730</v>
      </c>
      <c r="IV146">
        <v>17</v>
      </c>
      <c r="IW146" t="s">
        <v>2730</v>
      </c>
      <c r="IX146" t="s">
        <v>2730</v>
      </c>
      <c r="IY146" t="s">
        <v>2730</v>
      </c>
      <c r="IZ146">
        <v>34</v>
      </c>
      <c r="JA146" t="s">
        <v>2730</v>
      </c>
      <c r="JB146">
        <v>1</v>
      </c>
      <c r="JC146" t="s">
        <v>2730</v>
      </c>
      <c r="JD146">
        <v>24</v>
      </c>
      <c r="JE146" t="s">
        <v>2730</v>
      </c>
      <c r="JF146" t="s">
        <v>2730</v>
      </c>
      <c r="JG146" t="s">
        <v>2730</v>
      </c>
      <c r="JH146">
        <v>30</v>
      </c>
      <c r="JI146" t="s">
        <v>2730</v>
      </c>
      <c r="JJ146" t="s">
        <v>2730</v>
      </c>
      <c r="JK146" t="s">
        <v>2730</v>
      </c>
      <c r="JL146">
        <v>16</v>
      </c>
      <c r="JM146" t="s">
        <v>2730</v>
      </c>
      <c r="JN146" t="s">
        <v>2730</v>
      </c>
      <c r="JO146">
        <v>4</v>
      </c>
      <c r="JP146" t="s">
        <v>2730</v>
      </c>
      <c r="JQ146" t="s">
        <v>2730</v>
      </c>
    </row>
  </sheetData>
  <sheetProtection sheet="1" objects="1" scenarios="1" sort="0" autoFilter="0"/>
  <pageMargins left="0.7" right="0.7" top="0.75" bottom="0.75" header="0.3" footer="0.3"/>
  <pageSetup paperSize="9" orientation="portrait"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theme="6" tint="0.79998168889431442"/>
  </sheetPr>
  <dimension ref="A1:JQ34"/>
  <sheetViews>
    <sheetView showGridLines="0" zoomScaleNormal="100" workbookViewId="0"/>
  </sheetViews>
  <sheetFormatPr defaultRowHeight="15"/>
  <cols>
    <col min="1" max="1" width="25.5703125" customWidth="1"/>
    <col min="2" max="2" width="17" bestFit="1" customWidth="1"/>
    <col min="3" max="3" width="7.28515625" bestFit="1" customWidth="1"/>
    <col min="4" max="4" width="10.85546875" bestFit="1" customWidth="1"/>
    <col min="5" max="5" width="40.140625" bestFit="1" customWidth="1"/>
    <col min="6" max="6" width="31.85546875" bestFit="1" customWidth="1"/>
    <col min="7" max="7" width="25.85546875" bestFit="1" customWidth="1"/>
    <col min="8" max="8" width="35" bestFit="1" customWidth="1"/>
    <col min="9" max="9" width="27.42578125" bestFit="1" customWidth="1"/>
    <col min="10" max="10" width="25.28515625" bestFit="1" customWidth="1"/>
    <col min="11" max="11" width="11.42578125" bestFit="1" customWidth="1"/>
    <col min="12" max="12" width="20.28515625" bestFit="1" customWidth="1"/>
    <col min="13" max="13" width="28.85546875" bestFit="1" customWidth="1"/>
    <col min="14" max="14" width="17" bestFit="1" customWidth="1"/>
    <col min="15" max="15" width="15.85546875" bestFit="1" customWidth="1"/>
    <col min="16" max="16" width="14.42578125" bestFit="1" customWidth="1"/>
    <col min="17" max="17" width="20.28515625" bestFit="1" customWidth="1"/>
    <col min="18" max="18" width="23" bestFit="1" customWidth="1"/>
    <col min="19" max="19" width="22.5703125" bestFit="1" customWidth="1"/>
    <col min="20" max="20" width="17.85546875" bestFit="1" customWidth="1"/>
    <col min="21" max="21" width="38.85546875" bestFit="1" customWidth="1"/>
    <col min="22" max="22" width="48" customWidth="1"/>
    <col min="23" max="23" width="21.140625" bestFit="1" customWidth="1"/>
    <col min="24" max="24" width="34.42578125" bestFit="1" customWidth="1"/>
    <col min="25" max="25" width="22.42578125" bestFit="1" customWidth="1"/>
    <col min="26" max="26" width="44.140625" bestFit="1" customWidth="1"/>
    <col min="27" max="27" width="45.5703125" bestFit="1" customWidth="1"/>
    <col min="28" max="28" width="20.28515625" bestFit="1" customWidth="1"/>
    <col min="29" max="29" width="21.42578125" bestFit="1" customWidth="1"/>
    <col min="30" max="30" width="21.7109375" bestFit="1" customWidth="1"/>
    <col min="31" max="31" width="21.42578125" bestFit="1" customWidth="1"/>
    <col min="32" max="32" width="14.85546875" bestFit="1" customWidth="1"/>
    <col min="33" max="33" width="41.85546875" bestFit="1" customWidth="1"/>
    <col min="34" max="34" width="20.42578125" bestFit="1" customWidth="1"/>
    <col min="35" max="41" width="29" bestFit="1" customWidth="1"/>
    <col min="42" max="42" width="14.85546875" bestFit="1" customWidth="1"/>
    <col min="43" max="43" width="36.42578125" bestFit="1" customWidth="1"/>
    <col min="44" max="44" width="38.85546875" bestFit="1" customWidth="1"/>
    <col min="45" max="45" width="39" bestFit="1" customWidth="1"/>
    <col min="46" max="46" width="41.140625" bestFit="1" customWidth="1"/>
    <col min="47" max="47" width="41.7109375" bestFit="1" customWidth="1"/>
    <col min="48" max="48" width="36.42578125" bestFit="1" customWidth="1"/>
    <col min="49" max="49" width="38.85546875" bestFit="1" customWidth="1"/>
    <col min="50" max="50" width="39" bestFit="1" customWidth="1"/>
    <col min="51" max="51" width="38.7109375" bestFit="1" customWidth="1"/>
    <col min="52" max="52" width="39" bestFit="1" customWidth="1"/>
    <col min="53" max="53" width="41.140625" bestFit="1" customWidth="1"/>
    <col min="54" max="54" width="41.7109375" bestFit="1" customWidth="1"/>
    <col min="55" max="55" width="39" bestFit="1" customWidth="1"/>
    <col min="56" max="56" width="41.140625" bestFit="1" customWidth="1"/>
    <col min="57" max="57" width="41.7109375" bestFit="1" customWidth="1"/>
    <col min="58" max="58" width="42.28515625" bestFit="1" customWidth="1"/>
    <col min="59" max="59" width="38.5703125" bestFit="1" customWidth="1"/>
    <col min="60" max="60" width="38.85546875" bestFit="1" customWidth="1"/>
    <col min="61" max="61" width="39" bestFit="1" customWidth="1"/>
    <col min="62" max="62" width="38.42578125" bestFit="1" customWidth="1"/>
    <col min="63" max="63" width="33.85546875" bestFit="1" customWidth="1"/>
    <col min="64" max="64" width="36.42578125" bestFit="1" customWidth="1"/>
    <col min="65" max="65" width="36.5703125" bestFit="1" customWidth="1"/>
    <col min="66" max="66" width="36.28515625" bestFit="1" customWidth="1"/>
    <col min="67" max="68" width="36.5703125" bestFit="1" customWidth="1"/>
    <col min="69" max="69" width="36.140625" bestFit="1" customWidth="1"/>
    <col min="70" max="70" width="36.42578125" bestFit="1" customWidth="1"/>
    <col min="71" max="71" width="36.5703125" bestFit="1" customWidth="1"/>
    <col min="72" max="73" width="35.85546875" bestFit="1" customWidth="1"/>
    <col min="74" max="75" width="33.85546875" bestFit="1" customWidth="1"/>
    <col min="76" max="76" width="36.42578125" bestFit="1" customWidth="1"/>
    <col min="77" max="77" width="36.5703125" bestFit="1" customWidth="1"/>
    <col min="78" max="78" width="38.5703125" bestFit="1" customWidth="1"/>
    <col min="79" max="79" width="39.140625" bestFit="1" customWidth="1"/>
    <col min="80" max="80" width="39.7109375" bestFit="1" customWidth="1"/>
    <col min="81" max="81" width="39.5703125" bestFit="1" customWidth="1"/>
    <col min="82" max="82" width="39" bestFit="1" customWidth="1"/>
    <col min="83" max="83" width="39.5703125" bestFit="1" customWidth="1"/>
    <col min="84" max="84" width="40.28515625" bestFit="1" customWidth="1"/>
    <col min="85" max="85" width="36.28515625" bestFit="1" customWidth="1"/>
    <col min="86" max="86" width="36.5703125" bestFit="1" customWidth="1"/>
    <col min="87" max="87" width="38.5703125" bestFit="1" customWidth="1"/>
    <col min="88" max="88" width="39.140625" bestFit="1" customWidth="1"/>
    <col min="89" max="89" width="39.7109375" bestFit="1" customWidth="1"/>
    <col min="90" max="90" width="33.85546875" bestFit="1" customWidth="1"/>
    <col min="91" max="91" width="36.42578125" bestFit="1" customWidth="1"/>
    <col min="92" max="92" width="36.5703125" bestFit="1" customWidth="1"/>
    <col min="93" max="93" width="33.85546875" bestFit="1" customWidth="1"/>
    <col min="94" max="94" width="36.42578125" bestFit="1" customWidth="1"/>
    <col min="95" max="95" width="36.5703125" bestFit="1" customWidth="1"/>
    <col min="96" max="96" width="33.85546875" bestFit="1" customWidth="1"/>
    <col min="97" max="97" width="36.42578125" bestFit="1" customWidth="1"/>
    <col min="98" max="98" width="36.5703125" bestFit="1" customWidth="1"/>
    <col min="99" max="99" width="36.28515625" bestFit="1" customWidth="1"/>
    <col min="100" max="106" width="34.85546875" bestFit="1" customWidth="1"/>
    <col min="107" max="107" width="37.42578125" bestFit="1" customWidth="1"/>
    <col min="108" max="108" width="37.5703125" bestFit="1" customWidth="1"/>
    <col min="109" max="109" width="37.42578125" bestFit="1" customWidth="1"/>
    <col min="110" max="110" width="39.85546875" bestFit="1" customWidth="1"/>
    <col min="111" max="111" width="40" bestFit="1" customWidth="1"/>
    <col min="112" max="112" width="39.7109375" bestFit="1" customWidth="1"/>
    <col min="113" max="113" width="41.85546875" bestFit="1" customWidth="1"/>
    <col min="114" max="114" width="42.42578125" bestFit="1" customWidth="1"/>
    <col min="115" max="115" width="43" bestFit="1" customWidth="1"/>
    <col min="116" max="116" width="42.85546875" bestFit="1" customWidth="1"/>
    <col min="117" max="118" width="40" bestFit="1" customWidth="1"/>
    <col min="119" max="119" width="39.5703125" bestFit="1" customWidth="1"/>
    <col min="120" max="121" width="37.42578125" bestFit="1" customWidth="1"/>
    <col min="122" max="122" width="39.85546875" bestFit="1" customWidth="1"/>
    <col min="123" max="123" width="42" bestFit="1" customWidth="1"/>
    <col min="124" max="124" width="45.5703125" bestFit="1" customWidth="1"/>
    <col min="125" max="125" width="45.85546875" bestFit="1" customWidth="1"/>
    <col min="126" max="126" width="45.28515625" bestFit="1" customWidth="1"/>
    <col min="127" max="127" width="42.5703125" bestFit="1" customWidth="1"/>
    <col min="128" max="128" width="40" bestFit="1" customWidth="1"/>
    <col min="129" max="129" width="39.7109375" bestFit="1" customWidth="1"/>
    <col min="130" max="130" width="40" bestFit="1" customWidth="1"/>
    <col min="131" max="131" width="42.140625" bestFit="1" customWidth="1"/>
    <col min="132" max="132" width="42.7109375" bestFit="1" customWidth="1"/>
    <col min="133" max="133" width="40" bestFit="1" customWidth="1"/>
    <col min="134" max="135" width="37.42578125" bestFit="1" customWidth="1"/>
    <col min="136" max="136" width="39.85546875" bestFit="1" customWidth="1"/>
    <col min="137" max="137" width="42" bestFit="1" customWidth="1"/>
    <col min="138" max="138" width="42.5703125" bestFit="1" customWidth="1"/>
    <col min="139" max="139" width="40" bestFit="1" customWidth="1"/>
    <col min="140" max="140" width="42.140625" bestFit="1" customWidth="1"/>
    <col min="141" max="141" width="42.7109375" bestFit="1" customWidth="1"/>
    <col min="142" max="142" width="43.28515625" bestFit="1" customWidth="1"/>
    <col min="143" max="143" width="39.7109375" bestFit="1" customWidth="1"/>
    <col min="144" max="146" width="37.42578125" bestFit="1" customWidth="1"/>
    <col min="147" max="147" width="39.85546875" bestFit="1" customWidth="1"/>
    <col min="148" max="148" width="42" bestFit="1" customWidth="1"/>
    <col min="149" max="149" width="42.5703125" bestFit="1" customWidth="1"/>
    <col min="150" max="150" width="43.140625" bestFit="1" customWidth="1"/>
    <col min="151" max="151" width="43" bestFit="1" customWidth="1"/>
    <col min="152" max="152" width="42.42578125" bestFit="1" customWidth="1"/>
    <col min="153" max="153" width="43" bestFit="1" customWidth="1"/>
    <col min="154" max="154" width="43.5703125" bestFit="1" customWidth="1"/>
    <col min="155" max="155" width="44.140625" bestFit="1" customWidth="1"/>
    <col min="156" max="156" width="40" bestFit="1" customWidth="1"/>
    <col min="157" max="158" width="37.42578125" bestFit="1" customWidth="1"/>
    <col min="159" max="159" width="39.85546875" bestFit="1" customWidth="1"/>
    <col min="160" max="160" width="42" bestFit="1" customWidth="1"/>
    <col min="161" max="161" width="42.5703125" bestFit="1" customWidth="1"/>
    <col min="162" max="162" width="40" bestFit="1" customWidth="1"/>
    <col min="163" max="163" width="39.7109375" bestFit="1" customWidth="1"/>
    <col min="164" max="165" width="37.42578125" bestFit="1" customWidth="1"/>
    <col min="166" max="166" width="39.85546875" bestFit="1" customWidth="1"/>
    <col min="167" max="167" width="40" bestFit="1" customWidth="1"/>
    <col min="168" max="168" width="37.42578125" bestFit="1" customWidth="1"/>
    <col min="169" max="169" width="39.85546875" bestFit="1" customWidth="1"/>
    <col min="170" max="170" width="40" bestFit="1" customWidth="1"/>
    <col min="171" max="171" width="39.7109375" bestFit="1" customWidth="1"/>
    <col min="172" max="172" width="37.42578125" bestFit="1" customWidth="1"/>
    <col min="173" max="173" width="39.85546875" bestFit="1" customWidth="1"/>
    <col min="174" max="174" width="40" bestFit="1" customWidth="1"/>
    <col min="175" max="175" width="39.7109375" bestFit="1" customWidth="1"/>
    <col min="176" max="176" width="37.42578125" bestFit="1" customWidth="1"/>
    <col min="177" max="179" width="34.85546875" bestFit="1" customWidth="1"/>
    <col min="180" max="180" width="37.42578125" bestFit="1" customWidth="1"/>
    <col min="181" max="181" width="37.5703125" bestFit="1" customWidth="1"/>
    <col min="182" max="182" width="37.42578125" bestFit="1" customWidth="1"/>
    <col min="183" max="183" width="39.85546875" bestFit="1" customWidth="1"/>
    <col min="184" max="184" width="40" bestFit="1" customWidth="1"/>
    <col min="185" max="185" width="39.7109375" bestFit="1" customWidth="1"/>
    <col min="186" max="186" width="40" bestFit="1" customWidth="1"/>
    <col min="187" max="187" width="37.42578125" bestFit="1" customWidth="1"/>
    <col min="188" max="188" width="39.85546875" bestFit="1" customWidth="1"/>
    <col min="189" max="189" width="40" bestFit="1" customWidth="1"/>
    <col min="190" max="190" width="37.42578125" bestFit="1" customWidth="1"/>
    <col min="191" max="191" width="39.85546875" bestFit="1" customWidth="1"/>
    <col min="192" max="192" width="40" bestFit="1" customWidth="1"/>
    <col min="193" max="193" width="34.85546875" bestFit="1" customWidth="1"/>
    <col min="194" max="194" width="37.42578125" bestFit="1" customWidth="1"/>
    <col min="195" max="195" width="39.85546875" bestFit="1" customWidth="1"/>
    <col min="196" max="196" width="40" bestFit="1" customWidth="1"/>
    <col min="197" max="197" width="39.7109375" bestFit="1" customWidth="1"/>
    <col min="198" max="199" width="40" bestFit="1" customWidth="1"/>
    <col min="200" max="200" width="39.5703125" bestFit="1" customWidth="1"/>
    <col min="201" max="201" width="39.85546875" bestFit="1" customWidth="1"/>
    <col min="202" max="202" width="40" bestFit="1" customWidth="1"/>
    <col min="203" max="204" width="39.42578125" bestFit="1" customWidth="1"/>
    <col min="205" max="205" width="37.42578125" bestFit="1" customWidth="1"/>
    <col min="206" max="206" width="39.85546875" bestFit="1" customWidth="1"/>
    <col min="207" max="207" width="40" bestFit="1" customWidth="1"/>
    <col min="208" max="208" width="42.140625" bestFit="1" customWidth="1"/>
    <col min="209" max="209" width="42.7109375" bestFit="1" customWidth="1"/>
    <col min="210" max="210" width="39.7109375" bestFit="1" customWidth="1"/>
    <col min="211" max="211" width="40" bestFit="1" customWidth="1"/>
    <col min="212" max="212" width="37.42578125" bestFit="1" customWidth="1"/>
    <col min="213" max="213" width="39.85546875" bestFit="1" customWidth="1"/>
    <col min="214" max="214" width="40" bestFit="1" customWidth="1"/>
    <col min="215" max="215" width="39.7109375" bestFit="1" customWidth="1"/>
    <col min="216" max="217" width="40" bestFit="1" customWidth="1"/>
    <col min="218" max="218" width="39.5703125" bestFit="1" customWidth="1"/>
    <col min="219" max="219" width="39.85546875" bestFit="1" customWidth="1"/>
    <col min="220" max="220" width="37.42578125" bestFit="1" customWidth="1"/>
    <col min="221" max="221" width="39.85546875" bestFit="1" customWidth="1"/>
    <col min="222" max="222" width="40" bestFit="1" customWidth="1"/>
    <col min="223" max="223" width="39.7109375" bestFit="1" customWidth="1"/>
    <col min="224" max="224" width="34.85546875" bestFit="1" customWidth="1"/>
    <col min="225" max="225" width="37.42578125" bestFit="1" customWidth="1"/>
    <col min="226" max="226" width="37.5703125" bestFit="1" customWidth="1"/>
    <col min="227" max="227" width="37.28515625" bestFit="1" customWidth="1"/>
    <col min="228" max="229" width="37.5703125" bestFit="1" customWidth="1"/>
    <col min="230" max="230" width="37.140625" bestFit="1" customWidth="1"/>
    <col min="231" max="231" width="37.42578125" bestFit="1" customWidth="1"/>
    <col min="232" max="232" width="37.5703125" bestFit="1" customWidth="1"/>
    <col min="233" max="233" width="37" bestFit="1" customWidth="1"/>
    <col min="234" max="234" width="39" bestFit="1" customWidth="1"/>
    <col min="235" max="235" width="39.5703125" bestFit="1" customWidth="1"/>
    <col min="236" max="236" width="37" bestFit="1" customWidth="1"/>
    <col min="237" max="237" width="39" bestFit="1" customWidth="1"/>
    <col min="238" max="238" width="39.5703125" bestFit="1" customWidth="1"/>
    <col min="239" max="240" width="37.42578125" bestFit="1" customWidth="1"/>
    <col min="241" max="241" width="39.85546875" bestFit="1" customWidth="1"/>
    <col min="242" max="242" width="40" bestFit="1" customWidth="1"/>
    <col min="243" max="243" width="39.7109375" bestFit="1" customWidth="1"/>
    <col min="244" max="246" width="26.28515625" bestFit="1" customWidth="1"/>
    <col min="247" max="247" width="29.7109375" bestFit="1" customWidth="1"/>
    <col min="248" max="248" width="43.42578125" bestFit="1" customWidth="1"/>
    <col min="249" max="249" width="51.140625" bestFit="1" customWidth="1"/>
    <col min="250" max="250" width="53" bestFit="1" customWidth="1"/>
    <col min="251" max="251" width="47.140625" bestFit="1" customWidth="1"/>
    <col min="252" max="252" width="68.85546875" bestFit="1" customWidth="1"/>
    <col min="253" max="253" width="76.5703125" bestFit="1" customWidth="1"/>
    <col min="254" max="254" width="78.42578125" bestFit="1" customWidth="1"/>
    <col min="255" max="255" width="72.5703125" bestFit="1" customWidth="1"/>
    <col min="256" max="256" width="49" bestFit="1" customWidth="1"/>
    <col min="257" max="257" width="56.5703125" bestFit="1" customWidth="1"/>
    <col min="258" max="258" width="58.42578125" bestFit="1" customWidth="1"/>
    <col min="259" max="259" width="52.7109375" bestFit="1" customWidth="1"/>
    <col min="260" max="260" width="59.28515625" bestFit="1" customWidth="1"/>
    <col min="261" max="261" width="67" bestFit="1" customWidth="1"/>
    <col min="262" max="262" width="68.7109375" bestFit="1" customWidth="1"/>
    <col min="263" max="263" width="63" bestFit="1" customWidth="1"/>
    <col min="264" max="264" width="55.28515625" bestFit="1" customWidth="1"/>
    <col min="265" max="265" width="63" bestFit="1" customWidth="1"/>
    <col min="266" max="266" width="64.7109375" bestFit="1" customWidth="1"/>
    <col min="267" max="267" width="59" bestFit="1" customWidth="1"/>
    <col min="268" max="268" width="38.42578125" bestFit="1" customWidth="1"/>
    <col min="269" max="269" width="46.140625" bestFit="1" customWidth="1"/>
    <col min="270" max="270" width="47.85546875" bestFit="1" customWidth="1"/>
    <col min="271" max="271" width="42.140625" bestFit="1" customWidth="1"/>
    <col min="272" max="272" width="53.42578125" bestFit="1" customWidth="1"/>
    <col min="273" max="273" width="61.140625" bestFit="1" customWidth="1"/>
    <col min="274" max="274" width="57.140625" bestFit="1" customWidth="1"/>
    <col min="275" max="275" width="63.5703125" bestFit="1" customWidth="1"/>
    <col min="276" max="276" width="71.28515625" bestFit="1" customWidth="1"/>
    <col min="277" max="277" width="67.28515625" bestFit="1" customWidth="1"/>
  </cols>
  <sheetData>
    <row r="1" spans="1:277" s="1" customFormat="1" ht="15.75">
      <c r="A1" s="258" t="s">
        <v>2987</v>
      </c>
    </row>
    <row r="2" spans="1:277" s="1" customFormat="1">
      <c r="A2" s="10" t="str">
        <f>Cover!C8</f>
        <v>Inspections from 1 September 2017 to 31 December 2017, published by 31 December 2017</v>
      </c>
    </row>
    <row r="4" spans="1:277">
      <c r="A4" t="s">
        <v>39</v>
      </c>
      <c r="B4" t="s">
        <v>134</v>
      </c>
      <c r="C4" t="s">
        <v>40</v>
      </c>
      <c r="D4" t="s">
        <v>41</v>
      </c>
      <c r="E4" t="s">
        <v>42</v>
      </c>
      <c r="F4" t="s">
        <v>27</v>
      </c>
      <c r="G4" t="s">
        <v>135</v>
      </c>
      <c r="H4" t="s">
        <v>136</v>
      </c>
      <c r="I4" t="s">
        <v>137</v>
      </c>
      <c r="J4" t="s">
        <v>138</v>
      </c>
      <c r="K4" t="s">
        <v>46</v>
      </c>
      <c r="L4" t="s">
        <v>65</v>
      </c>
      <c r="M4" t="s">
        <v>139</v>
      </c>
      <c r="N4" t="s">
        <v>66</v>
      </c>
      <c r="O4" t="s">
        <v>140</v>
      </c>
      <c r="P4" t="s">
        <v>68</v>
      </c>
      <c r="Q4" t="s">
        <v>47</v>
      </c>
      <c r="R4" t="s">
        <v>48</v>
      </c>
      <c r="S4" t="s">
        <v>49</v>
      </c>
      <c r="T4" t="s">
        <v>50</v>
      </c>
      <c r="U4" t="s">
        <v>141</v>
      </c>
      <c r="V4" t="s">
        <v>51</v>
      </c>
      <c r="W4" t="s">
        <v>142</v>
      </c>
      <c r="X4" t="s">
        <v>143</v>
      </c>
      <c r="Y4" t="s">
        <v>28</v>
      </c>
      <c r="Z4" t="s">
        <v>52</v>
      </c>
      <c r="AA4" t="s">
        <v>53</v>
      </c>
      <c r="AB4" t="s">
        <v>54</v>
      </c>
      <c r="AC4" t="s">
        <v>55</v>
      </c>
      <c r="AD4" t="s">
        <v>56</v>
      </c>
      <c r="AE4" t="s">
        <v>57</v>
      </c>
      <c r="AF4" t="s">
        <v>58</v>
      </c>
      <c r="AG4" t="s">
        <v>144</v>
      </c>
      <c r="AH4" t="s">
        <v>2745</v>
      </c>
      <c r="AI4" t="s">
        <v>2746</v>
      </c>
      <c r="AJ4" t="s">
        <v>2747</v>
      </c>
      <c r="AK4" t="s">
        <v>2748</v>
      </c>
      <c r="AL4" t="s">
        <v>2749</v>
      </c>
      <c r="AM4" t="s">
        <v>2750</v>
      </c>
      <c r="AN4" t="s">
        <v>2751</v>
      </c>
      <c r="AO4" t="s">
        <v>2752</v>
      </c>
      <c r="AP4" t="s">
        <v>2753</v>
      </c>
      <c r="AQ4" t="s">
        <v>2778</v>
      </c>
      <c r="AR4" t="s">
        <v>2779</v>
      </c>
      <c r="AS4" t="s">
        <v>2780</v>
      </c>
      <c r="AT4" t="s">
        <v>2781</v>
      </c>
      <c r="AU4" t="s">
        <v>2782</v>
      </c>
      <c r="AV4" t="s">
        <v>2783</v>
      </c>
      <c r="AW4" t="s">
        <v>2784</v>
      </c>
      <c r="AX4" t="s">
        <v>2785</v>
      </c>
      <c r="AY4" t="s">
        <v>2786</v>
      </c>
      <c r="AZ4" t="s">
        <v>2787</v>
      </c>
      <c r="BA4" t="s">
        <v>2788</v>
      </c>
      <c r="BB4" t="s">
        <v>2789</v>
      </c>
      <c r="BC4" t="s">
        <v>2790</v>
      </c>
      <c r="BD4" t="s">
        <v>2791</v>
      </c>
      <c r="BE4" t="s">
        <v>2792</v>
      </c>
      <c r="BF4" t="s">
        <v>2793</v>
      </c>
      <c r="BG4" t="s">
        <v>2794</v>
      </c>
      <c r="BH4" t="s">
        <v>2795</v>
      </c>
      <c r="BI4" t="s">
        <v>2796</v>
      </c>
      <c r="BJ4" t="s">
        <v>2797</v>
      </c>
      <c r="BK4" t="s">
        <v>2798</v>
      </c>
      <c r="BL4" t="s">
        <v>2799</v>
      </c>
      <c r="BM4" t="s">
        <v>2800</v>
      </c>
      <c r="BN4" t="s">
        <v>2801</v>
      </c>
      <c r="BO4" t="s">
        <v>2802</v>
      </c>
      <c r="BP4" t="s">
        <v>2803</v>
      </c>
      <c r="BQ4" t="s">
        <v>2804</v>
      </c>
      <c r="BR4" t="s">
        <v>2805</v>
      </c>
      <c r="BS4" t="s">
        <v>2806</v>
      </c>
      <c r="BT4" t="s">
        <v>2807</v>
      </c>
      <c r="BU4" t="s">
        <v>2808</v>
      </c>
      <c r="BV4" t="s">
        <v>2809</v>
      </c>
      <c r="BW4" t="s">
        <v>2810</v>
      </c>
      <c r="BX4" t="s">
        <v>2811</v>
      </c>
      <c r="BY4" t="s">
        <v>2812</v>
      </c>
      <c r="BZ4" t="s">
        <v>2813</v>
      </c>
      <c r="CA4" t="s">
        <v>2814</v>
      </c>
      <c r="CB4" t="s">
        <v>2815</v>
      </c>
      <c r="CC4" t="s">
        <v>2816</v>
      </c>
      <c r="CD4" t="s">
        <v>2817</v>
      </c>
      <c r="CE4" t="s">
        <v>2818</v>
      </c>
      <c r="CF4" t="s">
        <v>2819</v>
      </c>
      <c r="CG4" t="s">
        <v>2820</v>
      </c>
      <c r="CH4" t="s">
        <v>2821</v>
      </c>
      <c r="CI4" t="s">
        <v>2822</v>
      </c>
      <c r="CJ4" t="s">
        <v>2823</v>
      </c>
      <c r="CK4" t="s">
        <v>2824</v>
      </c>
      <c r="CL4" t="s">
        <v>2825</v>
      </c>
      <c r="CM4" t="s">
        <v>2826</v>
      </c>
      <c r="CN4" t="s">
        <v>2827</v>
      </c>
      <c r="CO4" t="s">
        <v>2828</v>
      </c>
      <c r="CP4" t="s">
        <v>2829</v>
      </c>
      <c r="CQ4" t="s">
        <v>2830</v>
      </c>
      <c r="CR4" t="s">
        <v>2831</v>
      </c>
      <c r="CS4" t="s">
        <v>2832</v>
      </c>
      <c r="CT4" t="s">
        <v>2833</v>
      </c>
      <c r="CU4" t="s">
        <v>2834</v>
      </c>
      <c r="CV4" t="s">
        <v>2835</v>
      </c>
      <c r="CW4" t="s">
        <v>2836</v>
      </c>
      <c r="CX4" t="s">
        <v>2837</v>
      </c>
      <c r="CY4" t="s">
        <v>2838</v>
      </c>
      <c r="CZ4" t="s">
        <v>2839</v>
      </c>
      <c r="DA4" t="s">
        <v>2840</v>
      </c>
      <c r="DB4" t="s">
        <v>2841</v>
      </c>
      <c r="DC4" t="s">
        <v>2842</v>
      </c>
      <c r="DD4" t="s">
        <v>2843</v>
      </c>
      <c r="DE4" t="s">
        <v>2844</v>
      </c>
      <c r="DF4" t="s">
        <v>2845</v>
      </c>
      <c r="DG4" t="s">
        <v>2846</v>
      </c>
      <c r="DH4" t="s">
        <v>2847</v>
      </c>
      <c r="DI4" t="s">
        <v>2848</v>
      </c>
      <c r="DJ4" t="s">
        <v>2849</v>
      </c>
      <c r="DK4" t="s">
        <v>2850</v>
      </c>
      <c r="DL4" t="s">
        <v>2851</v>
      </c>
      <c r="DM4" t="s">
        <v>2852</v>
      </c>
      <c r="DN4" t="s">
        <v>2853</v>
      </c>
      <c r="DO4" t="s">
        <v>2854</v>
      </c>
      <c r="DP4" t="s">
        <v>2855</v>
      </c>
      <c r="DQ4" t="s">
        <v>2856</v>
      </c>
      <c r="DR4" t="s">
        <v>2857</v>
      </c>
      <c r="DS4" t="s">
        <v>2858</v>
      </c>
      <c r="DT4" t="s">
        <v>2859</v>
      </c>
      <c r="DU4" t="s">
        <v>2860</v>
      </c>
      <c r="DV4" t="s">
        <v>2861</v>
      </c>
      <c r="DW4" t="s">
        <v>2862</v>
      </c>
      <c r="DX4" t="s">
        <v>2863</v>
      </c>
      <c r="DY4" t="s">
        <v>2864</v>
      </c>
      <c r="DZ4" t="s">
        <v>2865</v>
      </c>
      <c r="EA4" t="s">
        <v>2866</v>
      </c>
      <c r="EB4" t="s">
        <v>2867</v>
      </c>
      <c r="EC4" t="s">
        <v>2868</v>
      </c>
      <c r="ED4" t="s">
        <v>2869</v>
      </c>
      <c r="EE4" t="s">
        <v>2870</v>
      </c>
      <c r="EF4" t="s">
        <v>2871</v>
      </c>
      <c r="EG4" t="s">
        <v>2872</v>
      </c>
      <c r="EH4" t="s">
        <v>2873</v>
      </c>
      <c r="EI4" t="s">
        <v>2874</v>
      </c>
      <c r="EJ4" t="s">
        <v>2875</v>
      </c>
      <c r="EK4" t="s">
        <v>2876</v>
      </c>
      <c r="EL4" t="s">
        <v>2877</v>
      </c>
      <c r="EM4" t="s">
        <v>2878</v>
      </c>
      <c r="EN4" t="s">
        <v>2879</v>
      </c>
      <c r="EO4" t="s">
        <v>2880</v>
      </c>
      <c r="EP4" t="s">
        <v>2881</v>
      </c>
      <c r="EQ4" t="s">
        <v>2882</v>
      </c>
      <c r="ER4" t="s">
        <v>2883</v>
      </c>
      <c r="ES4" t="s">
        <v>2884</v>
      </c>
      <c r="ET4" t="s">
        <v>2885</v>
      </c>
      <c r="EU4" t="s">
        <v>2886</v>
      </c>
      <c r="EV4" t="s">
        <v>2887</v>
      </c>
      <c r="EW4" t="s">
        <v>2888</v>
      </c>
      <c r="EX4" t="s">
        <v>2889</v>
      </c>
      <c r="EY4" t="s">
        <v>2890</v>
      </c>
      <c r="EZ4" t="s">
        <v>2891</v>
      </c>
      <c r="FA4" t="s">
        <v>2892</v>
      </c>
      <c r="FB4" t="s">
        <v>2893</v>
      </c>
      <c r="FC4" t="s">
        <v>2894</v>
      </c>
      <c r="FD4" t="s">
        <v>2895</v>
      </c>
      <c r="FE4" t="s">
        <v>2896</v>
      </c>
      <c r="FF4" t="s">
        <v>2897</v>
      </c>
      <c r="FG4" t="s">
        <v>2898</v>
      </c>
      <c r="FH4" t="s">
        <v>2899</v>
      </c>
      <c r="FI4" t="s">
        <v>2900</v>
      </c>
      <c r="FJ4" t="s">
        <v>2901</v>
      </c>
      <c r="FK4" t="s">
        <v>2902</v>
      </c>
      <c r="FL4" t="s">
        <v>2903</v>
      </c>
      <c r="FM4" t="s">
        <v>2904</v>
      </c>
      <c r="FN4" t="s">
        <v>2905</v>
      </c>
      <c r="FO4" t="s">
        <v>2906</v>
      </c>
      <c r="FP4" t="s">
        <v>2907</v>
      </c>
      <c r="FQ4" t="s">
        <v>2908</v>
      </c>
      <c r="FR4" t="s">
        <v>2909</v>
      </c>
      <c r="FS4" t="s">
        <v>2910</v>
      </c>
      <c r="FT4" t="s">
        <v>2911</v>
      </c>
      <c r="FU4" t="s">
        <v>2912</v>
      </c>
      <c r="FV4" t="s">
        <v>2913</v>
      </c>
      <c r="FW4" t="s">
        <v>2914</v>
      </c>
      <c r="FX4" t="s">
        <v>2915</v>
      </c>
      <c r="FY4" t="s">
        <v>2916</v>
      </c>
      <c r="FZ4" t="s">
        <v>2917</v>
      </c>
      <c r="GA4" t="s">
        <v>2918</v>
      </c>
      <c r="GB4" t="s">
        <v>2919</v>
      </c>
      <c r="GC4" t="s">
        <v>2920</v>
      </c>
      <c r="GD4" t="s">
        <v>2921</v>
      </c>
      <c r="GE4" t="s">
        <v>2922</v>
      </c>
      <c r="GF4" t="s">
        <v>2923</v>
      </c>
      <c r="GG4" t="s">
        <v>2924</v>
      </c>
      <c r="GH4" t="s">
        <v>2925</v>
      </c>
      <c r="GI4" t="s">
        <v>2926</v>
      </c>
      <c r="GJ4" t="s">
        <v>2927</v>
      </c>
      <c r="GK4" t="s">
        <v>2928</v>
      </c>
      <c r="GL4" t="s">
        <v>2929</v>
      </c>
      <c r="GM4" t="s">
        <v>2930</v>
      </c>
      <c r="GN4" t="s">
        <v>2931</v>
      </c>
      <c r="GO4" t="s">
        <v>2932</v>
      </c>
      <c r="GP4" t="s">
        <v>2933</v>
      </c>
      <c r="GQ4" t="s">
        <v>2934</v>
      </c>
      <c r="GR4" t="s">
        <v>2935</v>
      </c>
      <c r="GS4" t="s">
        <v>2936</v>
      </c>
      <c r="GT4" t="s">
        <v>2937</v>
      </c>
      <c r="GU4" t="s">
        <v>2938</v>
      </c>
      <c r="GV4" t="s">
        <v>2939</v>
      </c>
      <c r="GW4" t="s">
        <v>2940</v>
      </c>
      <c r="GX4" t="s">
        <v>2941</v>
      </c>
      <c r="GY4" t="s">
        <v>2942</v>
      </c>
      <c r="GZ4" t="s">
        <v>2943</v>
      </c>
      <c r="HA4" t="s">
        <v>2944</v>
      </c>
      <c r="HB4" t="s">
        <v>2945</v>
      </c>
      <c r="HC4" t="s">
        <v>2946</v>
      </c>
      <c r="HD4" t="s">
        <v>2947</v>
      </c>
      <c r="HE4" t="s">
        <v>2948</v>
      </c>
      <c r="HF4" t="s">
        <v>2949</v>
      </c>
      <c r="HG4" t="s">
        <v>2950</v>
      </c>
      <c r="HH4" t="s">
        <v>2951</v>
      </c>
      <c r="HI4" t="s">
        <v>2952</v>
      </c>
      <c r="HJ4" t="s">
        <v>2953</v>
      </c>
      <c r="HK4" t="s">
        <v>2954</v>
      </c>
      <c r="HL4" t="s">
        <v>2955</v>
      </c>
      <c r="HM4" t="s">
        <v>2956</v>
      </c>
      <c r="HN4" t="s">
        <v>2957</v>
      </c>
      <c r="HO4" t="s">
        <v>2958</v>
      </c>
      <c r="HP4" t="s">
        <v>2959</v>
      </c>
      <c r="HQ4" t="s">
        <v>2960</v>
      </c>
      <c r="HR4" t="s">
        <v>2961</v>
      </c>
      <c r="HS4" t="s">
        <v>2962</v>
      </c>
      <c r="HT4" t="s">
        <v>2963</v>
      </c>
      <c r="HU4" t="s">
        <v>2964</v>
      </c>
      <c r="HV4" t="s">
        <v>2965</v>
      </c>
      <c r="HW4" t="s">
        <v>2966</v>
      </c>
      <c r="HX4" t="s">
        <v>2967</v>
      </c>
      <c r="HY4" t="s">
        <v>2968</v>
      </c>
      <c r="HZ4" t="s">
        <v>2969</v>
      </c>
      <c r="IA4" t="s">
        <v>2970</v>
      </c>
      <c r="IB4" t="s">
        <v>2971</v>
      </c>
      <c r="IC4" t="s">
        <v>2972</v>
      </c>
      <c r="ID4" t="s">
        <v>2973</v>
      </c>
      <c r="IE4" t="s">
        <v>2974</v>
      </c>
      <c r="IF4" t="s">
        <v>2975</v>
      </c>
      <c r="IG4" t="s">
        <v>2976</v>
      </c>
      <c r="IH4" t="s">
        <v>2977</v>
      </c>
      <c r="II4" t="s">
        <v>2978</v>
      </c>
      <c r="IJ4" t="s">
        <v>145</v>
      </c>
      <c r="IK4" t="s">
        <v>146</v>
      </c>
      <c r="IL4" t="s">
        <v>147</v>
      </c>
      <c r="IM4" t="s">
        <v>148</v>
      </c>
      <c r="IN4" t="s">
        <v>149</v>
      </c>
      <c r="IO4" t="s">
        <v>150</v>
      </c>
      <c r="IP4" t="s">
        <v>151</v>
      </c>
      <c r="IQ4" t="s">
        <v>152</v>
      </c>
      <c r="IR4" t="s">
        <v>153</v>
      </c>
      <c r="IS4" t="s">
        <v>154</v>
      </c>
      <c r="IT4" t="s">
        <v>155</v>
      </c>
      <c r="IU4" t="s">
        <v>156</v>
      </c>
      <c r="IV4" t="s">
        <v>157</v>
      </c>
      <c r="IW4" t="s">
        <v>158</v>
      </c>
      <c r="IX4" t="s">
        <v>159</v>
      </c>
      <c r="IY4" t="s">
        <v>160</v>
      </c>
      <c r="IZ4" t="s">
        <v>161</v>
      </c>
      <c r="JA4" t="s">
        <v>162</v>
      </c>
      <c r="JB4" t="s">
        <v>163</v>
      </c>
      <c r="JC4" t="s">
        <v>164</v>
      </c>
      <c r="JD4" t="s">
        <v>165</v>
      </c>
      <c r="JE4" t="s">
        <v>166</v>
      </c>
      <c r="JF4" t="s">
        <v>167</v>
      </c>
      <c r="JG4" t="s">
        <v>168</v>
      </c>
      <c r="JH4" t="s">
        <v>169</v>
      </c>
      <c r="JI4" t="s">
        <v>170</v>
      </c>
      <c r="JJ4" t="s">
        <v>171</v>
      </c>
      <c r="JK4" t="s">
        <v>172</v>
      </c>
      <c r="JL4" t="s">
        <v>173</v>
      </c>
      <c r="JM4" t="s">
        <v>174</v>
      </c>
      <c r="JN4" t="s">
        <v>175</v>
      </c>
      <c r="JO4" t="s">
        <v>176</v>
      </c>
      <c r="JP4" t="s">
        <v>177</v>
      </c>
      <c r="JQ4" t="s">
        <v>178</v>
      </c>
    </row>
    <row r="5" spans="1:277">
      <c r="A5" s="149" t="str">
        <f>HYPERLINK("http://www.ofsted.gov.uk/inspection-reports/find-inspection-report/provider/ELS/131802 ","Ofsted School Webpage")</f>
        <v>Ofsted School Webpage</v>
      </c>
      <c r="B5">
        <v>1132361</v>
      </c>
      <c r="C5">
        <v>131802</v>
      </c>
      <c r="D5">
        <v>9286067</v>
      </c>
      <c r="E5" t="s">
        <v>213</v>
      </c>
      <c r="F5" t="s">
        <v>38</v>
      </c>
      <c r="G5" t="s">
        <v>180</v>
      </c>
      <c r="H5" t="s">
        <v>214</v>
      </c>
      <c r="I5" t="s">
        <v>214</v>
      </c>
      <c r="J5" t="s">
        <v>215</v>
      </c>
      <c r="K5" t="s">
        <v>216</v>
      </c>
      <c r="L5" t="s">
        <v>184</v>
      </c>
      <c r="M5" t="s">
        <v>185</v>
      </c>
      <c r="N5" t="s">
        <v>184</v>
      </c>
      <c r="O5" t="s">
        <v>2730</v>
      </c>
      <c r="P5" t="s">
        <v>186</v>
      </c>
      <c r="Q5">
        <v>10043120</v>
      </c>
      <c r="R5" s="120">
        <v>43013</v>
      </c>
      <c r="S5" s="120">
        <v>43013</v>
      </c>
      <c r="T5" s="120">
        <v>43045</v>
      </c>
      <c r="U5" t="s">
        <v>2730</v>
      </c>
      <c r="V5" t="s">
        <v>187</v>
      </c>
      <c r="W5" t="s">
        <v>2730</v>
      </c>
      <c r="X5" t="s">
        <v>188</v>
      </c>
      <c r="Y5" t="s">
        <v>2730</v>
      </c>
      <c r="Z5" t="s">
        <v>2730</v>
      </c>
      <c r="AA5" t="s">
        <v>2730</v>
      </c>
      <c r="AB5" t="s">
        <v>2730</v>
      </c>
      <c r="AC5" t="s">
        <v>2730</v>
      </c>
      <c r="AD5" t="s">
        <v>2730</v>
      </c>
      <c r="AE5" t="s">
        <v>2730</v>
      </c>
      <c r="AF5" t="s">
        <v>2730</v>
      </c>
      <c r="AG5" t="s">
        <v>217</v>
      </c>
      <c r="AH5" t="s">
        <v>2730</v>
      </c>
      <c r="AI5" t="s">
        <v>190</v>
      </c>
      <c r="AJ5" t="s">
        <v>60</v>
      </c>
      <c r="AK5" t="s">
        <v>59</v>
      </c>
      <c r="AL5" t="s">
        <v>190</v>
      </c>
      <c r="AM5" t="s">
        <v>190</v>
      </c>
      <c r="AN5" t="s">
        <v>190</v>
      </c>
      <c r="AO5" t="s">
        <v>190</v>
      </c>
      <c r="AP5" t="s">
        <v>60</v>
      </c>
      <c r="AQ5" t="s">
        <v>190</v>
      </c>
      <c r="AR5" t="s">
        <v>190</v>
      </c>
      <c r="AS5" t="s">
        <v>190</v>
      </c>
      <c r="AT5" t="s">
        <v>190</v>
      </c>
      <c r="AU5" t="s">
        <v>190</v>
      </c>
      <c r="AV5" t="s">
        <v>190</v>
      </c>
      <c r="AW5" t="s">
        <v>190</v>
      </c>
      <c r="AX5" t="s">
        <v>190</v>
      </c>
      <c r="AY5" t="s">
        <v>218</v>
      </c>
      <c r="AZ5" t="s">
        <v>190</v>
      </c>
      <c r="BA5" t="s">
        <v>190</v>
      </c>
      <c r="BB5" t="s">
        <v>190</v>
      </c>
      <c r="BC5" t="s">
        <v>190</v>
      </c>
      <c r="BD5" t="s">
        <v>190</v>
      </c>
      <c r="BE5" t="s">
        <v>190</v>
      </c>
      <c r="BF5" t="s">
        <v>190</v>
      </c>
      <c r="BG5" t="s">
        <v>218</v>
      </c>
      <c r="BH5" t="s">
        <v>190</v>
      </c>
      <c r="BI5" t="s">
        <v>190</v>
      </c>
      <c r="BJ5" t="s">
        <v>190</v>
      </c>
      <c r="BK5" t="s">
        <v>60</v>
      </c>
      <c r="BL5" t="s">
        <v>60</v>
      </c>
      <c r="BM5" t="s">
        <v>60</v>
      </c>
      <c r="BN5" t="s">
        <v>190</v>
      </c>
      <c r="BO5" t="s">
        <v>190</v>
      </c>
      <c r="BP5" t="s">
        <v>190</v>
      </c>
      <c r="BQ5" t="s">
        <v>190</v>
      </c>
      <c r="BR5" t="s">
        <v>190</v>
      </c>
      <c r="BS5" t="s">
        <v>60</v>
      </c>
      <c r="BT5" t="s">
        <v>190</v>
      </c>
      <c r="BU5" t="s">
        <v>190</v>
      </c>
      <c r="BV5" t="s">
        <v>190</v>
      </c>
      <c r="BW5" t="s">
        <v>60</v>
      </c>
      <c r="BX5" t="s">
        <v>190</v>
      </c>
      <c r="BY5" t="s">
        <v>60</v>
      </c>
      <c r="BZ5" t="s">
        <v>190</v>
      </c>
      <c r="CA5" t="s">
        <v>190</v>
      </c>
      <c r="CB5" t="s">
        <v>60</v>
      </c>
      <c r="CC5" t="s">
        <v>190</v>
      </c>
      <c r="CD5" t="s">
        <v>190</v>
      </c>
      <c r="CE5" t="s">
        <v>190</v>
      </c>
      <c r="CF5" t="s">
        <v>190</v>
      </c>
      <c r="CG5" t="s">
        <v>190</v>
      </c>
      <c r="CH5" t="s">
        <v>190</v>
      </c>
      <c r="CI5" t="s">
        <v>190</v>
      </c>
      <c r="CJ5" t="s">
        <v>190</v>
      </c>
      <c r="CK5" t="s">
        <v>190</v>
      </c>
      <c r="CL5" t="s">
        <v>59</v>
      </c>
      <c r="CM5" t="s">
        <v>59</v>
      </c>
      <c r="CN5" t="s">
        <v>59</v>
      </c>
      <c r="CO5" t="s">
        <v>218</v>
      </c>
      <c r="CP5" t="s">
        <v>218</v>
      </c>
      <c r="CQ5" t="s">
        <v>218</v>
      </c>
      <c r="CR5" t="s">
        <v>60</v>
      </c>
      <c r="CS5" t="s">
        <v>59</v>
      </c>
      <c r="CT5" t="s">
        <v>60</v>
      </c>
      <c r="CU5" t="s">
        <v>190</v>
      </c>
      <c r="CV5" t="s">
        <v>190</v>
      </c>
      <c r="CW5" t="s">
        <v>190</v>
      </c>
      <c r="CX5" t="s">
        <v>190</v>
      </c>
      <c r="CY5" t="s">
        <v>190</v>
      </c>
      <c r="CZ5" t="s">
        <v>190</v>
      </c>
      <c r="DA5" t="s">
        <v>190</v>
      </c>
      <c r="DB5" t="s">
        <v>190</v>
      </c>
      <c r="DC5" t="s">
        <v>190</v>
      </c>
      <c r="DD5" t="s">
        <v>190</v>
      </c>
      <c r="DE5" t="s">
        <v>190</v>
      </c>
      <c r="DF5" t="s">
        <v>190</v>
      </c>
      <c r="DG5" t="s">
        <v>190</v>
      </c>
      <c r="DH5" t="s">
        <v>190</v>
      </c>
      <c r="DI5" t="s">
        <v>190</v>
      </c>
      <c r="DJ5" t="s">
        <v>190</v>
      </c>
      <c r="DK5" t="s">
        <v>190</v>
      </c>
      <c r="DL5" t="s">
        <v>190</v>
      </c>
      <c r="DM5" t="s">
        <v>190</v>
      </c>
      <c r="DN5" t="s">
        <v>190</v>
      </c>
      <c r="DO5" t="s">
        <v>190</v>
      </c>
      <c r="DP5" t="s">
        <v>190</v>
      </c>
      <c r="DQ5" t="s">
        <v>190</v>
      </c>
      <c r="DR5" t="s">
        <v>190</v>
      </c>
      <c r="DS5" t="s">
        <v>190</v>
      </c>
      <c r="DT5" t="s">
        <v>190</v>
      </c>
      <c r="DU5" t="s">
        <v>190</v>
      </c>
      <c r="DV5" t="s">
        <v>190</v>
      </c>
      <c r="DW5" t="s">
        <v>190</v>
      </c>
      <c r="DX5" t="s">
        <v>190</v>
      </c>
      <c r="DY5" t="s">
        <v>190</v>
      </c>
      <c r="DZ5" t="s">
        <v>190</v>
      </c>
      <c r="EA5" t="s">
        <v>190</v>
      </c>
      <c r="EB5" t="s">
        <v>190</v>
      </c>
      <c r="EC5" t="s">
        <v>190</v>
      </c>
      <c r="ED5" t="s">
        <v>190</v>
      </c>
      <c r="EE5" t="s">
        <v>190</v>
      </c>
      <c r="EF5" t="s">
        <v>190</v>
      </c>
      <c r="EG5" t="s">
        <v>190</v>
      </c>
      <c r="EH5" t="s">
        <v>190</v>
      </c>
      <c r="EI5" t="s">
        <v>190</v>
      </c>
      <c r="EJ5" t="s">
        <v>190</v>
      </c>
      <c r="EK5" t="s">
        <v>190</v>
      </c>
      <c r="EL5" t="s">
        <v>190</v>
      </c>
      <c r="EM5" t="s">
        <v>190</v>
      </c>
      <c r="EN5" t="s">
        <v>190</v>
      </c>
      <c r="EO5" t="s">
        <v>190</v>
      </c>
      <c r="EP5" t="s">
        <v>190</v>
      </c>
      <c r="EQ5" t="s">
        <v>190</v>
      </c>
      <c r="ER5" t="s">
        <v>190</v>
      </c>
      <c r="ES5" t="s">
        <v>190</v>
      </c>
      <c r="ET5" t="s">
        <v>190</v>
      </c>
      <c r="EU5" t="s">
        <v>190</v>
      </c>
      <c r="EV5" t="s">
        <v>190</v>
      </c>
      <c r="EW5" t="s">
        <v>190</v>
      </c>
      <c r="EX5" t="s">
        <v>190</v>
      </c>
      <c r="EY5" t="s">
        <v>190</v>
      </c>
      <c r="EZ5" t="s">
        <v>190</v>
      </c>
      <c r="FA5" t="s">
        <v>190</v>
      </c>
      <c r="FB5" t="s">
        <v>190</v>
      </c>
      <c r="FC5" t="s">
        <v>190</v>
      </c>
      <c r="FD5" t="s">
        <v>190</v>
      </c>
      <c r="FE5" t="s">
        <v>190</v>
      </c>
      <c r="FF5" t="s">
        <v>190</v>
      </c>
      <c r="FG5" t="s">
        <v>190</v>
      </c>
      <c r="FH5" t="s">
        <v>190</v>
      </c>
      <c r="FI5" t="s">
        <v>190</v>
      </c>
      <c r="FJ5" t="s">
        <v>190</v>
      </c>
      <c r="FK5" t="s">
        <v>190</v>
      </c>
      <c r="FL5" t="s">
        <v>190</v>
      </c>
      <c r="FM5" t="s">
        <v>190</v>
      </c>
      <c r="FN5" t="s">
        <v>190</v>
      </c>
      <c r="FO5" t="s">
        <v>190</v>
      </c>
      <c r="FP5" t="s">
        <v>190</v>
      </c>
      <c r="FQ5" t="s">
        <v>190</v>
      </c>
      <c r="FR5" t="s">
        <v>190</v>
      </c>
      <c r="FS5" t="s">
        <v>190</v>
      </c>
      <c r="FT5" t="s">
        <v>190</v>
      </c>
      <c r="FU5" t="s">
        <v>190</v>
      </c>
      <c r="FV5" t="s">
        <v>190</v>
      </c>
      <c r="FW5" t="s">
        <v>190</v>
      </c>
      <c r="FX5" t="s">
        <v>190</v>
      </c>
      <c r="FY5" t="s">
        <v>190</v>
      </c>
      <c r="FZ5" t="s">
        <v>190</v>
      </c>
      <c r="GA5" t="s">
        <v>190</v>
      </c>
      <c r="GB5" t="s">
        <v>190</v>
      </c>
      <c r="GC5" t="s">
        <v>190</v>
      </c>
      <c r="GD5" t="s">
        <v>190</v>
      </c>
      <c r="GE5" t="s">
        <v>190</v>
      </c>
      <c r="GF5" t="s">
        <v>190</v>
      </c>
      <c r="GG5" t="s">
        <v>190</v>
      </c>
      <c r="GH5" t="s">
        <v>190</v>
      </c>
      <c r="GI5" t="s">
        <v>190</v>
      </c>
      <c r="GJ5" t="s">
        <v>190</v>
      </c>
      <c r="GK5" t="s">
        <v>190</v>
      </c>
      <c r="GL5" t="s">
        <v>190</v>
      </c>
      <c r="GM5" t="s">
        <v>190</v>
      </c>
      <c r="GN5" t="s">
        <v>190</v>
      </c>
      <c r="GO5" t="s">
        <v>190</v>
      </c>
      <c r="GP5" t="s">
        <v>190</v>
      </c>
      <c r="GQ5" t="s">
        <v>190</v>
      </c>
      <c r="GR5" t="s">
        <v>190</v>
      </c>
      <c r="GS5" t="s">
        <v>190</v>
      </c>
      <c r="GT5" t="s">
        <v>190</v>
      </c>
      <c r="GU5" t="s">
        <v>190</v>
      </c>
      <c r="GV5" t="s">
        <v>190</v>
      </c>
      <c r="GW5" t="s">
        <v>190</v>
      </c>
      <c r="GX5" t="s">
        <v>190</v>
      </c>
      <c r="GY5" t="s">
        <v>190</v>
      </c>
      <c r="GZ5" t="s">
        <v>190</v>
      </c>
      <c r="HA5" t="s">
        <v>190</v>
      </c>
      <c r="HB5" t="s">
        <v>190</v>
      </c>
      <c r="HC5" t="s">
        <v>190</v>
      </c>
      <c r="HD5" t="s">
        <v>190</v>
      </c>
      <c r="HE5" t="s">
        <v>190</v>
      </c>
      <c r="HF5" t="s">
        <v>190</v>
      </c>
      <c r="HG5" t="s">
        <v>190</v>
      </c>
      <c r="HH5" t="s">
        <v>190</v>
      </c>
      <c r="HI5" t="s">
        <v>190</v>
      </c>
      <c r="HJ5" t="s">
        <v>190</v>
      </c>
      <c r="HK5" t="s">
        <v>190</v>
      </c>
      <c r="HL5" t="s">
        <v>190</v>
      </c>
      <c r="HM5" t="s">
        <v>190</v>
      </c>
      <c r="HN5" t="s">
        <v>190</v>
      </c>
      <c r="HO5" t="s">
        <v>190</v>
      </c>
      <c r="HP5" t="s">
        <v>190</v>
      </c>
      <c r="HQ5" t="s">
        <v>190</v>
      </c>
      <c r="HR5" t="s">
        <v>190</v>
      </c>
      <c r="HS5" t="s">
        <v>190</v>
      </c>
      <c r="HT5" t="s">
        <v>190</v>
      </c>
      <c r="HU5" t="s">
        <v>190</v>
      </c>
      <c r="HV5" t="s">
        <v>190</v>
      </c>
      <c r="HW5" t="s">
        <v>190</v>
      </c>
      <c r="HX5" t="s">
        <v>190</v>
      </c>
      <c r="HY5" t="s">
        <v>190</v>
      </c>
      <c r="HZ5" t="s">
        <v>190</v>
      </c>
      <c r="IA5" t="s">
        <v>190</v>
      </c>
      <c r="IB5" t="s">
        <v>190</v>
      </c>
      <c r="IC5" t="s">
        <v>190</v>
      </c>
      <c r="ID5" t="s">
        <v>190</v>
      </c>
      <c r="IE5" t="s">
        <v>190</v>
      </c>
      <c r="IF5" t="s">
        <v>60</v>
      </c>
      <c r="IG5" t="s">
        <v>60</v>
      </c>
      <c r="IH5" t="s">
        <v>60</v>
      </c>
      <c r="II5" t="s">
        <v>59</v>
      </c>
      <c r="IJ5" t="s">
        <v>129</v>
      </c>
      <c r="IK5" t="s">
        <v>191</v>
      </c>
      <c r="IL5" t="s">
        <v>128</v>
      </c>
      <c r="IM5" t="s">
        <v>199</v>
      </c>
      <c r="IN5" t="s">
        <v>2730</v>
      </c>
      <c r="IO5" t="s">
        <v>2730</v>
      </c>
      <c r="IP5" t="s">
        <v>2730</v>
      </c>
      <c r="IQ5">
        <v>4</v>
      </c>
      <c r="IR5" t="s">
        <v>2730</v>
      </c>
      <c r="IS5" t="s">
        <v>2730</v>
      </c>
      <c r="IT5" t="s">
        <v>2730</v>
      </c>
      <c r="IU5">
        <v>3</v>
      </c>
      <c r="IV5">
        <v>4</v>
      </c>
      <c r="IW5" t="s">
        <v>2730</v>
      </c>
      <c r="IX5" t="s">
        <v>2730</v>
      </c>
      <c r="IY5">
        <v>2</v>
      </c>
      <c r="IZ5" t="s">
        <v>2730</v>
      </c>
      <c r="JA5" t="s">
        <v>2730</v>
      </c>
      <c r="JB5" t="s">
        <v>2730</v>
      </c>
      <c r="JC5" t="s">
        <v>2730</v>
      </c>
      <c r="JD5" t="s">
        <v>2730</v>
      </c>
      <c r="JE5" t="s">
        <v>2730</v>
      </c>
      <c r="JF5" t="s">
        <v>2730</v>
      </c>
      <c r="JG5" t="s">
        <v>2730</v>
      </c>
      <c r="JH5" t="s">
        <v>2730</v>
      </c>
      <c r="JI5" t="s">
        <v>2730</v>
      </c>
      <c r="JJ5" t="s">
        <v>2730</v>
      </c>
      <c r="JK5" t="s">
        <v>2730</v>
      </c>
      <c r="JL5" t="s">
        <v>2730</v>
      </c>
      <c r="JM5" t="s">
        <v>2730</v>
      </c>
      <c r="JN5" t="s">
        <v>2730</v>
      </c>
      <c r="JO5">
        <v>1</v>
      </c>
      <c r="JP5" t="s">
        <v>2730</v>
      </c>
      <c r="JQ5">
        <v>3</v>
      </c>
    </row>
    <row r="6" spans="1:277">
      <c r="A6" s="149" t="str">
        <f>HYPERLINK("http://www.ofsted.gov.uk/inspection-reports/find-inspection-report/provider/ELS/101388 ","Ofsted School Webpage")</f>
        <v>Ofsted School Webpage</v>
      </c>
      <c r="B6">
        <v>1133044</v>
      </c>
      <c r="C6">
        <v>101388</v>
      </c>
      <c r="D6">
        <v>3026092</v>
      </c>
      <c r="E6" t="s">
        <v>316</v>
      </c>
      <c r="F6" t="s">
        <v>37</v>
      </c>
      <c r="G6" t="s">
        <v>209</v>
      </c>
      <c r="H6" t="s">
        <v>232</v>
      </c>
      <c r="I6" t="s">
        <v>232</v>
      </c>
      <c r="J6" t="s">
        <v>311</v>
      </c>
      <c r="K6" t="s">
        <v>317</v>
      </c>
      <c r="L6" t="s">
        <v>184</v>
      </c>
      <c r="M6" t="s">
        <v>185</v>
      </c>
      <c r="N6" t="s">
        <v>318</v>
      </c>
      <c r="O6" t="s">
        <v>2730</v>
      </c>
      <c r="P6" t="s">
        <v>186</v>
      </c>
      <c r="Q6">
        <v>10039751</v>
      </c>
      <c r="R6" s="120">
        <v>42991</v>
      </c>
      <c r="S6" s="120">
        <v>42991</v>
      </c>
      <c r="T6" s="120">
        <v>43045</v>
      </c>
      <c r="U6" t="s">
        <v>2730</v>
      </c>
      <c r="V6" t="s">
        <v>187</v>
      </c>
      <c r="W6" t="s">
        <v>2730</v>
      </c>
      <c r="X6" t="s">
        <v>188</v>
      </c>
      <c r="Y6" t="s">
        <v>2730</v>
      </c>
      <c r="Z6" t="s">
        <v>2730</v>
      </c>
      <c r="AA6" t="s">
        <v>2730</v>
      </c>
      <c r="AB6" t="s">
        <v>2730</v>
      </c>
      <c r="AC6" t="s">
        <v>2730</v>
      </c>
      <c r="AD6" t="s">
        <v>2730</v>
      </c>
      <c r="AE6" t="s">
        <v>2730</v>
      </c>
      <c r="AF6" t="s">
        <v>2730</v>
      </c>
      <c r="AG6" t="s">
        <v>217</v>
      </c>
      <c r="AH6" t="s">
        <v>2730</v>
      </c>
      <c r="AI6" t="s">
        <v>60</v>
      </c>
      <c r="AJ6" t="s">
        <v>59</v>
      </c>
      <c r="AK6" t="s">
        <v>59</v>
      </c>
      <c r="AL6" t="s">
        <v>59</v>
      </c>
      <c r="AM6" t="s">
        <v>190</v>
      </c>
      <c r="AN6" t="s">
        <v>60</v>
      </c>
      <c r="AO6" t="s">
        <v>190</v>
      </c>
      <c r="AP6" t="s">
        <v>60</v>
      </c>
      <c r="AQ6" t="s">
        <v>60</v>
      </c>
      <c r="AR6" t="s">
        <v>60</v>
      </c>
      <c r="AS6" t="s">
        <v>190</v>
      </c>
      <c r="AT6" t="s">
        <v>190</v>
      </c>
      <c r="AU6" t="s">
        <v>190</v>
      </c>
      <c r="AV6" t="s">
        <v>190</v>
      </c>
      <c r="AW6" t="s">
        <v>190</v>
      </c>
      <c r="AX6" t="s">
        <v>190</v>
      </c>
      <c r="AY6" t="s">
        <v>218</v>
      </c>
      <c r="AZ6" t="s">
        <v>59</v>
      </c>
      <c r="BA6" t="s">
        <v>59</v>
      </c>
      <c r="BB6" t="s">
        <v>59</v>
      </c>
      <c r="BC6" t="s">
        <v>59</v>
      </c>
      <c r="BD6" t="s">
        <v>59</v>
      </c>
      <c r="BE6" t="s">
        <v>59</v>
      </c>
      <c r="BF6" t="s">
        <v>59</v>
      </c>
      <c r="BG6" t="s">
        <v>218</v>
      </c>
      <c r="BH6" t="s">
        <v>190</v>
      </c>
      <c r="BI6" t="s">
        <v>190</v>
      </c>
      <c r="BJ6" t="s">
        <v>190</v>
      </c>
      <c r="BK6" t="s">
        <v>60</v>
      </c>
      <c r="BL6" t="s">
        <v>60</v>
      </c>
      <c r="BM6" t="s">
        <v>190</v>
      </c>
      <c r="BN6" t="s">
        <v>190</v>
      </c>
      <c r="BO6" t="s">
        <v>59</v>
      </c>
      <c r="BP6" t="s">
        <v>190</v>
      </c>
      <c r="BQ6" t="s">
        <v>190</v>
      </c>
      <c r="BR6" t="s">
        <v>60</v>
      </c>
      <c r="BS6" t="s">
        <v>190</v>
      </c>
      <c r="BT6" t="s">
        <v>190</v>
      </c>
      <c r="BU6" t="s">
        <v>190</v>
      </c>
      <c r="BV6" t="s">
        <v>190</v>
      </c>
      <c r="BW6" t="s">
        <v>59</v>
      </c>
      <c r="BX6" t="s">
        <v>190</v>
      </c>
      <c r="BY6" t="s">
        <v>59</v>
      </c>
      <c r="BZ6" t="s">
        <v>190</v>
      </c>
      <c r="CA6" t="s">
        <v>190</v>
      </c>
      <c r="CB6" t="s">
        <v>190</v>
      </c>
      <c r="CC6" t="s">
        <v>190</v>
      </c>
      <c r="CD6" t="s">
        <v>59</v>
      </c>
      <c r="CE6" t="s">
        <v>59</v>
      </c>
      <c r="CF6" t="s">
        <v>190</v>
      </c>
      <c r="CG6" t="s">
        <v>190</v>
      </c>
      <c r="CH6" t="s">
        <v>190</v>
      </c>
      <c r="CI6" t="s">
        <v>190</v>
      </c>
      <c r="CJ6" t="s">
        <v>190</v>
      </c>
      <c r="CK6" t="s">
        <v>190</v>
      </c>
      <c r="CL6" t="s">
        <v>59</v>
      </c>
      <c r="CM6" t="s">
        <v>59</v>
      </c>
      <c r="CN6" t="s">
        <v>59</v>
      </c>
      <c r="CO6" t="s">
        <v>59</v>
      </c>
      <c r="CP6" t="s">
        <v>218</v>
      </c>
      <c r="CQ6" t="s">
        <v>218</v>
      </c>
      <c r="CR6" t="s">
        <v>190</v>
      </c>
      <c r="CS6" t="s">
        <v>190</v>
      </c>
      <c r="CT6" t="s">
        <v>190</v>
      </c>
      <c r="CU6" t="s">
        <v>190</v>
      </c>
      <c r="CV6" t="s">
        <v>190</v>
      </c>
      <c r="CW6" t="s">
        <v>190</v>
      </c>
      <c r="CX6" t="s">
        <v>190</v>
      </c>
      <c r="CY6" t="s">
        <v>190</v>
      </c>
      <c r="CZ6" t="s">
        <v>190</v>
      </c>
      <c r="DA6" t="s">
        <v>190</v>
      </c>
      <c r="DB6" t="s">
        <v>190</v>
      </c>
      <c r="DC6" t="s">
        <v>190</v>
      </c>
      <c r="DD6" t="s">
        <v>190</v>
      </c>
      <c r="DE6" t="s">
        <v>59</v>
      </c>
      <c r="DF6" t="s">
        <v>59</v>
      </c>
      <c r="DG6" t="s">
        <v>59</v>
      </c>
      <c r="DH6" t="s">
        <v>59</v>
      </c>
      <c r="DI6" t="s">
        <v>59</v>
      </c>
      <c r="DJ6" t="s">
        <v>59</v>
      </c>
      <c r="DK6" t="s">
        <v>59</v>
      </c>
      <c r="DL6" t="s">
        <v>59</v>
      </c>
      <c r="DM6" t="s">
        <v>59</v>
      </c>
      <c r="DN6" t="s">
        <v>59</v>
      </c>
      <c r="DO6" t="s">
        <v>59</v>
      </c>
      <c r="DP6" t="s">
        <v>59</v>
      </c>
      <c r="DQ6" t="s">
        <v>218</v>
      </c>
      <c r="DR6" t="s">
        <v>218</v>
      </c>
      <c r="DS6" t="s">
        <v>218</v>
      </c>
      <c r="DT6" t="s">
        <v>218</v>
      </c>
      <c r="DU6" t="s">
        <v>218</v>
      </c>
      <c r="DV6" t="s">
        <v>218</v>
      </c>
      <c r="DW6" t="s">
        <v>218</v>
      </c>
      <c r="DX6" t="s">
        <v>218</v>
      </c>
      <c r="DY6" t="s">
        <v>218</v>
      </c>
      <c r="DZ6" t="s">
        <v>218</v>
      </c>
      <c r="EA6" t="s">
        <v>218</v>
      </c>
      <c r="EB6" t="s">
        <v>218</v>
      </c>
      <c r="EC6" t="s">
        <v>218</v>
      </c>
      <c r="ED6" t="s">
        <v>218</v>
      </c>
      <c r="EE6" t="s">
        <v>59</v>
      </c>
      <c r="EF6" t="s">
        <v>59</v>
      </c>
      <c r="EG6" t="s">
        <v>59</v>
      </c>
      <c r="EH6" t="s">
        <v>59</v>
      </c>
      <c r="EI6" t="s">
        <v>59</v>
      </c>
      <c r="EJ6" t="s">
        <v>59</v>
      </c>
      <c r="EK6" t="s">
        <v>59</v>
      </c>
      <c r="EL6" t="s">
        <v>59</v>
      </c>
      <c r="EM6" t="s">
        <v>59</v>
      </c>
      <c r="EN6" t="s">
        <v>59</v>
      </c>
      <c r="EO6" t="s">
        <v>59</v>
      </c>
      <c r="EP6" t="s">
        <v>59</v>
      </c>
      <c r="EQ6" t="s">
        <v>2730</v>
      </c>
      <c r="ER6" t="s">
        <v>59</v>
      </c>
      <c r="ES6" t="s">
        <v>59</v>
      </c>
      <c r="ET6" t="s">
        <v>59</v>
      </c>
      <c r="EU6" t="s">
        <v>59</v>
      </c>
      <c r="EV6" t="s">
        <v>59</v>
      </c>
      <c r="EW6" t="s">
        <v>59</v>
      </c>
      <c r="EX6" t="s">
        <v>59</v>
      </c>
      <c r="EY6" t="s">
        <v>59</v>
      </c>
      <c r="EZ6" t="s">
        <v>59</v>
      </c>
      <c r="FA6" t="s">
        <v>59</v>
      </c>
      <c r="FB6" t="s">
        <v>218</v>
      </c>
      <c r="FC6" t="s">
        <v>218</v>
      </c>
      <c r="FD6" t="s">
        <v>218</v>
      </c>
      <c r="FE6" t="s">
        <v>218</v>
      </c>
      <c r="FF6" t="s">
        <v>218</v>
      </c>
      <c r="FG6" t="s">
        <v>218</v>
      </c>
      <c r="FH6" t="s">
        <v>59</v>
      </c>
      <c r="FI6" t="s">
        <v>59</v>
      </c>
      <c r="FJ6" t="s">
        <v>59</v>
      </c>
      <c r="FK6" t="s">
        <v>59</v>
      </c>
      <c r="FL6" t="s">
        <v>190</v>
      </c>
      <c r="FM6" t="s">
        <v>190</v>
      </c>
      <c r="FN6" t="s">
        <v>218</v>
      </c>
      <c r="FO6" t="s">
        <v>190</v>
      </c>
      <c r="FP6" t="s">
        <v>190</v>
      </c>
      <c r="FQ6" t="s">
        <v>190</v>
      </c>
      <c r="FR6" t="s">
        <v>190</v>
      </c>
      <c r="FS6" t="s">
        <v>218</v>
      </c>
      <c r="FT6" t="s">
        <v>190</v>
      </c>
      <c r="FU6" t="s">
        <v>190</v>
      </c>
      <c r="FV6" t="s">
        <v>190</v>
      </c>
      <c r="FW6" t="s">
        <v>190</v>
      </c>
      <c r="FX6" t="s">
        <v>190</v>
      </c>
      <c r="FY6" t="s">
        <v>190</v>
      </c>
      <c r="FZ6" t="s">
        <v>190</v>
      </c>
      <c r="GA6" t="s">
        <v>190</v>
      </c>
      <c r="GB6" t="s">
        <v>190</v>
      </c>
      <c r="GC6" t="s">
        <v>190</v>
      </c>
      <c r="GD6" t="s">
        <v>190</v>
      </c>
      <c r="GE6" t="s">
        <v>190</v>
      </c>
      <c r="GF6" t="s">
        <v>190</v>
      </c>
      <c r="GG6" t="s">
        <v>190</v>
      </c>
      <c r="GH6" t="s">
        <v>190</v>
      </c>
      <c r="GI6" t="s">
        <v>190</v>
      </c>
      <c r="GJ6" t="s">
        <v>190</v>
      </c>
      <c r="GK6" t="s">
        <v>218</v>
      </c>
      <c r="GL6" t="s">
        <v>60</v>
      </c>
      <c r="GM6" t="s">
        <v>190</v>
      </c>
      <c r="GN6" t="s">
        <v>190</v>
      </c>
      <c r="GO6" t="s">
        <v>59</v>
      </c>
      <c r="GP6" t="s">
        <v>190</v>
      </c>
      <c r="GQ6" t="s">
        <v>190</v>
      </c>
      <c r="GR6" t="s">
        <v>60</v>
      </c>
      <c r="GS6" t="s">
        <v>59</v>
      </c>
      <c r="GT6" t="s">
        <v>218</v>
      </c>
      <c r="GU6" t="s">
        <v>218</v>
      </c>
      <c r="GV6" t="s">
        <v>190</v>
      </c>
      <c r="GW6" t="s">
        <v>190</v>
      </c>
      <c r="GX6" t="s">
        <v>190</v>
      </c>
      <c r="GY6" t="s">
        <v>190</v>
      </c>
      <c r="GZ6" t="s">
        <v>190</v>
      </c>
      <c r="HA6" t="s">
        <v>190</v>
      </c>
      <c r="HB6" t="s">
        <v>190</v>
      </c>
      <c r="HC6" t="s">
        <v>190</v>
      </c>
      <c r="HD6" t="s">
        <v>190</v>
      </c>
      <c r="HE6" t="s">
        <v>190</v>
      </c>
      <c r="HF6" t="s">
        <v>190</v>
      </c>
      <c r="HG6" t="s">
        <v>190</v>
      </c>
      <c r="HH6" t="s">
        <v>190</v>
      </c>
      <c r="HI6" t="s">
        <v>190</v>
      </c>
      <c r="HJ6" t="s">
        <v>190</v>
      </c>
      <c r="HK6" t="s">
        <v>190</v>
      </c>
      <c r="HL6" t="s">
        <v>190</v>
      </c>
      <c r="HM6" t="s">
        <v>190</v>
      </c>
      <c r="HN6" t="s">
        <v>190</v>
      </c>
      <c r="HO6" t="s">
        <v>190</v>
      </c>
      <c r="HP6" t="s">
        <v>190</v>
      </c>
      <c r="HQ6" t="s">
        <v>190</v>
      </c>
      <c r="HR6" t="s">
        <v>190</v>
      </c>
      <c r="HS6" t="s">
        <v>190</v>
      </c>
      <c r="HT6" t="s">
        <v>190</v>
      </c>
      <c r="HU6" t="s">
        <v>190</v>
      </c>
      <c r="HV6" t="s">
        <v>190</v>
      </c>
      <c r="HW6" t="s">
        <v>190</v>
      </c>
      <c r="HX6" t="s">
        <v>190</v>
      </c>
      <c r="HY6" t="s">
        <v>190</v>
      </c>
      <c r="HZ6" t="s">
        <v>2730</v>
      </c>
      <c r="IA6" t="s">
        <v>190</v>
      </c>
      <c r="IB6" t="s">
        <v>190</v>
      </c>
      <c r="IC6" t="s">
        <v>190</v>
      </c>
      <c r="ID6" t="s">
        <v>190</v>
      </c>
      <c r="IE6" t="s">
        <v>190</v>
      </c>
      <c r="IF6" t="s">
        <v>60</v>
      </c>
      <c r="IG6" t="s">
        <v>60</v>
      </c>
      <c r="IH6" t="s">
        <v>60</v>
      </c>
      <c r="II6" t="s">
        <v>59</v>
      </c>
      <c r="IJ6" t="s">
        <v>129</v>
      </c>
      <c r="IK6" t="s">
        <v>191</v>
      </c>
      <c r="IL6" t="s">
        <v>128</v>
      </c>
      <c r="IM6" t="s">
        <v>199</v>
      </c>
      <c r="IN6">
        <v>8</v>
      </c>
      <c r="IO6" t="s">
        <v>2730</v>
      </c>
      <c r="IP6" t="s">
        <v>2730</v>
      </c>
      <c r="IQ6">
        <v>5</v>
      </c>
      <c r="IR6">
        <v>4</v>
      </c>
      <c r="IS6" t="s">
        <v>2730</v>
      </c>
      <c r="IT6" t="s">
        <v>2730</v>
      </c>
      <c r="IU6" t="s">
        <v>2730</v>
      </c>
      <c r="IV6">
        <v>4</v>
      </c>
      <c r="IW6" t="s">
        <v>2730</v>
      </c>
      <c r="IX6" t="s">
        <v>2730</v>
      </c>
      <c r="IY6" t="s">
        <v>2730</v>
      </c>
      <c r="IZ6">
        <v>38</v>
      </c>
      <c r="JA6" t="s">
        <v>2730</v>
      </c>
      <c r="JB6" t="s">
        <v>2730</v>
      </c>
      <c r="JC6" t="s">
        <v>2730</v>
      </c>
      <c r="JD6" t="s">
        <v>2730</v>
      </c>
      <c r="JE6" t="s">
        <v>2730</v>
      </c>
      <c r="JF6" t="s">
        <v>2730</v>
      </c>
      <c r="JG6" t="s">
        <v>2730</v>
      </c>
      <c r="JH6">
        <v>2</v>
      </c>
      <c r="JI6" t="s">
        <v>2730</v>
      </c>
      <c r="JJ6" t="s">
        <v>2730</v>
      </c>
      <c r="JK6">
        <v>2</v>
      </c>
      <c r="JL6" t="s">
        <v>2730</v>
      </c>
      <c r="JM6" t="s">
        <v>2730</v>
      </c>
      <c r="JN6" t="s">
        <v>2730</v>
      </c>
      <c r="JO6">
        <v>1</v>
      </c>
      <c r="JP6" t="s">
        <v>2730</v>
      </c>
      <c r="JQ6">
        <v>3</v>
      </c>
    </row>
    <row r="7" spans="1:277">
      <c r="A7" s="149" t="str">
        <f>HYPERLINK("http://www.ofsted.gov.uk/inspection-reports/find-inspection-report/provider/ELS/135990 ","Ofsted School Webpage")</f>
        <v>Ofsted School Webpage</v>
      </c>
      <c r="B7">
        <v>1132041</v>
      </c>
      <c r="C7">
        <v>135990</v>
      </c>
      <c r="D7">
        <v>8226014</v>
      </c>
      <c r="E7" t="s">
        <v>487</v>
      </c>
      <c r="F7" t="s">
        <v>38</v>
      </c>
      <c r="G7" t="s">
        <v>180</v>
      </c>
      <c r="H7" t="s">
        <v>220</v>
      </c>
      <c r="I7" t="s">
        <v>220</v>
      </c>
      <c r="J7" t="s">
        <v>333</v>
      </c>
      <c r="K7" t="s">
        <v>488</v>
      </c>
      <c r="L7" t="s">
        <v>184</v>
      </c>
      <c r="M7" t="s">
        <v>185</v>
      </c>
      <c r="N7" t="s">
        <v>184</v>
      </c>
      <c r="O7" t="s">
        <v>2730</v>
      </c>
      <c r="P7" t="s">
        <v>186</v>
      </c>
      <c r="Q7">
        <v>10039487</v>
      </c>
      <c r="R7" s="120">
        <v>43025</v>
      </c>
      <c r="S7" s="120">
        <v>43025</v>
      </c>
      <c r="T7" s="120">
        <v>43066</v>
      </c>
      <c r="U7" t="s">
        <v>2730</v>
      </c>
      <c r="V7" t="s">
        <v>187</v>
      </c>
      <c r="W7" t="s">
        <v>2730</v>
      </c>
      <c r="X7" t="s">
        <v>188</v>
      </c>
      <c r="Y7" t="s">
        <v>2730</v>
      </c>
      <c r="Z7" t="s">
        <v>2730</v>
      </c>
      <c r="AA7" t="s">
        <v>2730</v>
      </c>
      <c r="AB7" t="s">
        <v>2730</v>
      </c>
      <c r="AC7" t="s">
        <v>2730</v>
      </c>
      <c r="AD7" t="s">
        <v>2730</v>
      </c>
      <c r="AE7" t="s">
        <v>2730</v>
      </c>
      <c r="AF7" t="s">
        <v>2730</v>
      </c>
      <c r="AG7" t="s">
        <v>217</v>
      </c>
      <c r="AH7" t="s">
        <v>2730</v>
      </c>
      <c r="AI7" t="s">
        <v>59</v>
      </c>
      <c r="AJ7" t="s">
        <v>190</v>
      </c>
      <c r="AK7" t="s">
        <v>59</v>
      </c>
      <c r="AL7" t="s">
        <v>59</v>
      </c>
      <c r="AM7" t="s">
        <v>190</v>
      </c>
      <c r="AN7" t="s">
        <v>190</v>
      </c>
      <c r="AO7" t="s">
        <v>190</v>
      </c>
      <c r="AP7" t="s">
        <v>60</v>
      </c>
      <c r="AQ7" t="s">
        <v>59</v>
      </c>
      <c r="AR7" t="s">
        <v>59</v>
      </c>
      <c r="AS7" t="s">
        <v>59</v>
      </c>
      <c r="AT7" t="s">
        <v>59</v>
      </c>
      <c r="AU7" t="s">
        <v>59</v>
      </c>
      <c r="AV7" t="s">
        <v>59</v>
      </c>
      <c r="AW7" t="s">
        <v>59</v>
      </c>
      <c r="AX7" t="s">
        <v>59</v>
      </c>
      <c r="AY7" t="s">
        <v>218</v>
      </c>
      <c r="AZ7" t="s">
        <v>59</v>
      </c>
      <c r="BA7" t="s">
        <v>59</v>
      </c>
      <c r="BB7" t="s">
        <v>59</v>
      </c>
      <c r="BC7" t="s">
        <v>59</v>
      </c>
      <c r="BD7" t="s">
        <v>59</v>
      </c>
      <c r="BE7" t="s">
        <v>59</v>
      </c>
      <c r="BF7" t="s">
        <v>59</v>
      </c>
      <c r="BG7" t="s">
        <v>218</v>
      </c>
      <c r="BH7" t="s">
        <v>218</v>
      </c>
      <c r="BI7" t="s">
        <v>59</v>
      </c>
      <c r="BJ7" t="s">
        <v>59</v>
      </c>
      <c r="BK7" t="s">
        <v>60</v>
      </c>
      <c r="BL7" t="s">
        <v>60</v>
      </c>
      <c r="BM7" t="s">
        <v>60</v>
      </c>
      <c r="BN7" t="s">
        <v>60</v>
      </c>
      <c r="BO7" t="s">
        <v>60</v>
      </c>
      <c r="BP7" t="s">
        <v>60</v>
      </c>
      <c r="BQ7" t="s">
        <v>60</v>
      </c>
      <c r="BR7" t="s">
        <v>59</v>
      </c>
      <c r="BS7" t="s">
        <v>60</v>
      </c>
      <c r="BT7" t="s">
        <v>59</v>
      </c>
      <c r="BU7" t="s">
        <v>59</v>
      </c>
      <c r="BV7" t="s">
        <v>59</v>
      </c>
      <c r="BW7" t="s">
        <v>190</v>
      </c>
      <c r="BX7" t="s">
        <v>190</v>
      </c>
      <c r="BY7" t="s">
        <v>190</v>
      </c>
      <c r="BZ7" t="s">
        <v>190</v>
      </c>
      <c r="CA7" t="s">
        <v>190</v>
      </c>
      <c r="CB7" t="s">
        <v>190</v>
      </c>
      <c r="CC7" t="s">
        <v>190</v>
      </c>
      <c r="CD7" t="s">
        <v>190</v>
      </c>
      <c r="CE7" t="s">
        <v>190</v>
      </c>
      <c r="CF7" t="s">
        <v>190</v>
      </c>
      <c r="CG7" t="s">
        <v>190</v>
      </c>
      <c r="CH7" t="s">
        <v>190</v>
      </c>
      <c r="CI7" t="s">
        <v>190</v>
      </c>
      <c r="CJ7" t="s">
        <v>190</v>
      </c>
      <c r="CK7" t="s">
        <v>190</v>
      </c>
      <c r="CL7" t="s">
        <v>59</v>
      </c>
      <c r="CM7" t="s">
        <v>59</v>
      </c>
      <c r="CN7" t="s">
        <v>59</v>
      </c>
      <c r="CO7" t="s">
        <v>218</v>
      </c>
      <c r="CP7" t="s">
        <v>218</v>
      </c>
      <c r="CQ7" t="s">
        <v>218</v>
      </c>
      <c r="CR7" t="s">
        <v>190</v>
      </c>
      <c r="CS7" t="s">
        <v>190</v>
      </c>
      <c r="CT7" t="s">
        <v>190</v>
      </c>
      <c r="CU7" t="s">
        <v>190</v>
      </c>
      <c r="CV7" t="s">
        <v>190</v>
      </c>
      <c r="CW7" t="s">
        <v>190</v>
      </c>
      <c r="CX7" t="s">
        <v>190</v>
      </c>
      <c r="CY7" t="s">
        <v>190</v>
      </c>
      <c r="CZ7" t="s">
        <v>190</v>
      </c>
      <c r="DA7" t="s">
        <v>190</v>
      </c>
      <c r="DB7" t="s">
        <v>59</v>
      </c>
      <c r="DC7" t="s">
        <v>59</v>
      </c>
      <c r="DD7" t="s">
        <v>59</v>
      </c>
      <c r="DE7" t="s">
        <v>59</v>
      </c>
      <c r="DF7" t="s">
        <v>59</v>
      </c>
      <c r="DG7" t="s">
        <v>59</v>
      </c>
      <c r="DH7" t="s">
        <v>59</v>
      </c>
      <c r="DI7" t="s">
        <v>59</v>
      </c>
      <c r="DJ7" t="s">
        <v>59</v>
      </c>
      <c r="DK7" t="s">
        <v>59</v>
      </c>
      <c r="DL7" t="s">
        <v>59</v>
      </c>
      <c r="DM7" t="s">
        <v>59</v>
      </c>
      <c r="DN7" t="s">
        <v>59</v>
      </c>
      <c r="DO7" t="s">
        <v>218</v>
      </c>
      <c r="DP7" t="s">
        <v>59</v>
      </c>
      <c r="DQ7" t="s">
        <v>218</v>
      </c>
      <c r="DR7" t="s">
        <v>218</v>
      </c>
      <c r="DS7" t="s">
        <v>218</v>
      </c>
      <c r="DT7" t="s">
        <v>218</v>
      </c>
      <c r="DU7" t="s">
        <v>218</v>
      </c>
      <c r="DV7" t="s">
        <v>218</v>
      </c>
      <c r="DW7" t="s">
        <v>218</v>
      </c>
      <c r="DX7" t="s">
        <v>218</v>
      </c>
      <c r="DY7" t="s">
        <v>218</v>
      </c>
      <c r="DZ7" t="s">
        <v>218</v>
      </c>
      <c r="EA7" t="s">
        <v>218</v>
      </c>
      <c r="EB7" t="s">
        <v>218</v>
      </c>
      <c r="EC7" t="s">
        <v>218</v>
      </c>
      <c r="ED7" t="s">
        <v>218</v>
      </c>
      <c r="EE7" t="s">
        <v>218</v>
      </c>
      <c r="EF7" t="s">
        <v>218</v>
      </c>
      <c r="EG7" t="s">
        <v>218</v>
      </c>
      <c r="EH7" t="s">
        <v>218</v>
      </c>
      <c r="EI7" t="s">
        <v>218</v>
      </c>
      <c r="EJ7" t="s">
        <v>218</v>
      </c>
      <c r="EK7" t="s">
        <v>218</v>
      </c>
      <c r="EL7" t="s">
        <v>218</v>
      </c>
      <c r="EM7" t="s">
        <v>218</v>
      </c>
      <c r="EN7" t="s">
        <v>59</v>
      </c>
      <c r="EO7" t="s">
        <v>59</v>
      </c>
      <c r="EP7" t="s">
        <v>59</v>
      </c>
      <c r="EQ7" t="s">
        <v>59</v>
      </c>
      <c r="ER7" t="s">
        <v>59</v>
      </c>
      <c r="ES7" t="s">
        <v>59</v>
      </c>
      <c r="ET7" t="s">
        <v>59</v>
      </c>
      <c r="EU7" t="s">
        <v>59</v>
      </c>
      <c r="EV7" t="s">
        <v>59</v>
      </c>
      <c r="EW7" t="s">
        <v>59</v>
      </c>
      <c r="EX7" t="s">
        <v>59</v>
      </c>
      <c r="EY7" t="s">
        <v>59</v>
      </c>
      <c r="EZ7" t="s">
        <v>59</v>
      </c>
      <c r="FA7" t="s">
        <v>218</v>
      </c>
      <c r="FB7" t="s">
        <v>218</v>
      </c>
      <c r="FC7" t="s">
        <v>218</v>
      </c>
      <c r="FD7" t="s">
        <v>218</v>
      </c>
      <c r="FE7" t="s">
        <v>218</v>
      </c>
      <c r="FF7" t="s">
        <v>218</v>
      </c>
      <c r="FG7" t="s">
        <v>218</v>
      </c>
      <c r="FH7" t="s">
        <v>218</v>
      </c>
      <c r="FI7" t="s">
        <v>218</v>
      </c>
      <c r="FJ7" t="s">
        <v>218</v>
      </c>
      <c r="FK7" t="s">
        <v>218</v>
      </c>
      <c r="FL7" t="s">
        <v>190</v>
      </c>
      <c r="FM7" t="s">
        <v>190</v>
      </c>
      <c r="FN7" t="s">
        <v>190</v>
      </c>
      <c r="FO7" t="s">
        <v>190</v>
      </c>
      <c r="FP7" t="s">
        <v>190</v>
      </c>
      <c r="FQ7" t="s">
        <v>190</v>
      </c>
      <c r="FR7" t="s">
        <v>190</v>
      </c>
      <c r="FS7" t="s">
        <v>190</v>
      </c>
      <c r="FT7" t="s">
        <v>190</v>
      </c>
      <c r="FU7" t="s">
        <v>190</v>
      </c>
      <c r="FV7" t="s">
        <v>190</v>
      </c>
      <c r="FW7" t="s">
        <v>190</v>
      </c>
      <c r="FX7" t="s">
        <v>190</v>
      </c>
      <c r="FY7" t="s">
        <v>190</v>
      </c>
      <c r="FZ7" t="s">
        <v>190</v>
      </c>
      <c r="GA7" t="s">
        <v>190</v>
      </c>
      <c r="GB7" t="s">
        <v>190</v>
      </c>
      <c r="GC7" t="s">
        <v>190</v>
      </c>
      <c r="GD7" t="s">
        <v>190</v>
      </c>
      <c r="GE7" t="s">
        <v>190</v>
      </c>
      <c r="GF7" t="s">
        <v>190</v>
      </c>
      <c r="GG7" t="s">
        <v>190</v>
      </c>
      <c r="GH7" t="s">
        <v>190</v>
      </c>
      <c r="GI7" t="s">
        <v>190</v>
      </c>
      <c r="GJ7" t="s">
        <v>190</v>
      </c>
      <c r="GK7" t="s">
        <v>218</v>
      </c>
      <c r="GL7" t="s">
        <v>190</v>
      </c>
      <c r="GM7" t="s">
        <v>190</v>
      </c>
      <c r="GN7" t="s">
        <v>190</v>
      </c>
      <c r="GO7" t="s">
        <v>59</v>
      </c>
      <c r="GP7" t="s">
        <v>218</v>
      </c>
      <c r="GQ7" t="s">
        <v>218</v>
      </c>
      <c r="GR7" t="s">
        <v>190</v>
      </c>
      <c r="GS7" t="s">
        <v>190</v>
      </c>
      <c r="GT7" t="s">
        <v>190</v>
      </c>
      <c r="GU7" t="s">
        <v>190</v>
      </c>
      <c r="GV7" t="s">
        <v>190</v>
      </c>
      <c r="GW7" t="s">
        <v>190</v>
      </c>
      <c r="GX7" t="s">
        <v>190</v>
      </c>
      <c r="GY7" t="s">
        <v>190</v>
      </c>
      <c r="GZ7" t="s">
        <v>190</v>
      </c>
      <c r="HA7" t="s">
        <v>190</v>
      </c>
      <c r="HB7" t="s">
        <v>190</v>
      </c>
      <c r="HC7" t="s">
        <v>190</v>
      </c>
      <c r="HD7" t="s">
        <v>190</v>
      </c>
      <c r="HE7" t="s">
        <v>190</v>
      </c>
      <c r="HF7" t="s">
        <v>190</v>
      </c>
      <c r="HG7" t="s">
        <v>190</v>
      </c>
      <c r="HH7" t="s">
        <v>190</v>
      </c>
      <c r="HI7" t="s">
        <v>190</v>
      </c>
      <c r="HJ7" t="s">
        <v>190</v>
      </c>
      <c r="HK7" t="s">
        <v>190</v>
      </c>
      <c r="HL7" t="s">
        <v>190</v>
      </c>
      <c r="HM7" t="s">
        <v>190</v>
      </c>
      <c r="HN7" t="s">
        <v>190</v>
      </c>
      <c r="HO7" t="s">
        <v>190</v>
      </c>
      <c r="HP7" t="s">
        <v>190</v>
      </c>
      <c r="HQ7" t="s">
        <v>190</v>
      </c>
      <c r="HR7" t="s">
        <v>190</v>
      </c>
      <c r="HS7" t="s">
        <v>190</v>
      </c>
      <c r="HT7" t="s">
        <v>190</v>
      </c>
      <c r="HU7" t="s">
        <v>190</v>
      </c>
      <c r="HV7" t="s">
        <v>190</v>
      </c>
      <c r="HW7" t="s">
        <v>190</v>
      </c>
      <c r="HX7" t="s">
        <v>190</v>
      </c>
      <c r="HY7" t="s">
        <v>190</v>
      </c>
      <c r="HZ7" t="s">
        <v>190</v>
      </c>
      <c r="IA7" t="s">
        <v>190</v>
      </c>
      <c r="IB7" t="s">
        <v>190</v>
      </c>
      <c r="IC7" t="s">
        <v>190</v>
      </c>
      <c r="ID7" t="s">
        <v>190</v>
      </c>
      <c r="IE7" t="s">
        <v>190</v>
      </c>
      <c r="IF7" t="s">
        <v>60</v>
      </c>
      <c r="IG7" t="s">
        <v>60</v>
      </c>
      <c r="IH7" t="s">
        <v>60</v>
      </c>
      <c r="II7" t="s">
        <v>59</v>
      </c>
      <c r="IJ7" t="s">
        <v>129</v>
      </c>
      <c r="IK7" t="s">
        <v>191</v>
      </c>
      <c r="IL7" t="s">
        <v>128</v>
      </c>
      <c r="IM7" t="s">
        <v>199</v>
      </c>
      <c r="IN7">
        <v>21</v>
      </c>
      <c r="IO7" t="s">
        <v>2730</v>
      </c>
      <c r="IP7" t="s">
        <v>2730</v>
      </c>
      <c r="IQ7">
        <v>8</v>
      </c>
      <c r="IR7" t="s">
        <v>2730</v>
      </c>
      <c r="IS7" t="s">
        <v>2730</v>
      </c>
      <c r="IT7" t="s">
        <v>2730</v>
      </c>
      <c r="IU7" t="s">
        <v>2730</v>
      </c>
      <c r="IV7">
        <v>6</v>
      </c>
      <c r="IW7" t="s">
        <v>2730</v>
      </c>
      <c r="IX7" t="s">
        <v>2730</v>
      </c>
      <c r="IY7" t="s">
        <v>2730</v>
      </c>
      <c r="IZ7">
        <v>24</v>
      </c>
      <c r="JA7" t="s">
        <v>2730</v>
      </c>
      <c r="JB7" t="s">
        <v>2730</v>
      </c>
      <c r="JC7" t="s">
        <v>2730</v>
      </c>
      <c r="JD7" t="s">
        <v>2730</v>
      </c>
      <c r="JE7" t="s">
        <v>2730</v>
      </c>
      <c r="JF7" t="s">
        <v>2730</v>
      </c>
      <c r="JG7" t="s">
        <v>2730</v>
      </c>
      <c r="JH7">
        <v>1</v>
      </c>
      <c r="JI7" t="s">
        <v>2730</v>
      </c>
      <c r="JJ7" t="s">
        <v>2730</v>
      </c>
      <c r="JK7" t="s">
        <v>2730</v>
      </c>
      <c r="JL7" t="s">
        <v>2730</v>
      </c>
      <c r="JM7" t="s">
        <v>2730</v>
      </c>
      <c r="JN7" t="s">
        <v>2730</v>
      </c>
      <c r="JO7">
        <v>1</v>
      </c>
      <c r="JP7" t="s">
        <v>2730</v>
      </c>
      <c r="JQ7">
        <v>3</v>
      </c>
    </row>
    <row r="8" spans="1:277">
      <c r="A8" s="149" t="str">
        <f>HYPERLINK("http://www.ofsted.gov.uk/inspection-reports/find-inspection-report/provider/ELS/107461 ","Ofsted School Webpage")</f>
        <v>Ofsted School Webpage</v>
      </c>
      <c r="B8">
        <v>1133115</v>
      </c>
      <c r="C8">
        <v>107461</v>
      </c>
      <c r="D8">
        <v>3806110</v>
      </c>
      <c r="E8" t="s">
        <v>2270</v>
      </c>
      <c r="F8" t="s">
        <v>37</v>
      </c>
      <c r="G8" t="s">
        <v>209</v>
      </c>
      <c r="H8" t="s">
        <v>245</v>
      </c>
      <c r="I8" t="s">
        <v>246</v>
      </c>
      <c r="J8" t="s">
        <v>339</v>
      </c>
      <c r="K8" t="s">
        <v>2271</v>
      </c>
      <c r="L8" t="s">
        <v>184</v>
      </c>
      <c r="M8" t="s">
        <v>185</v>
      </c>
      <c r="N8" t="s">
        <v>212</v>
      </c>
      <c r="O8" t="s">
        <v>2730</v>
      </c>
      <c r="P8" t="s">
        <v>186</v>
      </c>
      <c r="Q8">
        <v>10041417</v>
      </c>
      <c r="R8" s="120">
        <v>43041</v>
      </c>
      <c r="S8" s="120">
        <v>43041</v>
      </c>
      <c r="T8" s="120">
        <v>43082</v>
      </c>
      <c r="U8" t="s">
        <v>2730</v>
      </c>
      <c r="V8" t="s">
        <v>187</v>
      </c>
      <c r="W8" t="s">
        <v>2730</v>
      </c>
      <c r="X8" t="s">
        <v>188</v>
      </c>
      <c r="Y8" t="s">
        <v>2730</v>
      </c>
      <c r="Z8" t="s">
        <v>2730</v>
      </c>
      <c r="AA8" t="s">
        <v>2730</v>
      </c>
      <c r="AB8" t="s">
        <v>2730</v>
      </c>
      <c r="AC8" t="s">
        <v>2730</v>
      </c>
      <c r="AD8" t="s">
        <v>2730</v>
      </c>
      <c r="AE8" t="s">
        <v>2730</v>
      </c>
      <c r="AF8" t="s">
        <v>2730</v>
      </c>
      <c r="AG8" t="s">
        <v>189</v>
      </c>
      <c r="AH8" t="s">
        <v>2730</v>
      </c>
      <c r="AI8" t="s">
        <v>190</v>
      </c>
      <c r="AJ8" t="s">
        <v>190</v>
      </c>
      <c r="AK8" t="s">
        <v>59</v>
      </c>
      <c r="AL8" t="s">
        <v>190</v>
      </c>
      <c r="AM8" t="s">
        <v>190</v>
      </c>
      <c r="AN8" t="s">
        <v>190</v>
      </c>
      <c r="AO8" t="s">
        <v>190</v>
      </c>
      <c r="AP8" t="s">
        <v>59</v>
      </c>
      <c r="AQ8" t="s">
        <v>190</v>
      </c>
      <c r="AR8" t="s">
        <v>190</v>
      </c>
      <c r="AS8" t="s">
        <v>190</v>
      </c>
      <c r="AT8" t="s">
        <v>190</v>
      </c>
      <c r="AU8" t="s">
        <v>190</v>
      </c>
      <c r="AV8" t="s">
        <v>190</v>
      </c>
      <c r="AW8" t="s">
        <v>190</v>
      </c>
      <c r="AX8" t="s">
        <v>190</v>
      </c>
      <c r="AY8" t="s">
        <v>190</v>
      </c>
      <c r="AZ8" t="s">
        <v>190</v>
      </c>
      <c r="BA8" t="s">
        <v>190</v>
      </c>
      <c r="BB8" t="s">
        <v>190</v>
      </c>
      <c r="BC8" t="s">
        <v>190</v>
      </c>
      <c r="BD8" t="s">
        <v>190</v>
      </c>
      <c r="BE8" t="s">
        <v>190</v>
      </c>
      <c r="BF8" t="s">
        <v>190</v>
      </c>
      <c r="BG8" t="s">
        <v>190</v>
      </c>
      <c r="BH8" t="s">
        <v>190</v>
      </c>
      <c r="BI8" t="s">
        <v>190</v>
      </c>
      <c r="BJ8" t="s">
        <v>190</v>
      </c>
      <c r="BK8" t="s">
        <v>190</v>
      </c>
      <c r="BL8" t="s">
        <v>190</v>
      </c>
      <c r="BM8" t="s">
        <v>190</v>
      </c>
      <c r="BN8" t="s">
        <v>190</v>
      </c>
      <c r="BO8" t="s">
        <v>190</v>
      </c>
      <c r="BP8" t="s">
        <v>190</v>
      </c>
      <c r="BQ8" t="s">
        <v>190</v>
      </c>
      <c r="BR8" t="s">
        <v>190</v>
      </c>
      <c r="BS8" t="s">
        <v>190</v>
      </c>
      <c r="BT8" t="s">
        <v>190</v>
      </c>
      <c r="BU8" t="s">
        <v>190</v>
      </c>
      <c r="BV8" t="s">
        <v>190</v>
      </c>
      <c r="BW8" t="s">
        <v>190</v>
      </c>
      <c r="BX8" t="s">
        <v>190</v>
      </c>
      <c r="BY8" t="s">
        <v>190</v>
      </c>
      <c r="BZ8" t="s">
        <v>190</v>
      </c>
      <c r="CA8" t="s">
        <v>190</v>
      </c>
      <c r="CB8" t="s">
        <v>190</v>
      </c>
      <c r="CC8" t="s">
        <v>190</v>
      </c>
      <c r="CD8" t="s">
        <v>190</v>
      </c>
      <c r="CE8" t="s">
        <v>190</v>
      </c>
      <c r="CF8" t="s">
        <v>190</v>
      </c>
      <c r="CG8" t="s">
        <v>190</v>
      </c>
      <c r="CH8" t="s">
        <v>190</v>
      </c>
      <c r="CI8" t="s">
        <v>190</v>
      </c>
      <c r="CJ8" t="s">
        <v>190</v>
      </c>
      <c r="CK8" t="s">
        <v>190</v>
      </c>
      <c r="CL8" t="s">
        <v>59</v>
      </c>
      <c r="CM8" t="s">
        <v>59</v>
      </c>
      <c r="CN8" t="s">
        <v>59</v>
      </c>
      <c r="CO8" t="s">
        <v>218</v>
      </c>
      <c r="CP8" t="s">
        <v>218</v>
      </c>
      <c r="CQ8" t="s">
        <v>218</v>
      </c>
      <c r="CR8" t="s">
        <v>190</v>
      </c>
      <c r="CS8" t="s">
        <v>190</v>
      </c>
      <c r="CT8" t="s">
        <v>190</v>
      </c>
      <c r="CU8" t="s">
        <v>190</v>
      </c>
      <c r="CV8" t="s">
        <v>190</v>
      </c>
      <c r="CW8" t="s">
        <v>190</v>
      </c>
      <c r="CX8" t="s">
        <v>190</v>
      </c>
      <c r="CY8" t="s">
        <v>190</v>
      </c>
      <c r="CZ8" t="s">
        <v>190</v>
      </c>
      <c r="DA8" t="s">
        <v>190</v>
      </c>
      <c r="DB8" t="s">
        <v>190</v>
      </c>
      <c r="DC8" t="s">
        <v>190</v>
      </c>
      <c r="DD8" t="s">
        <v>190</v>
      </c>
      <c r="DE8" t="s">
        <v>190</v>
      </c>
      <c r="DF8" t="s">
        <v>190</v>
      </c>
      <c r="DG8" t="s">
        <v>190</v>
      </c>
      <c r="DH8" t="s">
        <v>190</v>
      </c>
      <c r="DI8" t="s">
        <v>190</v>
      </c>
      <c r="DJ8" t="s">
        <v>190</v>
      </c>
      <c r="DK8" t="s">
        <v>190</v>
      </c>
      <c r="DL8" t="s">
        <v>190</v>
      </c>
      <c r="DM8" t="s">
        <v>190</v>
      </c>
      <c r="DN8" t="s">
        <v>190</v>
      </c>
      <c r="DO8" t="s">
        <v>190</v>
      </c>
      <c r="DP8" t="s">
        <v>190</v>
      </c>
      <c r="DQ8" t="s">
        <v>190</v>
      </c>
      <c r="DR8" t="s">
        <v>190</v>
      </c>
      <c r="DS8" t="s">
        <v>190</v>
      </c>
      <c r="DT8" t="s">
        <v>190</v>
      </c>
      <c r="DU8" t="s">
        <v>190</v>
      </c>
      <c r="DV8" t="s">
        <v>190</v>
      </c>
      <c r="DW8" t="s">
        <v>190</v>
      </c>
      <c r="DX8" t="s">
        <v>190</v>
      </c>
      <c r="DY8" t="s">
        <v>190</v>
      </c>
      <c r="DZ8" t="s">
        <v>190</v>
      </c>
      <c r="EA8" t="s">
        <v>190</v>
      </c>
      <c r="EB8" t="s">
        <v>190</v>
      </c>
      <c r="EC8" t="s">
        <v>190</v>
      </c>
      <c r="ED8" t="s">
        <v>190</v>
      </c>
      <c r="EE8" t="s">
        <v>190</v>
      </c>
      <c r="EF8" t="s">
        <v>190</v>
      </c>
      <c r="EG8" t="s">
        <v>190</v>
      </c>
      <c r="EH8" t="s">
        <v>190</v>
      </c>
      <c r="EI8" t="s">
        <v>190</v>
      </c>
      <c r="EJ8" t="s">
        <v>190</v>
      </c>
      <c r="EK8" t="s">
        <v>190</v>
      </c>
      <c r="EL8" t="s">
        <v>190</v>
      </c>
      <c r="EM8" t="s">
        <v>190</v>
      </c>
      <c r="EN8" t="s">
        <v>190</v>
      </c>
      <c r="EO8" t="s">
        <v>190</v>
      </c>
      <c r="EP8" t="s">
        <v>190</v>
      </c>
      <c r="EQ8" t="s">
        <v>190</v>
      </c>
      <c r="ER8" t="s">
        <v>190</v>
      </c>
      <c r="ES8" t="s">
        <v>190</v>
      </c>
      <c r="ET8" t="s">
        <v>190</v>
      </c>
      <c r="EU8" t="s">
        <v>190</v>
      </c>
      <c r="EV8" t="s">
        <v>190</v>
      </c>
      <c r="EW8" t="s">
        <v>190</v>
      </c>
      <c r="EX8" t="s">
        <v>190</v>
      </c>
      <c r="EY8" t="s">
        <v>190</v>
      </c>
      <c r="EZ8" t="s">
        <v>190</v>
      </c>
      <c r="FA8" t="s">
        <v>190</v>
      </c>
      <c r="FB8" t="s">
        <v>190</v>
      </c>
      <c r="FC8" t="s">
        <v>190</v>
      </c>
      <c r="FD8" t="s">
        <v>190</v>
      </c>
      <c r="FE8" t="s">
        <v>190</v>
      </c>
      <c r="FF8" t="s">
        <v>190</v>
      </c>
      <c r="FG8" t="s">
        <v>190</v>
      </c>
      <c r="FH8" t="s">
        <v>190</v>
      </c>
      <c r="FI8" t="s">
        <v>190</v>
      </c>
      <c r="FJ8" t="s">
        <v>190</v>
      </c>
      <c r="FK8" t="s">
        <v>190</v>
      </c>
      <c r="FL8" t="s">
        <v>190</v>
      </c>
      <c r="FM8" t="s">
        <v>190</v>
      </c>
      <c r="FN8" t="s">
        <v>190</v>
      </c>
      <c r="FO8" t="s">
        <v>190</v>
      </c>
      <c r="FP8" t="s">
        <v>190</v>
      </c>
      <c r="FQ8" t="s">
        <v>190</v>
      </c>
      <c r="FR8" t="s">
        <v>190</v>
      </c>
      <c r="FS8" t="s">
        <v>190</v>
      </c>
      <c r="FT8" t="s">
        <v>190</v>
      </c>
      <c r="FU8" t="s">
        <v>190</v>
      </c>
      <c r="FV8" t="s">
        <v>190</v>
      </c>
      <c r="FW8" t="s">
        <v>190</v>
      </c>
      <c r="FX8" t="s">
        <v>190</v>
      </c>
      <c r="FY8" t="s">
        <v>190</v>
      </c>
      <c r="FZ8" t="s">
        <v>190</v>
      </c>
      <c r="GA8" t="s">
        <v>190</v>
      </c>
      <c r="GB8" t="s">
        <v>190</v>
      </c>
      <c r="GC8" t="s">
        <v>190</v>
      </c>
      <c r="GD8" t="s">
        <v>190</v>
      </c>
      <c r="GE8" t="s">
        <v>190</v>
      </c>
      <c r="GF8" t="s">
        <v>190</v>
      </c>
      <c r="GG8" t="s">
        <v>190</v>
      </c>
      <c r="GH8" t="s">
        <v>190</v>
      </c>
      <c r="GI8" t="s">
        <v>190</v>
      </c>
      <c r="GJ8" t="s">
        <v>190</v>
      </c>
      <c r="GK8" t="s">
        <v>190</v>
      </c>
      <c r="GL8" t="s">
        <v>190</v>
      </c>
      <c r="GM8" t="s">
        <v>190</v>
      </c>
      <c r="GN8" t="s">
        <v>190</v>
      </c>
      <c r="GO8" t="s">
        <v>190</v>
      </c>
      <c r="GP8" t="s">
        <v>190</v>
      </c>
      <c r="GQ8" t="s">
        <v>190</v>
      </c>
      <c r="GR8" t="s">
        <v>190</v>
      </c>
      <c r="GS8" t="s">
        <v>190</v>
      </c>
      <c r="GT8" t="s">
        <v>190</v>
      </c>
      <c r="GU8" t="s">
        <v>190</v>
      </c>
      <c r="GV8" t="s">
        <v>190</v>
      </c>
      <c r="GW8" t="s">
        <v>59</v>
      </c>
      <c r="GX8" t="s">
        <v>59</v>
      </c>
      <c r="GY8" t="s">
        <v>59</v>
      </c>
      <c r="GZ8" t="s">
        <v>59</v>
      </c>
      <c r="HA8" t="s">
        <v>59</v>
      </c>
      <c r="HB8" t="s">
        <v>59</v>
      </c>
      <c r="HC8" t="s">
        <v>190</v>
      </c>
      <c r="HD8" t="s">
        <v>190</v>
      </c>
      <c r="HE8" t="s">
        <v>190</v>
      </c>
      <c r="HF8" t="s">
        <v>190</v>
      </c>
      <c r="HG8" t="s">
        <v>190</v>
      </c>
      <c r="HH8" t="s">
        <v>190</v>
      </c>
      <c r="HI8" t="s">
        <v>190</v>
      </c>
      <c r="HJ8" t="s">
        <v>190</v>
      </c>
      <c r="HK8" t="s">
        <v>190</v>
      </c>
      <c r="HL8" t="s">
        <v>190</v>
      </c>
      <c r="HM8" t="s">
        <v>190</v>
      </c>
      <c r="HN8" t="s">
        <v>190</v>
      </c>
      <c r="HO8" t="s">
        <v>190</v>
      </c>
      <c r="HP8" t="s">
        <v>190</v>
      </c>
      <c r="HQ8" t="s">
        <v>190</v>
      </c>
      <c r="HR8" t="s">
        <v>190</v>
      </c>
      <c r="HS8" t="s">
        <v>190</v>
      </c>
      <c r="HT8" t="s">
        <v>190</v>
      </c>
      <c r="HU8" t="s">
        <v>190</v>
      </c>
      <c r="HV8" t="s">
        <v>190</v>
      </c>
      <c r="HW8" t="s">
        <v>190</v>
      </c>
      <c r="HX8" t="s">
        <v>190</v>
      </c>
      <c r="HY8" t="s">
        <v>190</v>
      </c>
      <c r="HZ8" t="s">
        <v>190</v>
      </c>
      <c r="IA8" t="s">
        <v>190</v>
      </c>
      <c r="IB8" t="s">
        <v>190</v>
      </c>
      <c r="IC8" t="s">
        <v>190</v>
      </c>
      <c r="ID8" t="s">
        <v>190</v>
      </c>
      <c r="IE8" t="s">
        <v>190</v>
      </c>
      <c r="IF8" t="s">
        <v>59</v>
      </c>
      <c r="IG8" t="s">
        <v>59</v>
      </c>
      <c r="IH8" t="s">
        <v>59</v>
      </c>
      <c r="II8" t="s">
        <v>59</v>
      </c>
      <c r="IJ8" t="s">
        <v>129</v>
      </c>
      <c r="IK8" t="s">
        <v>191</v>
      </c>
      <c r="IL8" t="s">
        <v>128</v>
      </c>
      <c r="IM8" t="s">
        <v>199</v>
      </c>
      <c r="IN8" t="s">
        <v>2730</v>
      </c>
      <c r="IO8" t="s">
        <v>2730</v>
      </c>
      <c r="IP8" t="s">
        <v>2730</v>
      </c>
      <c r="IQ8" t="s">
        <v>2730</v>
      </c>
      <c r="IR8" t="s">
        <v>2730</v>
      </c>
      <c r="IS8" t="s">
        <v>2730</v>
      </c>
      <c r="IT8" t="s">
        <v>2730</v>
      </c>
      <c r="IU8" t="s">
        <v>2730</v>
      </c>
      <c r="IV8">
        <v>3</v>
      </c>
      <c r="IW8" t="s">
        <v>2730</v>
      </c>
      <c r="IX8" t="s">
        <v>2730</v>
      </c>
      <c r="IY8" t="s">
        <v>2730</v>
      </c>
      <c r="IZ8" t="s">
        <v>2730</v>
      </c>
      <c r="JA8" t="s">
        <v>2730</v>
      </c>
      <c r="JB8" t="s">
        <v>2730</v>
      </c>
      <c r="JC8" t="s">
        <v>2730</v>
      </c>
      <c r="JD8" t="s">
        <v>2730</v>
      </c>
      <c r="JE8" t="s">
        <v>2730</v>
      </c>
      <c r="JF8" t="s">
        <v>2730</v>
      </c>
      <c r="JG8" t="s">
        <v>2730</v>
      </c>
      <c r="JH8">
        <v>6</v>
      </c>
      <c r="JI8" t="s">
        <v>2730</v>
      </c>
      <c r="JJ8" t="s">
        <v>2730</v>
      </c>
      <c r="JK8" t="s">
        <v>2730</v>
      </c>
      <c r="JL8" t="s">
        <v>2730</v>
      </c>
      <c r="JM8" t="s">
        <v>2730</v>
      </c>
      <c r="JN8" t="s">
        <v>2730</v>
      </c>
      <c r="JO8">
        <v>4</v>
      </c>
      <c r="JP8" t="s">
        <v>2730</v>
      </c>
      <c r="JQ8" t="s">
        <v>2730</v>
      </c>
    </row>
    <row r="9" spans="1:277">
      <c r="A9" s="149" t="str">
        <f>HYPERLINK("http://www.ofsted.gov.uk/inspection-reports/find-inspection-report/provider/ELS/133989 ","Ofsted School Webpage")</f>
        <v>Ofsted School Webpage</v>
      </c>
      <c r="B9">
        <v>1132112</v>
      </c>
      <c r="C9">
        <v>133989</v>
      </c>
      <c r="D9">
        <v>8606026</v>
      </c>
      <c r="E9" t="s">
        <v>325</v>
      </c>
      <c r="F9" t="s">
        <v>38</v>
      </c>
      <c r="G9" t="s">
        <v>180</v>
      </c>
      <c r="H9" t="s">
        <v>193</v>
      </c>
      <c r="I9" t="s">
        <v>193</v>
      </c>
      <c r="J9" t="s">
        <v>314</v>
      </c>
      <c r="K9" t="s">
        <v>326</v>
      </c>
      <c r="L9" t="s">
        <v>184</v>
      </c>
      <c r="M9" t="s">
        <v>185</v>
      </c>
      <c r="N9" t="s">
        <v>184</v>
      </c>
      <c r="O9" t="s">
        <v>2730</v>
      </c>
      <c r="P9" t="s">
        <v>186</v>
      </c>
      <c r="Q9">
        <v>10040567</v>
      </c>
      <c r="R9" s="120">
        <v>42998</v>
      </c>
      <c r="S9" s="120">
        <v>42998</v>
      </c>
      <c r="T9" s="120">
        <v>43025</v>
      </c>
      <c r="U9" t="s">
        <v>2730</v>
      </c>
      <c r="V9" t="s">
        <v>187</v>
      </c>
      <c r="W9" t="s">
        <v>2730</v>
      </c>
      <c r="X9" t="s">
        <v>188</v>
      </c>
      <c r="Y9" t="s">
        <v>2730</v>
      </c>
      <c r="Z9" t="s">
        <v>2730</v>
      </c>
      <c r="AA9" t="s">
        <v>2730</v>
      </c>
      <c r="AB9" t="s">
        <v>2730</v>
      </c>
      <c r="AC9" t="s">
        <v>2730</v>
      </c>
      <c r="AD9" t="s">
        <v>2730</v>
      </c>
      <c r="AE9" t="s">
        <v>2730</v>
      </c>
      <c r="AF9" t="s">
        <v>2730</v>
      </c>
      <c r="AG9" t="s">
        <v>189</v>
      </c>
      <c r="AH9" t="s">
        <v>2730</v>
      </c>
      <c r="AI9" t="s">
        <v>190</v>
      </c>
      <c r="AJ9" t="s">
        <v>190</v>
      </c>
      <c r="AK9" t="s">
        <v>59</v>
      </c>
      <c r="AL9" t="s">
        <v>190</v>
      </c>
      <c r="AM9" t="s">
        <v>190</v>
      </c>
      <c r="AN9" t="s">
        <v>190</v>
      </c>
      <c r="AO9" t="s">
        <v>190</v>
      </c>
      <c r="AP9" t="s">
        <v>59</v>
      </c>
      <c r="AQ9" t="s">
        <v>190</v>
      </c>
      <c r="AR9" t="s">
        <v>190</v>
      </c>
      <c r="AS9" t="s">
        <v>190</v>
      </c>
      <c r="AT9" t="s">
        <v>190</v>
      </c>
      <c r="AU9" t="s">
        <v>190</v>
      </c>
      <c r="AV9" t="s">
        <v>190</v>
      </c>
      <c r="AW9" t="s">
        <v>190</v>
      </c>
      <c r="AX9" t="s">
        <v>190</v>
      </c>
      <c r="AY9" t="s">
        <v>190</v>
      </c>
      <c r="AZ9" t="s">
        <v>190</v>
      </c>
      <c r="BA9" t="s">
        <v>190</v>
      </c>
      <c r="BB9" t="s">
        <v>190</v>
      </c>
      <c r="BC9" t="s">
        <v>190</v>
      </c>
      <c r="BD9" t="s">
        <v>190</v>
      </c>
      <c r="BE9" t="s">
        <v>190</v>
      </c>
      <c r="BF9" t="s">
        <v>190</v>
      </c>
      <c r="BG9" t="s">
        <v>190</v>
      </c>
      <c r="BH9" t="s">
        <v>190</v>
      </c>
      <c r="BI9" t="s">
        <v>190</v>
      </c>
      <c r="BJ9" t="s">
        <v>190</v>
      </c>
      <c r="BK9" t="s">
        <v>190</v>
      </c>
      <c r="BL9" t="s">
        <v>190</v>
      </c>
      <c r="BM9" t="s">
        <v>190</v>
      </c>
      <c r="BN9" t="s">
        <v>190</v>
      </c>
      <c r="BO9" t="s">
        <v>190</v>
      </c>
      <c r="BP9" t="s">
        <v>190</v>
      </c>
      <c r="BQ9" t="s">
        <v>190</v>
      </c>
      <c r="BR9" t="s">
        <v>190</v>
      </c>
      <c r="BS9" t="s">
        <v>190</v>
      </c>
      <c r="BT9" t="s">
        <v>190</v>
      </c>
      <c r="BU9" t="s">
        <v>190</v>
      </c>
      <c r="BV9" t="s">
        <v>190</v>
      </c>
      <c r="BW9" t="s">
        <v>190</v>
      </c>
      <c r="BX9" t="s">
        <v>190</v>
      </c>
      <c r="BY9" t="s">
        <v>190</v>
      </c>
      <c r="BZ9" t="s">
        <v>190</v>
      </c>
      <c r="CA9" t="s">
        <v>190</v>
      </c>
      <c r="CB9" t="s">
        <v>190</v>
      </c>
      <c r="CC9" t="s">
        <v>190</v>
      </c>
      <c r="CD9" t="s">
        <v>190</v>
      </c>
      <c r="CE9" t="s">
        <v>190</v>
      </c>
      <c r="CF9" t="s">
        <v>190</v>
      </c>
      <c r="CG9" t="s">
        <v>190</v>
      </c>
      <c r="CH9" t="s">
        <v>190</v>
      </c>
      <c r="CI9" t="s">
        <v>190</v>
      </c>
      <c r="CJ9" t="s">
        <v>190</v>
      </c>
      <c r="CK9" t="s">
        <v>190</v>
      </c>
      <c r="CL9" t="s">
        <v>59</v>
      </c>
      <c r="CM9" t="s">
        <v>59</v>
      </c>
      <c r="CN9" t="s">
        <v>59</v>
      </c>
      <c r="CO9" t="s">
        <v>218</v>
      </c>
      <c r="CP9" t="s">
        <v>218</v>
      </c>
      <c r="CQ9" t="s">
        <v>218</v>
      </c>
      <c r="CR9" t="s">
        <v>59</v>
      </c>
      <c r="CS9" t="s">
        <v>190</v>
      </c>
      <c r="CT9" t="s">
        <v>59</v>
      </c>
      <c r="CU9" t="s">
        <v>190</v>
      </c>
      <c r="CV9" t="s">
        <v>190</v>
      </c>
      <c r="CW9" t="s">
        <v>190</v>
      </c>
      <c r="CX9" t="s">
        <v>190</v>
      </c>
      <c r="CY9" t="s">
        <v>190</v>
      </c>
      <c r="CZ9" t="s">
        <v>59</v>
      </c>
      <c r="DA9" t="s">
        <v>190</v>
      </c>
      <c r="DB9" t="s">
        <v>59</v>
      </c>
      <c r="DC9" t="s">
        <v>59</v>
      </c>
      <c r="DD9" t="s">
        <v>59</v>
      </c>
      <c r="DE9" t="s">
        <v>190</v>
      </c>
      <c r="DF9" t="s">
        <v>190</v>
      </c>
      <c r="DG9" t="s">
        <v>190</v>
      </c>
      <c r="DH9" t="s">
        <v>190</v>
      </c>
      <c r="DI9" t="s">
        <v>190</v>
      </c>
      <c r="DJ9" t="s">
        <v>190</v>
      </c>
      <c r="DK9" t="s">
        <v>190</v>
      </c>
      <c r="DL9" t="s">
        <v>190</v>
      </c>
      <c r="DM9" t="s">
        <v>190</v>
      </c>
      <c r="DN9" t="s">
        <v>190</v>
      </c>
      <c r="DO9" t="s">
        <v>190</v>
      </c>
      <c r="DP9" t="s">
        <v>190</v>
      </c>
      <c r="DQ9" t="s">
        <v>190</v>
      </c>
      <c r="DR9" t="s">
        <v>190</v>
      </c>
      <c r="DS9" t="s">
        <v>190</v>
      </c>
      <c r="DT9" t="s">
        <v>190</v>
      </c>
      <c r="DU9" t="s">
        <v>190</v>
      </c>
      <c r="DV9" t="s">
        <v>190</v>
      </c>
      <c r="DW9" t="s">
        <v>190</v>
      </c>
      <c r="DX9" t="s">
        <v>190</v>
      </c>
      <c r="DY9" t="s">
        <v>190</v>
      </c>
      <c r="DZ9" t="s">
        <v>190</v>
      </c>
      <c r="EA9" t="s">
        <v>190</v>
      </c>
      <c r="EB9" t="s">
        <v>190</v>
      </c>
      <c r="EC9" t="s">
        <v>190</v>
      </c>
      <c r="ED9" t="s">
        <v>190</v>
      </c>
      <c r="EE9" t="s">
        <v>190</v>
      </c>
      <c r="EF9" t="s">
        <v>190</v>
      </c>
      <c r="EG9" t="s">
        <v>190</v>
      </c>
      <c r="EH9" t="s">
        <v>190</v>
      </c>
      <c r="EI9" t="s">
        <v>190</v>
      </c>
      <c r="EJ9" t="s">
        <v>190</v>
      </c>
      <c r="EK9" t="s">
        <v>190</v>
      </c>
      <c r="EL9" t="s">
        <v>190</v>
      </c>
      <c r="EM9" t="s">
        <v>190</v>
      </c>
      <c r="EN9" t="s">
        <v>190</v>
      </c>
      <c r="EO9" t="s">
        <v>190</v>
      </c>
      <c r="EP9" t="s">
        <v>190</v>
      </c>
      <c r="EQ9" t="s">
        <v>190</v>
      </c>
      <c r="ER9" t="s">
        <v>190</v>
      </c>
      <c r="ES9" t="s">
        <v>190</v>
      </c>
      <c r="ET9" t="s">
        <v>190</v>
      </c>
      <c r="EU9" t="s">
        <v>190</v>
      </c>
      <c r="EV9" t="s">
        <v>190</v>
      </c>
      <c r="EW9" t="s">
        <v>190</v>
      </c>
      <c r="EX9" t="s">
        <v>190</v>
      </c>
      <c r="EY9" t="s">
        <v>190</v>
      </c>
      <c r="EZ9" t="s">
        <v>190</v>
      </c>
      <c r="FA9" t="s">
        <v>190</v>
      </c>
      <c r="FB9" t="s">
        <v>190</v>
      </c>
      <c r="FC9" t="s">
        <v>190</v>
      </c>
      <c r="FD9" t="s">
        <v>190</v>
      </c>
      <c r="FE9" t="s">
        <v>190</v>
      </c>
      <c r="FF9" t="s">
        <v>190</v>
      </c>
      <c r="FG9" t="s">
        <v>190</v>
      </c>
      <c r="FH9" t="s">
        <v>190</v>
      </c>
      <c r="FI9" t="s">
        <v>190</v>
      </c>
      <c r="FJ9" t="s">
        <v>190</v>
      </c>
      <c r="FK9" t="s">
        <v>190</v>
      </c>
      <c r="FL9" t="s">
        <v>190</v>
      </c>
      <c r="FM9" t="s">
        <v>190</v>
      </c>
      <c r="FN9" t="s">
        <v>190</v>
      </c>
      <c r="FO9" t="s">
        <v>190</v>
      </c>
      <c r="FP9" t="s">
        <v>190</v>
      </c>
      <c r="FQ9" t="s">
        <v>190</v>
      </c>
      <c r="FR9" t="s">
        <v>190</v>
      </c>
      <c r="FS9" t="s">
        <v>190</v>
      </c>
      <c r="FT9" t="s">
        <v>190</v>
      </c>
      <c r="FU9" t="s">
        <v>190</v>
      </c>
      <c r="FV9" t="s">
        <v>190</v>
      </c>
      <c r="FW9" t="s">
        <v>190</v>
      </c>
      <c r="FX9" t="s">
        <v>190</v>
      </c>
      <c r="FY9" t="s">
        <v>190</v>
      </c>
      <c r="FZ9" t="s">
        <v>190</v>
      </c>
      <c r="GA9" t="s">
        <v>190</v>
      </c>
      <c r="GB9" t="s">
        <v>190</v>
      </c>
      <c r="GC9" t="s">
        <v>190</v>
      </c>
      <c r="GD9" t="s">
        <v>190</v>
      </c>
      <c r="GE9" t="s">
        <v>190</v>
      </c>
      <c r="GF9" t="s">
        <v>190</v>
      </c>
      <c r="GG9" t="s">
        <v>190</v>
      </c>
      <c r="GH9" t="s">
        <v>190</v>
      </c>
      <c r="GI9" t="s">
        <v>190</v>
      </c>
      <c r="GJ9" t="s">
        <v>190</v>
      </c>
      <c r="GK9" t="s">
        <v>190</v>
      </c>
      <c r="GL9" t="s">
        <v>190</v>
      </c>
      <c r="GM9" t="s">
        <v>190</v>
      </c>
      <c r="GN9" t="s">
        <v>190</v>
      </c>
      <c r="GO9" t="s">
        <v>59</v>
      </c>
      <c r="GP9" t="s">
        <v>190</v>
      </c>
      <c r="GQ9" t="s">
        <v>190</v>
      </c>
      <c r="GR9" t="s">
        <v>190</v>
      </c>
      <c r="GS9" t="s">
        <v>190</v>
      </c>
      <c r="GT9" t="s">
        <v>190</v>
      </c>
      <c r="GU9" t="s">
        <v>190</v>
      </c>
      <c r="GV9" t="s">
        <v>190</v>
      </c>
      <c r="GW9" t="s">
        <v>190</v>
      </c>
      <c r="GX9" t="s">
        <v>190</v>
      </c>
      <c r="GY9" t="s">
        <v>190</v>
      </c>
      <c r="GZ9" t="s">
        <v>190</v>
      </c>
      <c r="HA9" t="s">
        <v>190</v>
      </c>
      <c r="HB9" t="s">
        <v>190</v>
      </c>
      <c r="HC9" t="s">
        <v>190</v>
      </c>
      <c r="HD9" t="s">
        <v>190</v>
      </c>
      <c r="HE9" t="s">
        <v>190</v>
      </c>
      <c r="HF9" t="s">
        <v>190</v>
      </c>
      <c r="HG9" t="s">
        <v>190</v>
      </c>
      <c r="HH9" t="s">
        <v>190</v>
      </c>
      <c r="HI9" t="s">
        <v>190</v>
      </c>
      <c r="HJ9" t="s">
        <v>190</v>
      </c>
      <c r="HK9" t="s">
        <v>190</v>
      </c>
      <c r="HL9" t="s">
        <v>190</v>
      </c>
      <c r="HM9" t="s">
        <v>190</v>
      </c>
      <c r="HN9" t="s">
        <v>190</v>
      </c>
      <c r="HO9" t="s">
        <v>190</v>
      </c>
      <c r="HP9" t="s">
        <v>190</v>
      </c>
      <c r="HQ9" t="s">
        <v>190</v>
      </c>
      <c r="HR9" t="s">
        <v>190</v>
      </c>
      <c r="HS9" t="s">
        <v>190</v>
      </c>
      <c r="HT9" t="s">
        <v>190</v>
      </c>
      <c r="HU9" t="s">
        <v>190</v>
      </c>
      <c r="HV9" t="s">
        <v>190</v>
      </c>
      <c r="HW9" t="s">
        <v>190</v>
      </c>
      <c r="HX9" t="s">
        <v>190</v>
      </c>
      <c r="HY9" t="s">
        <v>190</v>
      </c>
      <c r="HZ9" t="s">
        <v>190</v>
      </c>
      <c r="IA9" t="s">
        <v>190</v>
      </c>
      <c r="IB9" t="s">
        <v>190</v>
      </c>
      <c r="IC9" t="s">
        <v>190</v>
      </c>
      <c r="ID9" t="s">
        <v>190</v>
      </c>
      <c r="IE9" t="s">
        <v>190</v>
      </c>
      <c r="IF9" t="s">
        <v>59</v>
      </c>
      <c r="IG9" t="s">
        <v>59</v>
      </c>
      <c r="IH9" t="s">
        <v>59</v>
      </c>
      <c r="II9" t="s">
        <v>59</v>
      </c>
      <c r="IJ9" t="s">
        <v>129</v>
      </c>
      <c r="IK9" t="s">
        <v>191</v>
      </c>
      <c r="IL9" t="s">
        <v>128</v>
      </c>
      <c r="IM9" t="s">
        <v>199</v>
      </c>
      <c r="IN9" t="s">
        <v>2730</v>
      </c>
      <c r="IO9" t="s">
        <v>2730</v>
      </c>
      <c r="IP9" t="s">
        <v>2730</v>
      </c>
      <c r="IQ9" t="s">
        <v>2730</v>
      </c>
      <c r="IR9" t="s">
        <v>2730</v>
      </c>
      <c r="IS9" t="s">
        <v>2730</v>
      </c>
      <c r="IT9" t="s">
        <v>2730</v>
      </c>
      <c r="IU9" t="s">
        <v>2730</v>
      </c>
      <c r="IV9">
        <v>9</v>
      </c>
      <c r="IW9" t="s">
        <v>2730</v>
      </c>
      <c r="IX9" t="s">
        <v>2730</v>
      </c>
      <c r="IY9" t="s">
        <v>2730</v>
      </c>
      <c r="IZ9" t="s">
        <v>2730</v>
      </c>
      <c r="JA9" t="s">
        <v>2730</v>
      </c>
      <c r="JB9" t="s">
        <v>2730</v>
      </c>
      <c r="JC9" t="s">
        <v>2730</v>
      </c>
      <c r="JD9" t="s">
        <v>2730</v>
      </c>
      <c r="JE9" t="s">
        <v>2730</v>
      </c>
      <c r="JF9" t="s">
        <v>2730</v>
      </c>
      <c r="JG9" t="s">
        <v>2730</v>
      </c>
      <c r="JH9">
        <v>1</v>
      </c>
      <c r="JI9" t="s">
        <v>2730</v>
      </c>
      <c r="JJ9" t="s">
        <v>2730</v>
      </c>
      <c r="JK9" t="s">
        <v>2730</v>
      </c>
      <c r="JL9" t="s">
        <v>2730</v>
      </c>
      <c r="JM9" t="s">
        <v>2730</v>
      </c>
      <c r="JN9" t="s">
        <v>2730</v>
      </c>
      <c r="JO9">
        <v>4</v>
      </c>
      <c r="JP9" t="s">
        <v>2730</v>
      </c>
      <c r="JQ9" t="s">
        <v>2730</v>
      </c>
    </row>
    <row r="10" spans="1:277">
      <c r="A10" s="149" t="str">
        <f>HYPERLINK("http://www.ofsted.gov.uk/inspection-reports/find-inspection-report/provider/ELS/123933 ","Ofsted School Webpage")</f>
        <v>Ofsted School Webpage</v>
      </c>
      <c r="B10">
        <v>1132312</v>
      </c>
      <c r="C10">
        <v>123933</v>
      </c>
      <c r="D10">
        <v>9336185</v>
      </c>
      <c r="E10" t="s">
        <v>1175</v>
      </c>
      <c r="F10" t="s">
        <v>38</v>
      </c>
      <c r="G10" t="s">
        <v>180</v>
      </c>
      <c r="H10" t="s">
        <v>225</v>
      </c>
      <c r="I10" t="s">
        <v>225</v>
      </c>
      <c r="J10" t="s">
        <v>262</v>
      </c>
      <c r="K10" t="s">
        <v>1176</v>
      </c>
      <c r="L10" t="s">
        <v>184</v>
      </c>
      <c r="M10" t="s">
        <v>185</v>
      </c>
      <c r="N10" t="s">
        <v>184</v>
      </c>
      <c r="O10" t="s">
        <v>2730</v>
      </c>
      <c r="P10" t="s">
        <v>186</v>
      </c>
      <c r="Q10">
        <v>10040156</v>
      </c>
      <c r="R10" s="120">
        <v>43040</v>
      </c>
      <c r="S10" s="120">
        <v>43040</v>
      </c>
      <c r="T10" s="120">
        <v>43076</v>
      </c>
      <c r="U10" t="s">
        <v>2730</v>
      </c>
      <c r="V10" t="s">
        <v>2770</v>
      </c>
      <c r="W10" t="s">
        <v>2730</v>
      </c>
      <c r="X10" t="s">
        <v>188</v>
      </c>
      <c r="Y10" t="s">
        <v>2730</v>
      </c>
      <c r="Z10" t="s">
        <v>2730</v>
      </c>
      <c r="AA10" t="s">
        <v>2730</v>
      </c>
      <c r="AB10" t="s">
        <v>2730</v>
      </c>
      <c r="AC10" t="s">
        <v>2730</v>
      </c>
      <c r="AD10" t="s">
        <v>2730</v>
      </c>
      <c r="AE10" t="s">
        <v>2730</v>
      </c>
      <c r="AF10" t="s">
        <v>2730</v>
      </c>
      <c r="AG10" t="s">
        <v>217</v>
      </c>
      <c r="AH10" t="s">
        <v>2730</v>
      </c>
      <c r="AI10" t="s">
        <v>190</v>
      </c>
      <c r="AJ10" t="s">
        <v>190</v>
      </c>
      <c r="AK10" t="s">
        <v>60</v>
      </c>
      <c r="AL10" t="s">
        <v>190</v>
      </c>
      <c r="AM10" t="s">
        <v>190</v>
      </c>
      <c r="AN10" t="s">
        <v>190</v>
      </c>
      <c r="AO10" t="s">
        <v>190</v>
      </c>
      <c r="AP10" t="s">
        <v>60</v>
      </c>
      <c r="AQ10" t="s">
        <v>190</v>
      </c>
      <c r="AR10" t="s">
        <v>190</v>
      </c>
      <c r="AS10" t="s">
        <v>190</v>
      </c>
      <c r="AT10" t="s">
        <v>190</v>
      </c>
      <c r="AU10" t="s">
        <v>190</v>
      </c>
      <c r="AV10" t="s">
        <v>59</v>
      </c>
      <c r="AW10" t="s">
        <v>190</v>
      </c>
      <c r="AX10" t="s">
        <v>190</v>
      </c>
      <c r="AY10" t="s">
        <v>190</v>
      </c>
      <c r="AZ10" t="s">
        <v>190</v>
      </c>
      <c r="BA10" t="s">
        <v>190</v>
      </c>
      <c r="BB10" t="s">
        <v>190</v>
      </c>
      <c r="BC10" t="s">
        <v>59</v>
      </c>
      <c r="BD10" t="s">
        <v>59</v>
      </c>
      <c r="BE10" t="s">
        <v>59</v>
      </c>
      <c r="BF10" t="s">
        <v>59</v>
      </c>
      <c r="BG10" t="s">
        <v>190</v>
      </c>
      <c r="BH10" t="s">
        <v>190</v>
      </c>
      <c r="BI10" t="s">
        <v>190</v>
      </c>
      <c r="BJ10" t="s">
        <v>190</v>
      </c>
      <c r="BK10" t="s">
        <v>59</v>
      </c>
      <c r="BL10" t="s">
        <v>59</v>
      </c>
      <c r="BM10" t="s">
        <v>190</v>
      </c>
      <c r="BN10" t="s">
        <v>59</v>
      </c>
      <c r="BO10" t="s">
        <v>59</v>
      </c>
      <c r="BP10" t="s">
        <v>190</v>
      </c>
      <c r="BQ10" t="s">
        <v>190</v>
      </c>
      <c r="BR10" t="s">
        <v>59</v>
      </c>
      <c r="BS10" t="s">
        <v>59</v>
      </c>
      <c r="BT10" t="s">
        <v>190</v>
      </c>
      <c r="BU10" t="s">
        <v>190</v>
      </c>
      <c r="BV10" t="s">
        <v>190</v>
      </c>
      <c r="BW10" t="s">
        <v>190</v>
      </c>
      <c r="BX10" t="s">
        <v>190</v>
      </c>
      <c r="BY10" t="s">
        <v>190</v>
      </c>
      <c r="BZ10" t="s">
        <v>190</v>
      </c>
      <c r="CA10" t="s">
        <v>190</v>
      </c>
      <c r="CB10" t="s">
        <v>190</v>
      </c>
      <c r="CC10" t="s">
        <v>190</v>
      </c>
      <c r="CD10" t="s">
        <v>190</v>
      </c>
      <c r="CE10" t="s">
        <v>190</v>
      </c>
      <c r="CF10" t="s">
        <v>190</v>
      </c>
      <c r="CG10" t="s">
        <v>190</v>
      </c>
      <c r="CH10" t="s">
        <v>190</v>
      </c>
      <c r="CI10" t="s">
        <v>190</v>
      </c>
      <c r="CJ10" t="s">
        <v>190</v>
      </c>
      <c r="CK10" t="s">
        <v>190</v>
      </c>
      <c r="CL10" t="s">
        <v>60</v>
      </c>
      <c r="CM10" t="s">
        <v>60</v>
      </c>
      <c r="CN10" t="s">
        <v>60</v>
      </c>
      <c r="CO10" t="s">
        <v>60</v>
      </c>
      <c r="CP10" t="s">
        <v>60</v>
      </c>
      <c r="CQ10" t="s">
        <v>60</v>
      </c>
      <c r="CR10" t="s">
        <v>190</v>
      </c>
      <c r="CS10" t="s">
        <v>190</v>
      </c>
      <c r="CT10" t="s">
        <v>190</v>
      </c>
      <c r="CU10" t="s">
        <v>190</v>
      </c>
      <c r="CV10" t="s">
        <v>190</v>
      </c>
      <c r="CW10" t="s">
        <v>59</v>
      </c>
      <c r="CX10" t="s">
        <v>59</v>
      </c>
      <c r="CY10" t="s">
        <v>190</v>
      </c>
      <c r="CZ10" t="s">
        <v>59</v>
      </c>
      <c r="DA10" t="s">
        <v>59</v>
      </c>
      <c r="DB10" t="s">
        <v>59</v>
      </c>
      <c r="DC10" t="s">
        <v>59</v>
      </c>
      <c r="DD10" t="s">
        <v>59</v>
      </c>
      <c r="DE10" t="s">
        <v>190</v>
      </c>
      <c r="DF10" t="s">
        <v>190</v>
      </c>
      <c r="DG10" t="s">
        <v>190</v>
      </c>
      <c r="DH10" t="s">
        <v>190</v>
      </c>
      <c r="DI10" t="s">
        <v>190</v>
      </c>
      <c r="DJ10" t="s">
        <v>190</v>
      </c>
      <c r="DK10" t="s">
        <v>190</v>
      </c>
      <c r="DL10" t="s">
        <v>190</v>
      </c>
      <c r="DM10" t="s">
        <v>190</v>
      </c>
      <c r="DN10" t="s">
        <v>59</v>
      </c>
      <c r="DO10" t="s">
        <v>190</v>
      </c>
      <c r="DP10" t="s">
        <v>190</v>
      </c>
      <c r="DQ10" t="s">
        <v>60</v>
      </c>
      <c r="DR10" t="s">
        <v>59</v>
      </c>
      <c r="DS10" t="s">
        <v>59</v>
      </c>
      <c r="DT10" t="s">
        <v>59</v>
      </c>
      <c r="DU10" t="s">
        <v>59</v>
      </c>
      <c r="DV10" t="s">
        <v>59</v>
      </c>
      <c r="DW10" t="s">
        <v>59</v>
      </c>
      <c r="DX10" t="s">
        <v>59</v>
      </c>
      <c r="DY10" t="s">
        <v>59</v>
      </c>
      <c r="DZ10" t="s">
        <v>59</v>
      </c>
      <c r="EA10" t="s">
        <v>59</v>
      </c>
      <c r="EB10" t="s">
        <v>59</v>
      </c>
      <c r="EC10" t="s">
        <v>60</v>
      </c>
      <c r="ED10" t="s">
        <v>59</v>
      </c>
      <c r="EE10" t="s">
        <v>190</v>
      </c>
      <c r="EF10" t="s">
        <v>190</v>
      </c>
      <c r="EG10" t="s">
        <v>190</v>
      </c>
      <c r="EH10" t="s">
        <v>190</v>
      </c>
      <c r="EI10" t="s">
        <v>190</v>
      </c>
      <c r="EJ10" t="s">
        <v>190</v>
      </c>
      <c r="EK10" t="s">
        <v>190</v>
      </c>
      <c r="EL10" t="s">
        <v>190</v>
      </c>
      <c r="EM10" t="s">
        <v>190</v>
      </c>
      <c r="EN10" t="s">
        <v>190</v>
      </c>
      <c r="EO10" t="s">
        <v>190</v>
      </c>
      <c r="EP10" t="s">
        <v>59</v>
      </c>
      <c r="EQ10" t="s">
        <v>59</v>
      </c>
      <c r="ER10" t="s">
        <v>59</v>
      </c>
      <c r="ES10" t="s">
        <v>59</v>
      </c>
      <c r="ET10" t="s">
        <v>59</v>
      </c>
      <c r="EU10" t="s">
        <v>59</v>
      </c>
      <c r="EV10" t="s">
        <v>190</v>
      </c>
      <c r="EW10" t="s">
        <v>190</v>
      </c>
      <c r="EX10" t="s">
        <v>59</v>
      </c>
      <c r="EY10" t="s">
        <v>59</v>
      </c>
      <c r="EZ10" t="s">
        <v>59</v>
      </c>
      <c r="FA10" t="s">
        <v>190</v>
      </c>
      <c r="FB10" t="s">
        <v>59</v>
      </c>
      <c r="FC10" t="s">
        <v>59</v>
      </c>
      <c r="FD10" t="s">
        <v>59</v>
      </c>
      <c r="FE10" t="s">
        <v>59</v>
      </c>
      <c r="FF10" t="s">
        <v>59</v>
      </c>
      <c r="FG10" t="s">
        <v>59</v>
      </c>
      <c r="FH10" t="s">
        <v>190</v>
      </c>
      <c r="FI10" t="s">
        <v>190</v>
      </c>
      <c r="FJ10" t="s">
        <v>190</v>
      </c>
      <c r="FK10" t="s">
        <v>190</v>
      </c>
      <c r="FL10" t="s">
        <v>190</v>
      </c>
      <c r="FM10" t="s">
        <v>190</v>
      </c>
      <c r="FN10" t="s">
        <v>190</v>
      </c>
      <c r="FO10" t="s">
        <v>190</v>
      </c>
      <c r="FP10" t="s">
        <v>190</v>
      </c>
      <c r="FQ10" t="s">
        <v>190</v>
      </c>
      <c r="FR10" t="s">
        <v>190</v>
      </c>
      <c r="FS10" t="s">
        <v>190</v>
      </c>
      <c r="FT10" t="s">
        <v>190</v>
      </c>
      <c r="FU10" t="s">
        <v>190</v>
      </c>
      <c r="FV10" t="s">
        <v>190</v>
      </c>
      <c r="FW10" t="s">
        <v>190</v>
      </c>
      <c r="FX10" t="s">
        <v>190</v>
      </c>
      <c r="FY10" t="s">
        <v>190</v>
      </c>
      <c r="FZ10" t="s">
        <v>59</v>
      </c>
      <c r="GA10" t="s">
        <v>190</v>
      </c>
      <c r="GB10" t="s">
        <v>190</v>
      </c>
      <c r="GC10" t="s">
        <v>190</v>
      </c>
      <c r="GD10" t="s">
        <v>59</v>
      </c>
      <c r="GE10" t="s">
        <v>190</v>
      </c>
      <c r="GF10" t="s">
        <v>190</v>
      </c>
      <c r="GG10" t="s">
        <v>190</v>
      </c>
      <c r="GH10" t="s">
        <v>190</v>
      </c>
      <c r="GI10" t="s">
        <v>190</v>
      </c>
      <c r="GJ10" t="s">
        <v>190</v>
      </c>
      <c r="GK10" t="s">
        <v>190</v>
      </c>
      <c r="GL10" t="s">
        <v>190</v>
      </c>
      <c r="GM10" t="s">
        <v>190</v>
      </c>
      <c r="GN10" t="s">
        <v>190</v>
      </c>
      <c r="GO10" t="s">
        <v>190</v>
      </c>
      <c r="GP10" t="s">
        <v>190</v>
      </c>
      <c r="GQ10" t="s">
        <v>190</v>
      </c>
      <c r="GR10" t="s">
        <v>190</v>
      </c>
      <c r="GS10" t="s">
        <v>190</v>
      </c>
      <c r="GT10" t="s">
        <v>190</v>
      </c>
      <c r="GU10" t="s">
        <v>190</v>
      </c>
      <c r="GV10" t="s">
        <v>190</v>
      </c>
      <c r="GW10" t="s">
        <v>190</v>
      </c>
      <c r="GX10" t="s">
        <v>190</v>
      </c>
      <c r="GY10" t="s">
        <v>190</v>
      </c>
      <c r="GZ10" t="s">
        <v>190</v>
      </c>
      <c r="HA10" t="s">
        <v>190</v>
      </c>
      <c r="HB10" t="s">
        <v>190</v>
      </c>
      <c r="HC10" t="s">
        <v>190</v>
      </c>
      <c r="HD10" t="s">
        <v>190</v>
      </c>
      <c r="HE10" t="s">
        <v>190</v>
      </c>
      <c r="HF10" t="s">
        <v>190</v>
      </c>
      <c r="HG10" t="s">
        <v>190</v>
      </c>
      <c r="HH10" t="s">
        <v>190</v>
      </c>
      <c r="HI10" t="s">
        <v>190</v>
      </c>
      <c r="HJ10" t="s">
        <v>190</v>
      </c>
      <c r="HK10" t="s">
        <v>190</v>
      </c>
      <c r="HL10" t="s">
        <v>190</v>
      </c>
      <c r="HM10" t="s">
        <v>190</v>
      </c>
      <c r="HN10" t="s">
        <v>190</v>
      </c>
      <c r="HO10" t="s">
        <v>190</v>
      </c>
      <c r="HP10" t="s">
        <v>190</v>
      </c>
      <c r="HQ10" t="s">
        <v>190</v>
      </c>
      <c r="HR10" t="s">
        <v>190</v>
      </c>
      <c r="HS10" t="s">
        <v>190</v>
      </c>
      <c r="HT10" t="s">
        <v>190</v>
      </c>
      <c r="HU10" t="s">
        <v>190</v>
      </c>
      <c r="HV10" t="s">
        <v>190</v>
      </c>
      <c r="HW10" t="s">
        <v>190</v>
      </c>
      <c r="HX10" t="s">
        <v>190</v>
      </c>
      <c r="HY10" t="s">
        <v>190</v>
      </c>
      <c r="HZ10" t="s">
        <v>190</v>
      </c>
      <c r="IA10" t="s">
        <v>190</v>
      </c>
      <c r="IB10" t="s">
        <v>190</v>
      </c>
      <c r="IC10" t="s">
        <v>190</v>
      </c>
      <c r="ID10" t="s">
        <v>190</v>
      </c>
      <c r="IE10" t="s">
        <v>190</v>
      </c>
      <c r="IF10" t="s">
        <v>60</v>
      </c>
      <c r="IG10" t="s">
        <v>60</v>
      </c>
      <c r="IH10" t="s">
        <v>60</v>
      </c>
      <c r="II10" t="s">
        <v>60</v>
      </c>
      <c r="IJ10" t="s">
        <v>128</v>
      </c>
      <c r="IK10" t="s">
        <v>129</v>
      </c>
      <c r="IL10" t="s">
        <v>128</v>
      </c>
      <c r="IM10" t="s">
        <v>199</v>
      </c>
      <c r="IN10">
        <v>11</v>
      </c>
      <c r="IO10" t="s">
        <v>2730</v>
      </c>
      <c r="IP10" t="s">
        <v>2730</v>
      </c>
      <c r="IQ10" t="s">
        <v>2730</v>
      </c>
      <c r="IR10" t="s">
        <v>2730</v>
      </c>
      <c r="IS10" t="s">
        <v>2730</v>
      </c>
      <c r="IT10" t="s">
        <v>2730</v>
      </c>
      <c r="IU10" t="s">
        <v>2730</v>
      </c>
      <c r="IV10">
        <v>7</v>
      </c>
      <c r="IW10" t="s">
        <v>2730</v>
      </c>
      <c r="IX10" t="s">
        <v>2730</v>
      </c>
      <c r="IY10">
        <v>6</v>
      </c>
      <c r="IZ10">
        <v>28</v>
      </c>
      <c r="JA10" t="s">
        <v>2730</v>
      </c>
      <c r="JB10" t="s">
        <v>2730</v>
      </c>
      <c r="JC10">
        <v>2</v>
      </c>
      <c r="JD10">
        <v>2</v>
      </c>
      <c r="JE10" t="s">
        <v>2730</v>
      </c>
      <c r="JF10" t="s">
        <v>2730</v>
      </c>
      <c r="JG10" t="s">
        <v>2730</v>
      </c>
      <c r="JH10" t="s">
        <v>2730</v>
      </c>
      <c r="JI10" t="s">
        <v>2730</v>
      </c>
      <c r="JJ10" t="s">
        <v>2730</v>
      </c>
      <c r="JK10" t="s">
        <v>2730</v>
      </c>
      <c r="JL10" t="s">
        <v>2730</v>
      </c>
      <c r="JM10" t="s">
        <v>2730</v>
      </c>
      <c r="JN10" t="s">
        <v>2730</v>
      </c>
      <c r="JO10" t="s">
        <v>2730</v>
      </c>
      <c r="JP10" t="s">
        <v>2730</v>
      </c>
      <c r="JQ10">
        <v>4</v>
      </c>
    </row>
    <row r="11" spans="1:277">
      <c r="A11" s="149" t="str">
        <f>HYPERLINK("http://www.ofsted.gov.uk/inspection-reports/find-inspection-report/provider/ELS/137887 ","Ofsted School Webpage")</f>
        <v>Ofsted School Webpage</v>
      </c>
      <c r="B11">
        <v>1134677</v>
      </c>
      <c r="C11">
        <v>137887</v>
      </c>
      <c r="D11">
        <v>3526006</v>
      </c>
      <c r="E11" t="s">
        <v>305</v>
      </c>
      <c r="F11" t="s">
        <v>37</v>
      </c>
      <c r="G11" t="s">
        <v>209</v>
      </c>
      <c r="H11" t="s">
        <v>205</v>
      </c>
      <c r="I11" t="s">
        <v>205</v>
      </c>
      <c r="J11" t="s">
        <v>306</v>
      </c>
      <c r="K11" t="s">
        <v>307</v>
      </c>
      <c r="L11" t="s">
        <v>184</v>
      </c>
      <c r="M11" t="s">
        <v>185</v>
      </c>
      <c r="N11" t="s">
        <v>184</v>
      </c>
      <c r="O11" t="s">
        <v>2730</v>
      </c>
      <c r="P11" t="s">
        <v>186</v>
      </c>
      <c r="Q11">
        <v>10040204</v>
      </c>
      <c r="R11" s="120">
        <v>43012</v>
      </c>
      <c r="S11" s="120">
        <v>43012</v>
      </c>
      <c r="T11" s="120">
        <v>43048</v>
      </c>
      <c r="U11" t="s">
        <v>2730</v>
      </c>
      <c r="V11" t="s">
        <v>187</v>
      </c>
      <c r="W11" t="s">
        <v>2730</v>
      </c>
      <c r="X11" t="s">
        <v>188</v>
      </c>
      <c r="Y11" t="s">
        <v>2730</v>
      </c>
      <c r="Z11" t="s">
        <v>2730</v>
      </c>
      <c r="AA11" t="s">
        <v>2730</v>
      </c>
      <c r="AB11" t="s">
        <v>2730</v>
      </c>
      <c r="AC11" t="s">
        <v>2730</v>
      </c>
      <c r="AD11" t="s">
        <v>2730</v>
      </c>
      <c r="AE11" t="s">
        <v>2730</v>
      </c>
      <c r="AF11" t="s">
        <v>2730</v>
      </c>
      <c r="AG11" t="s">
        <v>189</v>
      </c>
      <c r="AH11" t="s">
        <v>2730</v>
      </c>
      <c r="AI11" t="s">
        <v>190</v>
      </c>
      <c r="AJ11" t="s">
        <v>190</v>
      </c>
      <c r="AK11" t="s">
        <v>59</v>
      </c>
      <c r="AL11" t="s">
        <v>59</v>
      </c>
      <c r="AM11" t="s">
        <v>190</v>
      </c>
      <c r="AN11" t="s">
        <v>59</v>
      </c>
      <c r="AO11" t="s">
        <v>190</v>
      </c>
      <c r="AP11" t="s">
        <v>59</v>
      </c>
      <c r="AQ11" t="s">
        <v>190</v>
      </c>
      <c r="AR11" t="s">
        <v>190</v>
      </c>
      <c r="AS11" t="s">
        <v>190</v>
      </c>
      <c r="AT11" t="s">
        <v>190</v>
      </c>
      <c r="AU11" t="s">
        <v>190</v>
      </c>
      <c r="AV11" t="s">
        <v>190</v>
      </c>
      <c r="AW11" t="s">
        <v>190</v>
      </c>
      <c r="AX11" t="s">
        <v>190</v>
      </c>
      <c r="AY11" t="s">
        <v>190</v>
      </c>
      <c r="AZ11" t="s">
        <v>190</v>
      </c>
      <c r="BA11" t="s">
        <v>190</v>
      </c>
      <c r="BB11" t="s">
        <v>190</v>
      </c>
      <c r="BC11" t="s">
        <v>190</v>
      </c>
      <c r="BD11" t="s">
        <v>190</v>
      </c>
      <c r="BE11" t="s">
        <v>190</v>
      </c>
      <c r="BF11" t="s">
        <v>190</v>
      </c>
      <c r="BG11" t="s">
        <v>190</v>
      </c>
      <c r="BH11" t="s">
        <v>190</v>
      </c>
      <c r="BI11" t="s">
        <v>190</v>
      </c>
      <c r="BJ11" t="s">
        <v>190</v>
      </c>
      <c r="BK11" t="s">
        <v>190</v>
      </c>
      <c r="BL11" t="s">
        <v>190</v>
      </c>
      <c r="BM11" t="s">
        <v>190</v>
      </c>
      <c r="BN11" t="s">
        <v>190</v>
      </c>
      <c r="BO11" t="s">
        <v>190</v>
      </c>
      <c r="BP11" t="s">
        <v>190</v>
      </c>
      <c r="BQ11" t="s">
        <v>190</v>
      </c>
      <c r="BR11" t="s">
        <v>190</v>
      </c>
      <c r="BS11" t="s">
        <v>190</v>
      </c>
      <c r="BT11" t="s">
        <v>190</v>
      </c>
      <c r="BU11" t="s">
        <v>190</v>
      </c>
      <c r="BV11" t="s">
        <v>190</v>
      </c>
      <c r="BW11" t="s">
        <v>190</v>
      </c>
      <c r="BX11" t="s">
        <v>190</v>
      </c>
      <c r="BY11" t="s">
        <v>190</v>
      </c>
      <c r="BZ11" t="s">
        <v>190</v>
      </c>
      <c r="CA11" t="s">
        <v>190</v>
      </c>
      <c r="CB11" t="s">
        <v>190</v>
      </c>
      <c r="CC11" t="s">
        <v>190</v>
      </c>
      <c r="CD11" t="s">
        <v>190</v>
      </c>
      <c r="CE11" t="s">
        <v>190</v>
      </c>
      <c r="CF11" t="s">
        <v>190</v>
      </c>
      <c r="CG11" t="s">
        <v>190</v>
      </c>
      <c r="CH11" t="s">
        <v>190</v>
      </c>
      <c r="CI11" t="s">
        <v>190</v>
      </c>
      <c r="CJ11" t="s">
        <v>190</v>
      </c>
      <c r="CK11" t="s">
        <v>190</v>
      </c>
      <c r="CL11" t="s">
        <v>59</v>
      </c>
      <c r="CM11" t="s">
        <v>59</v>
      </c>
      <c r="CN11" t="s">
        <v>59</v>
      </c>
      <c r="CO11" t="s">
        <v>190</v>
      </c>
      <c r="CP11" t="s">
        <v>190</v>
      </c>
      <c r="CQ11" t="s">
        <v>190</v>
      </c>
      <c r="CR11" t="s">
        <v>59</v>
      </c>
      <c r="CS11" t="s">
        <v>190</v>
      </c>
      <c r="CT11" t="s">
        <v>59</v>
      </c>
      <c r="CU11" t="s">
        <v>190</v>
      </c>
      <c r="CV11" t="s">
        <v>190</v>
      </c>
      <c r="CW11" t="s">
        <v>59</v>
      </c>
      <c r="CX11" t="s">
        <v>59</v>
      </c>
      <c r="CY11" t="s">
        <v>190</v>
      </c>
      <c r="CZ11" t="s">
        <v>190</v>
      </c>
      <c r="DA11" t="s">
        <v>190</v>
      </c>
      <c r="DB11" t="s">
        <v>190</v>
      </c>
      <c r="DC11" t="s">
        <v>190</v>
      </c>
      <c r="DD11" t="s">
        <v>190</v>
      </c>
      <c r="DE11" t="s">
        <v>59</v>
      </c>
      <c r="DF11" t="s">
        <v>59</v>
      </c>
      <c r="DG11" t="s">
        <v>59</v>
      </c>
      <c r="DH11" t="s">
        <v>190</v>
      </c>
      <c r="DI11" t="s">
        <v>190</v>
      </c>
      <c r="DJ11" t="s">
        <v>190</v>
      </c>
      <c r="DK11" t="s">
        <v>190</v>
      </c>
      <c r="DL11" t="s">
        <v>190</v>
      </c>
      <c r="DM11" t="s">
        <v>59</v>
      </c>
      <c r="DN11" t="s">
        <v>59</v>
      </c>
      <c r="DO11" t="s">
        <v>190</v>
      </c>
      <c r="DP11" t="s">
        <v>59</v>
      </c>
      <c r="DQ11" t="s">
        <v>190</v>
      </c>
      <c r="DR11" t="s">
        <v>190</v>
      </c>
      <c r="DS11" t="s">
        <v>190</v>
      </c>
      <c r="DT11" t="s">
        <v>190</v>
      </c>
      <c r="DU11" t="s">
        <v>190</v>
      </c>
      <c r="DV11" t="s">
        <v>190</v>
      </c>
      <c r="DW11" t="s">
        <v>190</v>
      </c>
      <c r="DX11" t="s">
        <v>190</v>
      </c>
      <c r="DY11" t="s">
        <v>190</v>
      </c>
      <c r="DZ11" t="s">
        <v>190</v>
      </c>
      <c r="EA11" t="s">
        <v>190</v>
      </c>
      <c r="EB11" t="s">
        <v>190</v>
      </c>
      <c r="EC11" t="s">
        <v>190</v>
      </c>
      <c r="ED11" t="s">
        <v>190</v>
      </c>
      <c r="EE11" t="s">
        <v>190</v>
      </c>
      <c r="EF11" t="s">
        <v>190</v>
      </c>
      <c r="EG11" t="s">
        <v>190</v>
      </c>
      <c r="EH11" t="s">
        <v>190</v>
      </c>
      <c r="EI11" t="s">
        <v>190</v>
      </c>
      <c r="EJ11" t="s">
        <v>190</v>
      </c>
      <c r="EK11" t="s">
        <v>190</v>
      </c>
      <c r="EL11" t="s">
        <v>190</v>
      </c>
      <c r="EM11" t="s">
        <v>190</v>
      </c>
      <c r="EN11" t="s">
        <v>190</v>
      </c>
      <c r="EO11" t="s">
        <v>190</v>
      </c>
      <c r="EP11" t="s">
        <v>190</v>
      </c>
      <c r="EQ11" t="s">
        <v>190</v>
      </c>
      <c r="ER11" t="s">
        <v>190</v>
      </c>
      <c r="ES11" t="s">
        <v>190</v>
      </c>
      <c r="ET11" t="s">
        <v>190</v>
      </c>
      <c r="EU11" t="s">
        <v>190</v>
      </c>
      <c r="EV11" t="s">
        <v>190</v>
      </c>
      <c r="EW11" t="s">
        <v>190</v>
      </c>
      <c r="EX11" t="s">
        <v>190</v>
      </c>
      <c r="EY11" t="s">
        <v>190</v>
      </c>
      <c r="EZ11" t="s">
        <v>190</v>
      </c>
      <c r="FA11" t="s">
        <v>190</v>
      </c>
      <c r="FB11" t="s">
        <v>190</v>
      </c>
      <c r="FC11" t="s">
        <v>190</v>
      </c>
      <c r="FD11" t="s">
        <v>190</v>
      </c>
      <c r="FE11" t="s">
        <v>190</v>
      </c>
      <c r="FF11" t="s">
        <v>190</v>
      </c>
      <c r="FG11" t="s">
        <v>190</v>
      </c>
      <c r="FH11" t="s">
        <v>190</v>
      </c>
      <c r="FI11" t="s">
        <v>190</v>
      </c>
      <c r="FJ11" t="s">
        <v>190</v>
      </c>
      <c r="FK11" t="s">
        <v>190</v>
      </c>
      <c r="FL11" t="s">
        <v>190</v>
      </c>
      <c r="FM11" t="s">
        <v>190</v>
      </c>
      <c r="FN11" t="s">
        <v>190</v>
      </c>
      <c r="FO11" t="s">
        <v>190</v>
      </c>
      <c r="FP11" t="s">
        <v>190</v>
      </c>
      <c r="FQ11" t="s">
        <v>190</v>
      </c>
      <c r="FR11" t="s">
        <v>190</v>
      </c>
      <c r="FS11" t="s">
        <v>190</v>
      </c>
      <c r="FT11" t="s">
        <v>190</v>
      </c>
      <c r="FU11" t="s">
        <v>190</v>
      </c>
      <c r="FV11" t="s">
        <v>59</v>
      </c>
      <c r="FW11" t="s">
        <v>190</v>
      </c>
      <c r="FX11" t="s">
        <v>190</v>
      </c>
      <c r="FY11" t="s">
        <v>190</v>
      </c>
      <c r="FZ11" t="s">
        <v>190</v>
      </c>
      <c r="GA11" t="s">
        <v>190</v>
      </c>
      <c r="GB11" t="s">
        <v>190</v>
      </c>
      <c r="GC11" t="s">
        <v>190</v>
      </c>
      <c r="GD11" t="s">
        <v>190</v>
      </c>
      <c r="GE11" t="s">
        <v>190</v>
      </c>
      <c r="GF11" t="s">
        <v>190</v>
      </c>
      <c r="GG11" t="s">
        <v>190</v>
      </c>
      <c r="GH11" t="s">
        <v>59</v>
      </c>
      <c r="GI11" t="s">
        <v>190</v>
      </c>
      <c r="GJ11" t="s">
        <v>59</v>
      </c>
      <c r="GK11" t="s">
        <v>190</v>
      </c>
      <c r="GL11" t="s">
        <v>59</v>
      </c>
      <c r="GM11" t="s">
        <v>190</v>
      </c>
      <c r="GN11" t="s">
        <v>190</v>
      </c>
      <c r="GO11" t="s">
        <v>59</v>
      </c>
      <c r="GP11" t="s">
        <v>190</v>
      </c>
      <c r="GQ11" t="s">
        <v>190</v>
      </c>
      <c r="GR11" t="s">
        <v>190</v>
      </c>
      <c r="GS11" t="s">
        <v>190</v>
      </c>
      <c r="GT11" t="s">
        <v>190</v>
      </c>
      <c r="GU11" t="s">
        <v>190</v>
      </c>
      <c r="GV11" t="s">
        <v>190</v>
      </c>
      <c r="GW11" t="s">
        <v>190</v>
      </c>
      <c r="GX11" t="s">
        <v>190</v>
      </c>
      <c r="GY11" t="s">
        <v>190</v>
      </c>
      <c r="GZ11" t="s">
        <v>190</v>
      </c>
      <c r="HA11" t="s">
        <v>190</v>
      </c>
      <c r="HB11" t="s">
        <v>190</v>
      </c>
      <c r="HC11" t="s">
        <v>190</v>
      </c>
      <c r="HD11" t="s">
        <v>190</v>
      </c>
      <c r="HE11" t="s">
        <v>190</v>
      </c>
      <c r="HF11" t="s">
        <v>190</v>
      </c>
      <c r="HG11" t="s">
        <v>190</v>
      </c>
      <c r="HH11" t="s">
        <v>190</v>
      </c>
      <c r="HI11" t="s">
        <v>190</v>
      </c>
      <c r="HJ11" t="s">
        <v>190</v>
      </c>
      <c r="HK11" t="s">
        <v>190</v>
      </c>
      <c r="HL11" t="s">
        <v>190</v>
      </c>
      <c r="HM11" t="s">
        <v>190</v>
      </c>
      <c r="HN11" t="s">
        <v>190</v>
      </c>
      <c r="HO11" t="s">
        <v>190</v>
      </c>
      <c r="HP11" t="s">
        <v>190</v>
      </c>
      <c r="HQ11" t="s">
        <v>190</v>
      </c>
      <c r="HR11" t="s">
        <v>190</v>
      </c>
      <c r="HS11" t="s">
        <v>190</v>
      </c>
      <c r="HT11" t="s">
        <v>190</v>
      </c>
      <c r="HU11" t="s">
        <v>190</v>
      </c>
      <c r="HV11" t="s">
        <v>190</v>
      </c>
      <c r="HW11" t="s">
        <v>190</v>
      </c>
      <c r="HX11" t="s">
        <v>190</v>
      </c>
      <c r="HY11" t="s">
        <v>190</v>
      </c>
      <c r="HZ11" t="s">
        <v>190</v>
      </c>
      <c r="IA11" t="s">
        <v>190</v>
      </c>
      <c r="IB11" t="s">
        <v>190</v>
      </c>
      <c r="IC11" t="s">
        <v>190</v>
      </c>
      <c r="ID11" t="s">
        <v>190</v>
      </c>
      <c r="IE11" t="s">
        <v>190</v>
      </c>
      <c r="IF11" t="s">
        <v>59</v>
      </c>
      <c r="IG11" t="s">
        <v>59</v>
      </c>
      <c r="IH11" t="s">
        <v>59</v>
      </c>
      <c r="II11" t="s">
        <v>59</v>
      </c>
      <c r="IJ11" t="s">
        <v>129</v>
      </c>
      <c r="IK11" t="s">
        <v>191</v>
      </c>
      <c r="IL11" t="s">
        <v>128</v>
      </c>
      <c r="IM11" t="s">
        <v>199</v>
      </c>
      <c r="IN11" t="s">
        <v>2730</v>
      </c>
      <c r="IO11" t="s">
        <v>2730</v>
      </c>
      <c r="IP11" t="s">
        <v>2730</v>
      </c>
      <c r="IQ11" t="s">
        <v>2730</v>
      </c>
      <c r="IR11" t="s">
        <v>2730</v>
      </c>
      <c r="IS11" t="s">
        <v>2730</v>
      </c>
      <c r="IT11" t="s">
        <v>2730</v>
      </c>
      <c r="IU11" t="s">
        <v>2730</v>
      </c>
      <c r="IV11">
        <v>7</v>
      </c>
      <c r="IW11" t="s">
        <v>2730</v>
      </c>
      <c r="IX11" t="s">
        <v>2730</v>
      </c>
      <c r="IY11" t="s">
        <v>2730</v>
      </c>
      <c r="IZ11">
        <v>6</v>
      </c>
      <c r="JA11" t="s">
        <v>2730</v>
      </c>
      <c r="JB11" t="s">
        <v>2730</v>
      </c>
      <c r="JC11" t="s">
        <v>2730</v>
      </c>
      <c r="JD11">
        <v>3</v>
      </c>
      <c r="JE11" t="s">
        <v>2730</v>
      </c>
      <c r="JF11" t="s">
        <v>2730</v>
      </c>
      <c r="JG11" t="s">
        <v>2730</v>
      </c>
      <c r="JH11">
        <v>2</v>
      </c>
      <c r="JI11" t="s">
        <v>2730</v>
      </c>
      <c r="JJ11" t="s">
        <v>2730</v>
      </c>
      <c r="JK11" t="s">
        <v>2730</v>
      </c>
      <c r="JL11" t="s">
        <v>2730</v>
      </c>
      <c r="JM11" t="s">
        <v>2730</v>
      </c>
      <c r="JN11" t="s">
        <v>2730</v>
      </c>
      <c r="JO11">
        <v>4</v>
      </c>
      <c r="JP11" t="s">
        <v>2730</v>
      </c>
      <c r="JQ11" t="s">
        <v>2730</v>
      </c>
    </row>
    <row r="12" spans="1:277">
      <c r="A12" s="149" t="str">
        <f>HYPERLINK("http://www.ofsted.gov.uk/inspection-reports/find-inspection-report/provider/ELS/126149 ","Ofsted School Webpage")</f>
        <v>Ofsted School Webpage</v>
      </c>
      <c r="B12">
        <v>1132559</v>
      </c>
      <c r="C12">
        <v>126149</v>
      </c>
      <c r="D12">
        <v>9386249</v>
      </c>
      <c r="E12" t="s">
        <v>1907</v>
      </c>
      <c r="F12" t="s">
        <v>38</v>
      </c>
      <c r="G12" t="s">
        <v>180</v>
      </c>
      <c r="H12" t="s">
        <v>181</v>
      </c>
      <c r="I12" t="s">
        <v>181</v>
      </c>
      <c r="J12" t="s">
        <v>395</v>
      </c>
      <c r="K12" t="s">
        <v>1908</v>
      </c>
      <c r="L12" t="s">
        <v>184</v>
      </c>
      <c r="M12" t="s">
        <v>185</v>
      </c>
      <c r="N12" t="s">
        <v>184</v>
      </c>
      <c r="O12" t="s">
        <v>2730</v>
      </c>
      <c r="P12" t="s">
        <v>186</v>
      </c>
      <c r="Q12">
        <v>10043955</v>
      </c>
      <c r="R12" s="120">
        <v>43053</v>
      </c>
      <c r="S12" s="120">
        <v>43053</v>
      </c>
      <c r="T12" s="120">
        <v>43082</v>
      </c>
      <c r="U12" t="s">
        <v>2730</v>
      </c>
      <c r="V12" t="s">
        <v>187</v>
      </c>
      <c r="W12" t="s">
        <v>2730</v>
      </c>
      <c r="X12" t="s">
        <v>188</v>
      </c>
      <c r="Y12" t="s">
        <v>2730</v>
      </c>
      <c r="Z12" t="s">
        <v>2730</v>
      </c>
      <c r="AA12" t="s">
        <v>2730</v>
      </c>
      <c r="AB12" t="s">
        <v>2730</v>
      </c>
      <c r="AC12" t="s">
        <v>2730</v>
      </c>
      <c r="AD12" t="s">
        <v>2730</v>
      </c>
      <c r="AE12" t="s">
        <v>2730</v>
      </c>
      <c r="AF12" t="s">
        <v>2730</v>
      </c>
      <c r="AG12" t="s">
        <v>217</v>
      </c>
      <c r="AH12" t="s">
        <v>2730</v>
      </c>
      <c r="AI12" t="s">
        <v>190</v>
      </c>
      <c r="AJ12" t="s">
        <v>190</v>
      </c>
      <c r="AK12" t="s">
        <v>60</v>
      </c>
      <c r="AL12" t="s">
        <v>59</v>
      </c>
      <c r="AM12" t="s">
        <v>190</v>
      </c>
      <c r="AN12" t="s">
        <v>59</v>
      </c>
      <c r="AO12" t="s">
        <v>190</v>
      </c>
      <c r="AP12" t="s">
        <v>60</v>
      </c>
      <c r="AQ12" t="s">
        <v>190</v>
      </c>
      <c r="AR12" t="s">
        <v>190</v>
      </c>
      <c r="AS12" t="s">
        <v>190</v>
      </c>
      <c r="AT12" t="s">
        <v>190</v>
      </c>
      <c r="AU12" t="s">
        <v>190</v>
      </c>
      <c r="AV12" t="s">
        <v>190</v>
      </c>
      <c r="AW12" t="s">
        <v>190</v>
      </c>
      <c r="AX12" t="s">
        <v>190</v>
      </c>
      <c r="AY12" t="s">
        <v>190</v>
      </c>
      <c r="AZ12" t="s">
        <v>190</v>
      </c>
      <c r="BA12" t="s">
        <v>190</v>
      </c>
      <c r="BB12" t="s">
        <v>190</v>
      </c>
      <c r="BC12" t="s">
        <v>190</v>
      </c>
      <c r="BD12" t="s">
        <v>190</v>
      </c>
      <c r="BE12" t="s">
        <v>190</v>
      </c>
      <c r="BF12" t="s">
        <v>190</v>
      </c>
      <c r="BG12" t="s">
        <v>190</v>
      </c>
      <c r="BH12" t="s">
        <v>190</v>
      </c>
      <c r="BI12" t="s">
        <v>190</v>
      </c>
      <c r="BJ12" t="s">
        <v>190</v>
      </c>
      <c r="BK12" t="s">
        <v>190</v>
      </c>
      <c r="BL12" t="s">
        <v>190</v>
      </c>
      <c r="BM12" t="s">
        <v>190</v>
      </c>
      <c r="BN12" t="s">
        <v>190</v>
      </c>
      <c r="BO12" t="s">
        <v>190</v>
      </c>
      <c r="BP12" t="s">
        <v>190</v>
      </c>
      <c r="BQ12" t="s">
        <v>190</v>
      </c>
      <c r="BR12" t="s">
        <v>190</v>
      </c>
      <c r="BS12" t="s">
        <v>190</v>
      </c>
      <c r="BT12" t="s">
        <v>190</v>
      </c>
      <c r="BU12" t="s">
        <v>190</v>
      </c>
      <c r="BV12" t="s">
        <v>190</v>
      </c>
      <c r="BW12" t="s">
        <v>190</v>
      </c>
      <c r="BX12" t="s">
        <v>190</v>
      </c>
      <c r="BY12" t="s">
        <v>190</v>
      </c>
      <c r="BZ12" t="s">
        <v>190</v>
      </c>
      <c r="CA12" t="s">
        <v>190</v>
      </c>
      <c r="CB12" t="s">
        <v>190</v>
      </c>
      <c r="CC12" t="s">
        <v>190</v>
      </c>
      <c r="CD12" t="s">
        <v>190</v>
      </c>
      <c r="CE12" t="s">
        <v>190</v>
      </c>
      <c r="CF12" t="s">
        <v>190</v>
      </c>
      <c r="CG12" t="s">
        <v>190</v>
      </c>
      <c r="CH12" t="s">
        <v>190</v>
      </c>
      <c r="CI12" t="s">
        <v>190</v>
      </c>
      <c r="CJ12" t="s">
        <v>190</v>
      </c>
      <c r="CK12" t="s">
        <v>190</v>
      </c>
      <c r="CL12" t="s">
        <v>60</v>
      </c>
      <c r="CM12" t="s">
        <v>60</v>
      </c>
      <c r="CN12" t="s">
        <v>60</v>
      </c>
      <c r="CO12" t="s">
        <v>190</v>
      </c>
      <c r="CP12" t="s">
        <v>190</v>
      </c>
      <c r="CQ12" t="s">
        <v>190</v>
      </c>
      <c r="CR12" t="s">
        <v>190</v>
      </c>
      <c r="CS12" t="s">
        <v>190</v>
      </c>
      <c r="CT12" t="s">
        <v>190</v>
      </c>
      <c r="CU12" t="s">
        <v>190</v>
      </c>
      <c r="CV12" t="s">
        <v>190</v>
      </c>
      <c r="CW12" t="s">
        <v>190</v>
      </c>
      <c r="CX12" t="s">
        <v>59</v>
      </c>
      <c r="CY12" t="s">
        <v>190</v>
      </c>
      <c r="CZ12" t="s">
        <v>190</v>
      </c>
      <c r="DA12" t="s">
        <v>190</v>
      </c>
      <c r="DB12" t="s">
        <v>60</v>
      </c>
      <c r="DC12" t="s">
        <v>60</v>
      </c>
      <c r="DD12" t="s">
        <v>60</v>
      </c>
      <c r="DE12" t="s">
        <v>59</v>
      </c>
      <c r="DF12" t="s">
        <v>190</v>
      </c>
      <c r="DG12" t="s">
        <v>59</v>
      </c>
      <c r="DH12" t="s">
        <v>190</v>
      </c>
      <c r="DI12" t="s">
        <v>190</v>
      </c>
      <c r="DJ12" t="s">
        <v>190</v>
      </c>
      <c r="DK12" t="s">
        <v>190</v>
      </c>
      <c r="DL12" t="s">
        <v>190</v>
      </c>
      <c r="DM12" t="s">
        <v>190</v>
      </c>
      <c r="DN12" t="s">
        <v>190</v>
      </c>
      <c r="DO12" t="s">
        <v>190</v>
      </c>
      <c r="DP12" t="s">
        <v>190</v>
      </c>
      <c r="DQ12" t="s">
        <v>190</v>
      </c>
      <c r="DR12" t="s">
        <v>190</v>
      </c>
      <c r="DS12" t="s">
        <v>190</v>
      </c>
      <c r="DT12" t="s">
        <v>190</v>
      </c>
      <c r="DU12" t="s">
        <v>190</v>
      </c>
      <c r="DV12" t="s">
        <v>190</v>
      </c>
      <c r="DW12" t="s">
        <v>190</v>
      </c>
      <c r="DX12" t="s">
        <v>190</v>
      </c>
      <c r="DY12" t="s">
        <v>190</v>
      </c>
      <c r="DZ12" t="s">
        <v>190</v>
      </c>
      <c r="EA12" t="s">
        <v>190</v>
      </c>
      <c r="EB12" t="s">
        <v>190</v>
      </c>
      <c r="EC12" t="s">
        <v>190</v>
      </c>
      <c r="ED12" t="s">
        <v>190</v>
      </c>
      <c r="EE12" t="s">
        <v>190</v>
      </c>
      <c r="EF12" t="s">
        <v>190</v>
      </c>
      <c r="EG12" t="s">
        <v>190</v>
      </c>
      <c r="EH12" t="s">
        <v>190</v>
      </c>
      <c r="EI12" t="s">
        <v>190</v>
      </c>
      <c r="EJ12" t="s">
        <v>190</v>
      </c>
      <c r="EK12" t="s">
        <v>190</v>
      </c>
      <c r="EL12" t="s">
        <v>190</v>
      </c>
      <c r="EM12" t="s">
        <v>190</v>
      </c>
      <c r="EN12" t="s">
        <v>59</v>
      </c>
      <c r="EO12" t="s">
        <v>190</v>
      </c>
      <c r="EP12" t="s">
        <v>59</v>
      </c>
      <c r="EQ12" t="s">
        <v>59</v>
      </c>
      <c r="ER12" t="s">
        <v>190</v>
      </c>
      <c r="ES12" t="s">
        <v>190</v>
      </c>
      <c r="ET12" t="s">
        <v>59</v>
      </c>
      <c r="EU12" t="s">
        <v>190</v>
      </c>
      <c r="EV12" t="s">
        <v>190</v>
      </c>
      <c r="EW12" t="s">
        <v>190</v>
      </c>
      <c r="EX12" t="s">
        <v>190</v>
      </c>
      <c r="EY12" t="s">
        <v>190</v>
      </c>
      <c r="EZ12" t="s">
        <v>59</v>
      </c>
      <c r="FA12" t="s">
        <v>190</v>
      </c>
      <c r="FB12" t="s">
        <v>190</v>
      </c>
      <c r="FC12" t="s">
        <v>190</v>
      </c>
      <c r="FD12" t="s">
        <v>190</v>
      </c>
      <c r="FE12" t="s">
        <v>190</v>
      </c>
      <c r="FF12" t="s">
        <v>190</v>
      </c>
      <c r="FG12" t="s">
        <v>190</v>
      </c>
      <c r="FH12" t="s">
        <v>190</v>
      </c>
      <c r="FI12" t="s">
        <v>190</v>
      </c>
      <c r="FJ12" t="s">
        <v>190</v>
      </c>
      <c r="FK12" t="s">
        <v>190</v>
      </c>
      <c r="FL12" t="s">
        <v>190</v>
      </c>
      <c r="FM12" t="s">
        <v>190</v>
      </c>
      <c r="FN12" t="s">
        <v>190</v>
      </c>
      <c r="FO12" t="s">
        <v>190</v>
      </c>
      <c r="FP12" t="s">
        <v>190</v>
      </c>
      <c r="FQ12" t="s">
        <v>190</v>
      </c>
      <c r="FR12" t="s">
        <v>190</v>
      </c>
      <c r="FS12" t="s">
        <v>190</v>
      </c>
      <c r="FT12" t="s">
        <v>190</v>
      </c>
      <c r="FU12" t="s">
        <v>190</v>
      </c>
      <c r="FV12" t="s">
        <v>190</v>
      </c>
      <c r="FW12" t="s">
        <v>190</v>
      </c>
      <c r="FX12" t="s">
        <v>190</v>
      </c>
      <c r="FY12" t="s">
        <v>190</v>
      </c>
      <c r="FZ12" t="s">
        <v>59</v>
      </c>
      <c r="GA12" t="s">
        <v>190</v>
      </c>
      <c r="GB12" t="s">
        <v>190</v>
      </c>
      <c r="GC12" t="s">
        <v>190</v>
      </c>
      <c r="GD12" t="s">
        <v>59</v>
      </c>
      <c r="GE12" t="s">
        <v>190</v>
      </c>
      <c r="GF12" t="s">
        <v>190</v>
      </c>
      <c r="GG12" t="s">
        <v>190</v>
      </c>
      <c r="GH12" t="s">
        <v>190</v>
      </c>
      <c r="GI12" t="s">
        <v>190</v>
      </c>
      <c r="GJ12" t="s">
        <v>190</v>
      </c>
      <c r="GK12" t="s">
        <v>190</v>
      </c>
      <c r="GL12" t="s">
        <v>59</v>
      </c>
      <c r="GM12" t="s">
        <v>190</v>
      </c>
      <c r="GN12" t="s">
        <v>190</v>
      </c>
      <c r="GO12" t="s">
        <v>59</v>
      </c>
      <c r="GP12" t="s">
        <v>190</v>
      </c>
      <c r="GQ12" t="s">
        <v>190</v>
      </c>
      <c r="GR12" t="s">
        <v>190</v>
      </c>
      <c r="GS12" t="s">
        <v>190</v>
      </c>
      <c r="GT12" t="s">
        <v>190</v>
      </c>
      <c r="GU12" t="s">
        <v>190</v>
      </c>
      <c r="GV12" t="s">
        <v>190</v>
      </c>
      <c r="GW12" t="s">
        <v>190</v>
      </c>
      <c r="GX12" t="s">
        <v>190</v>
      </c>
      <c r="GY12" t="s">
        <v>190</v>
      </c>
      <c r="GZ12" t="s">
        <v>190</v>
      </c>
      <c r="HA12" t="s">
        <v>190</v>
      </c>
      <c r="HB12" t="s">
        <v>190</v>
      </c>
      <c r="HC12" t="s">
        <v>190</v>
      </c>
      <c r="HD12" t="s">
        <v>190</v>
      </c>
      <c r="HE12" t="s">
        <v>190</v>
      </c>
      <c r="HF12" t="s">
        <v>190</v>
      </c>
      <c r="HG12" t="s">
        <v>190</v>
      </c>
      <c r="HH12" t="s">
        <v>190</v>
      </c>
      <c r="HI12" t="s">
        <v>190</v>
      </c>
      <c r="HJ12" t="s">
        <v>190</v>
      </c>
      <c r="HK12" t="s">
        <v>190</v>
      </c>
      <c r="HL12" t="s">
        <v>190</v>
      </c>
      <c r="HM12" t="s">
        <v>190</v>
      </c>
      <c r="HN12" t="s">
        <v>190</v>
      </c>
      <c r="HO12" t="s">
        <v>190</v>
      </c>
      <c r="HP12" t="s">
        <v>190</v>
      </c>
      <c r="HQ12" t="s">
        <v>190</v>
      </c>
      <c r="HR12" t="s">
        <v>190</v>
      </c>
      <c r="HS12" t="s">
        <v>190</v>
      </c>
      <c r="HT12" t="s">
        <v>190</v>
      </c>
      <c r="HU12" t="s">
        <v>190</v>
      </c>
      <c r="HV12" t="s">
        <v>190</v>
      </c>
      <c r="HW12" t="s">
        <v>190</v>
      </c>
      <c r="HX12" t="s">
        <v>190</v>
      </c>
      <c r="HY12" t="s">
        <v>190</v>
      </c>
      <c r="HZ12" t="s">
        <v>190</v>
      </c>
      <c r="IA12" t="s">
        <v>190</v>
      </c>
      <c r="IB12" t="s">
        <v>190</v>
      </c>
      <c r="IC12" t="s">
        <v>190</v>
      </c>
      <c r="ID12" t="s">
        <v>190</v>
      </c>
      <c r="IE12" t="s">
        <v>190</v>
      </c>
      <c r="IF12" t="s">
        <v>60</v>
      </c>
      <c r="IG12" t="s">
        <v>60</v>
      </c>
      <c r="IH12" t="s">
        <v>60</v>
      </c>
      <c r="II12" t="s">
        <v>60</v>
      </c>
      <c r="IJ12" t="s">
        <v>129</v>
      </c>
      <c r="IK12" t="s">
        <v>191</v>
      </c>
      <c r="IL12" t="s">
        <v>128</v>
      </c>
      <c r="IM12" t="s">
        <v>2730</v>
      </c>
      <c r="IN12" t="s">
        <v>2730</v>
      </c>
      <c r="IO12" t="s">
        <v>2730</v>
      </c>
      <c r="IP12" t="s">
        <v>2730</v>
      </c>
      <c r="IQ12" t="s">
        <v>2730</v>
      </c>
      <c r="IR12" t="s">
        <v>2730</v>
      </c>
      <c r="IS12" t="s">
        <v>2730</v>
      </c>
      <c r="IT12" t="s">
        <v>2730</v>
      </c>
      <c r="IU12" t="s">
        <v>2730</v>
      </c>
      <c r="IV12">
        <v>1</v>
      </c>
      <c r="IW12" t="s">
        <v>2730</v>
      </c>
      <c r="IX12" t="s">
        <v>2730</v>
      </c>
      <c r="IY12">
        <v>6</v>
      </c>
      <c r="IZ12">
        <v>7</v>
      </c>
      <c r="JA12" t="s">
        <v>2730</v>
      </c>
      <c r="JB12" t="s">
        <v>2730</v>
      </c>
      <c r="JC12" t="s">
        <v>2730</v>
      </c>
      <c r="JD12">
        <v>2</v>
      </c>
      <c r="JE12" t="s">
        <v>2730</v>
      </c>
      <c r="JF12" t="s">
        <v>2730</v>
      </c>
      <c r="JG12" t="s">
        <v>2730</v>
      </c>
      <c r="JH12">
        <v>2</v>
      </c>
      <c r="JI12" t="s">
        <v>2730</v>
      </c>
      <c r="JJ12" t="s">
        <v>2730</v>
      </c>
      <c r="JK12" t="s">
        <v>2730</v>
      </c>
      <c r="JL12" t="s">
        <v>2730</v>
      </c>
      <c r="JM12" t="s">
        <v>2730</v>
      </c>
      <c r="JN12" t="s">
        <v>2730</v>
      </c>
      <c r="JO12" t="s">
        <v>2730</v>
      </c>
      <c r="JP12" t="s">
        <v>2730</v>
      </c>
      <c r="JQ12">
        <v>4</v>
      </c>
    </row>
    <row r="13" spans="1:277">
      <c r="A13" s="149" t="str">
        <f>HYPERLINK("http://www.ofsted.gov.uk/inspection-reports/find-inspection-report/provider/ELS/130855 ","Ofsted School Webpage")</f>
        <v>Ofsted School Webpage</v>
      </c>
      <c r="B13">
        <v>1132176</v>
      </c>
      <c r="C13">
        <v>130855</v>
      </c>
      <c r="D13">
        <v>9356085</v>
      </c>
      <c r="E13" t="s">
        <v>1022</v>
      </c>
      <c r="F13" t="s">
        <v>38</v>
      </c>
      <c r="G13" t="s">
        <v>180</v>
      </c>
      <c r="H13" t="s">
        <v>220</v>
      </c>
      <c r="I13" t="s">
        <v>220</v>
      </c>
      <c r="J13" t="s">
        <v>297</v>
      </c>
      <c r="K13" t="s">
        <v>1023</v>
      </c>
      <c r="L13" t="s">
        <v>184</v>
      </c>
      <c r="M13" t="s">
        <v>185</v>
      </c>
      <c r="N13" t="s">
        <v>184</v>
      </c>
      <c r="O13" t="s">
        <v>2730</v>
      </c>
      <c r="P13" t="s">
        <v>186</v>
      </c>
      <c r="Q13">
        <v>10040350</v>
      </c>
      <c r="R13" s="120">
        <v>43061</v>
      </c>
      <c r="S13" s="120">
        <v>43061</v>
      </c>
      <c r="T13" s="120">
        <v>43090</v>
      </c>
      <c r="U13" t="s">
        <v>2730</v>
      </c>
      <c r="V13" t="s">
        <v>187</v>
      </c>
      <c r="W13" t="s">
        <v>2730</v>
      </c>
      <c r="X13" t="s">
        <v>188</v>
      </c>
      <c r="Y13" t="s">
        <v>2730</v>
      </c>
      <c r="Z13" t="s">
        <v>2730</v>
      </c>
      <c r="AA13" t="s">
        <v>2730</v>
      </c>
      <c r="AB13" t="s">
        <v>2730</v>
      </c>
      <c r="AC13" t="s">
        <v>2730</v>
      </c>
      <c r="AD13" t="s">
        <v>2730</v>
      </c>
      <c r="AE13" t="s">
        <v>2730</v>
      </c>
      <c r="AF13" t="s">
        <v>2730</v>
      </c>
      <c r="AG13" t="s">
        <v>217</v>
      </c>
      <c r="AH13" t="s">
        <v>2730</v>
      </c>
      <c r="AI13" t="s">
        <v>190</v>
      </c>
      <c r="AJ13" t="s">
        <v>190</v>
      </c>
      <c r="AK13" t="s">
        <v>59</v>
      </c>
      <c r="AL13" t="s">
        <v>59</v>
      </c>
      <c r="AM13" t="s">
        <v>190</v>
      </c>
      <c r="AN13" t="s">
        <v>59</v>
      </c>
      <c r="AO13" t="s">
        <v>190</v>
      </c>
      <c r="AP13" t="s">
        <v>60</v>
      </c>
      <c r="AQ13" t="s">
        <v>190</v>
      </c>
      <c r="AR13" t="s">
        <v>190</v>
      </c>
      <c r="AS13" t="s">
        <v>190</v>
      </c>
      <c r="AT13" t="s">
        <v>190</v>
      </c>
      <c r="AU13" t="s">
        <v>190</v>
      </c>
      <c r="AV13" t="s">
        <v>190</v>
      </c>
      <c r="AW13" t="s">
        <v>190</v>
      </c>
      <c r="AX13" t="s">
        <v>190</v>
      </c>
      <c r="AY13" t="s">
        <v>190</v>
      </c>
      <c r="AZ13" t="s">
        <v>190</v>
      </c>
      <c r="BA13" t="s">
        <v>190</v>
      </c>
      <c r="BB13" t="s">
        <v>190</v>
      </c>
      <c r="BC13" t="s">
        <v>190</v>
      </c>
      <c r="BD13" t="s">
        <v>190</v>
      </c>
      <c r="BE13" t="s">
        <v>190</v>
      </c>
      <c r="BF13" t="s">
        <v>190</v>
      </c>
      <c r="BG13" t="s">
        <v>190</v>
      </c>
      <c r="BH13" t="s">
        <v>190</v>
      </c>
      <c r="BI13" t="s">
        <v>190</v>
      </c>
      <c r="BJ13" t="s">
        <v>190</v>
      </c>
      <c r="BK13" t="s">
        <v>190</v>
      </c>
      <c r="BL13" t="s">
        <v>190</v>
      </c>
      <c r="BM13" t="s">
        <v>190</v>
      </c>
      <c r="BN13" t="s">
        <v>190</v>
      </c>
      <c r="BO13" t="s">
        <v>190</v>
      </c>
      <c r="BP13" t="s">
        <v>190</v>
      </c>
      <c r="BQ13" t="s">
        <v>190</v>
      </c>
      <c r="BR13" t="s">
        <v>190</v>
      </c>
      <c r="BS13" t="s">
        <v>190</v>
      </c>
      <c r="BT13" t="s">
        <v>190</v>
      </c>
      <c r="BU13" t="s">
        <v>190</v>
      </c>
      <c r="BV13" t="s">
        <v>190</v>
      </c>
      <c r="BW13" t="s">
        <v>190</v>
      </c>
      <c r="BX13" t="s">
        <v>190</v>
      </c>
      <c r="BY13" t="s">
        <v>190</v>
      </c>
      <c r="BZ13" t="s">
        <v>190</v>
      </c>
      <c r="CA13" t="s">
        <v>190</v>
      </c>
      <c r="CB13" t="s">
        <v>190</v>
      </c>
      <c r="CC13" t="s">
        <v>190</v>
      </c>
      <c r="CD13" t="s">
        <v>190</v>
      </c>
      <c r="CE13" t="s">
        <v>190</v>
      </c>
      <c r="CF13" t="s">
        <v>190</v>
      </c>
      <c r="CG13" t="s">
        <v>190</v>
      </c>
      <c r="CH13" t="s">
        <v>190</v>
      </c>
      <c r="CI13" t="s">
        <v>190</v>
      </c>
      <c r="CJ13" t="s">
        <v>190</v>
      </c>
      <c r="CK13" t="s">
        <v>190</v>
      </c>
      <c r="CL13" t="s">
        <v>59</v>
      </c>
      <c r="CM13" t="s">
        <v>59</v>
      </c>
      <c r="CN13" t="s">
        <v>59</v>
      </c>
      <c r="CO13" t="s">
        <v>218</v>
      </c>
      <c r="CP13" t="s">
        <v>218</v>
      </c>
      <c r="CQ13" t="s">
        <v>218</v>
      </c>
      <c r="CR13" t="s">
        <v>190</v>
      </c>
      <c r="CS13" t="s">
        <v>190</v>
      </c>
      <c r="CT13" t="s">
        <v>190</v>
      </c>
      <c r="CU13" t="s">
        <v>190</v>
      </c>
      <c r="CV13" t="s">
        <v>190</v>
      </c>
      <c r="CW13" t="s">
        <v>190</v>
      </c>
      <c r="CX13" t="s">
        <v>190</v>
      </c>
      <c r="CY13" t="s">
        <v>190</v>
      </c>
      <c r="CZ13" t="s">
        <v>190</v>
      </c>
      <c r="DA13" t="s">
        <v>190</v>
      </c>
      <c r="DB13" t="s">
        <v>190</v>
      </c>
      <c r="DC13" t="s">
        <v>190</v>
      </c>
      <c r="DD13" t="s">
        <v>190</v>
      </c>
      <c r="DE13" t="s">
        <v>59</v>
      </c>
      <c r="DF13" t="s">
        <v>59</v>
      </c>
      <c r="DG13" t="s">
        <v>59</v>
      </c>
      <c r="DH13" t="s">
        <v>59</v>
      </c>
      <c r="DI13" t="s">
        <v>59</v>
      </c>
      <c r="DJ13" t="s">
        <v>59</v>
      </c>
      <c r="DK13" t="s">
        <v>59</v>
      </c>
      <c r="DL13" t="s">
        <v>59</v>
      </c>
      <c r="DM13" t="s">
        <v>59</v>
      </c>
      <c r="DN13" t="s">
        <v>59</v>
      </c>
      <c r="DO13" t="s">
        <v>218</v>
      </c>
      <c r="DP13" t="s">
        <v>59</v>
      </c>
      <c r="DQ13" t="s">
        <v>59</v>
      </c>
      <c r="DR13" t="s">
        <v>59</v>
      </c>
      <c r="DS13" t="s">
        <v>59</v>
      </c>
      <c r="DT13" t="s">
        <v>59</v>
      </c>
      <c r="DU13" t="s">
        <v>59</v>
      </c>
      <c r="DV13" t="s">
        <v>59</v>
      </c>
      <c r="DW13" t="s">
        <v>59</v>
      </c>
      <c r="DX13" t="s">
        <v>59</v>
      </c>
      <c r="DY13" t="s">
        <v>59</v>
      </c>
      <c r="DZ13" t="s">
        <v>59</v>
      </c>
      <c r="EA13" t="s">
        <v>59</v>
      </c>
      <c r="EB13" t="s">
        <v>59</v>
      </c>
      <c r="EC13" t="s">
        <v>218</v>
      </c>
      <c r="ED13" t="s">
        <v>59</v>
      </c>
      <c r="EE13" t="s">
        <v>59</v>
      </c>
      <c r="EF13" t="s">
        <v>59</v>
      </c>
      <c r="EG13" t="s">
        <v>59</v>
      </c>
      <c r="EH13" t="s">
        <v>59</v>
      </c>
      <c r="EI13" t="s">
        <v>59</v>
      </c>
      <c r="EJ13" t="s">
        <v>59</v>
      </c>
      <c r="EK13" t="s">
        <v>59</v>
      </c>
      <c r="EL13" t="s">
        <v>59</v>
      </c>
      <c r="EM13" t="s">
        <v>59</v>
      </c>
      <c r="EN13" t="s">
        <v>59</v>
      </c>
      <c r="EO13" t="s">
        <v>59</v>
      </c>
      <c r="EP13" t="s">
        <v>59</v>
      </c>
      <c r="EQ13" t="s">
        <v>59</v>
      </c>
      <c r="ER13" t="s">
        <v>59</v>
      </c>
      <c r="ES13" t="s">
        <v>59</v>
      </c>
      <c r="ET13" t="s">
        <v>59</v>
      </c>
      <c r="EU13" t="s">
        <v>59</v>
      </c>
      <c r="EV13" t="s">
        <v>59</v>
      </c>
      <c r="EW13" t="s">
        <v>59</v>
      </c>
      <c r="EX13" t="s">
        <v>59</v>
      </c>
      <c r="EY13" t="s">
        <v>59</v>
      </c>
      <c r="EZ13" t="s">
        <v>59</v>
      </c>
      <c r="FA13" t="s">
        <v>59</v>
      </c>
      <c r="FB13" t="s">
        <v>59</v>
      </c>
      <c r="FC13" t="s">
        <v>59</v>
      </c>
      <c r="FD13" t="s">
        <v>59</v>
      </c>
      <c r="FE13" t="s">
        <v>59</v>
      </c>
      <c r="FF13" t="s">
        <v>59</v>
      </c>
      <c r="FG13" t="s">
        <v>59</v>
      </c>
      <c r="FH13" t="s">
        <v>59</v>
      </c>
      <c r="FI13" t="s">
        <v>59</v>
      </c>
      <c r="FJ13" t="s">
        <v>59</v>
      </c>
      <c r="FK13" t="s">
        <v>59</v>
      </c>
      <c r="FL13" t="s">
        <v>190</v>
      </c>
      <c r="FM13" t="s">
        <v>190</v>
      </c>
      <c r="FN13" t="s">
        <v>190</v>
      </c>
      <c r="FO13" t="s">
        <v>190</v>
      </c>
      <c r="FP13" t="s">
        <v>190</v>
      </c>
      <c r="FQ13" t="s">
        <v>190</v>
      </c>
      <c r="FR13" t="s">
        <v>190</v>
      </c>
      <c r="FS13" t="s">
        <v>190</v>
      </c>
      <c r="FT13" t="s">
        <v>190</v>
      </c>
      <c r="FU13" t="s">
        <v>190</v>
      </c>
      <c r="FV13" t="s">
        <v>190</v>
      </c>
      <c r="FW13" t="s">
        <v>190</v>
      </c>
      <c r="FX13" t="s">
        <v>190</v>
      </c>
      <c r="FY13" t="s">
        <v>190</v>
      </c>
      <c r="FZ13" t="s">
        <v>190</v>
      </c>
      <c r="GA13" t="s">
        <v>190</v>
      </c>
      <c r="GB13" t="s">
        <v>190</v>
      </c>
      <c r="GC13" t="s">
        <v>190</v>
      </c>
      <c r="GD13" t="s">
        <v>190</v>
      </c>
      <c r="GE13" t="s">
        <v>190</v>
      </c>
      <c r="GF13" t="s">
        <v>190</v>
      </c>
      <c r="GG13" t="s">
        <v>190</v>
      </c>
      <c r="GH13" t="s">
        <v>190</v>
      </c>
      <c r="GI13" t="s">
        <v>190</v>
      </c>
      <c r="GJ13" t="s">
        <v>190</v>
      </c>
      <c r="GK13" t="s">
        <v>218</v>
      </c>
      <c r="GL13" t="s">
        <v>59</v>
      </c>
      <c r="GM13" t="s">
        <v>59</v>
      </c>
      <c r="GN13" t="s">
        <v>59</v>
      </c>
      <c r="GO13" t="s">
        <v>59</v>
      </c>
      <c r="GP13" t="s">
        <v>190</v>
      </c>
      <c r="GQ13" t="s">
        <v>190</v>
      </c>
      <c r="GR13" t="s">
        <v>190</v>
      </c>
      <c r="GS13" t="s">
        <v>190</v>
      </c>
      <c r="GT13" t="s">
        <v>190</v>
      </c>
      <c r="GU13" t="s">
        <v>190</v>
      </c>
      <c r="GV13" t="s">
        <v>190</v>
      </c>
      <c r="GW13" t="s">
        <v>190</v>
      </c>
      <c r="GX13" t="s">
        <v>190</v>
      </c>
      <c r="GY13" t="s">
        <v>190</v>
      </c>
      <c r="GZ13" t="s">
        <v>190</v>
      </c>
      <c r="HA13" t="s">
        <v>190</v>
      </c>
      <c r="HB13" t="s">
        <v>190</v>
      </c>
      <c r="HC13" t="s">
        <v>190</v>
      </c>
      <c r="HD13" t="s">
        <v>59</v>
      </c>
      <c r="HE13" t="s">
        <v>190</v>
      </c>
      <c r="HF13" t="s">
        <v>59</v>
      </c>
      <c r="HG13" t="s">
        <v>190</v>
      </c>
      <c r="HH13" t="s">
        <v>190</v>
      </c>
      <c r="HI13" t="s">
        <v>190</v>
      </c>
      <c r="HJ13" t="s">
        <v>190</v>
      </c>
      <c r="HK13" t="s">
        <v>190</v>
      </c>
      <c r="HL13" t="s">
        <v>190</v>
      </c>
      <c r="HM13" t="s">
        <v>218</v>
      </c>
      <c r="HN13" t="s">
        <v>218</v>
      </c>
      <c r="HO13" t="s">
        <v>218</v>
      </c>
      <c r="HP13" t="s">
        <v>190</v>
      </c>
      <c r="HQ13" t="s">
        <v>190</v>
      </c>
      <c r="HR13" t="s">
        <v>190</v>
      </c>
      <c r="HS13" t="s">
        <v>190</v>
      </c>
      <c r="HT13" t="s">
        <v>190</v>
      </c>
      <c r="HU13" t="s">
        <v>190</v>
      </c>
      <c r="HV13" t="s">
        <v>190</v>
      </c>
      <c r="HW13" t="s">
        <v>190</v>
      </c>
      <c r="HX13" t="s">
        <v>190</v>
      </c>
      <c r="HY13" t="s">
        <v>190</v>
      </c>
      <c r="HZ13" t="s">
        <v>190</v>
      </c>
      <c r="IA13" t="s">
        <v>190</v>
      </c>
      <c r="IB13" t="s">
        <v>190</v>
      </c>
      <c r="IC13" t="s">
        <v>190</v>
      </c>
      <c r="ID13" t="s">
        <v>190</v>
      </c>
      <c r="IE13" t="s">
        <v>190</v>
      </c>
      <c r="IF13" t="s">
        <v>60</v>
      </c>
      <c r="IG13" t="s">
        <v>60</v>
      </c>
      <c r="IH13" t="s">
        <v>60</v>
      </c>
      <c r="II13" t="s">
        <v>60</v>
      </c>
      <c r="IJ13" t="s">
        <v>129</v>
      </c>
      <c r="IK13" t="s">
        <v>191</v>
      </c>
      <c r="IL13" t="s">
        <v>128</v>
      </c>
      <c r="IM13" t="s">
        <v>199</v>
      </c>
      <c r="IN13" t="s">
        <v>2730</v>
      </c>
      <c r="IO13" t="s">
        <v>2730</v>
      </c>
      <c r="IP13" t="s">
        <v>2730</v>
      </c>
      <c r="IQ13" t="s">
        <v>2730</v>
      </c>
      <c r="IR13" t="s">
        <v>2730</v>
      </c>
      <c r="IS13" t="s">
        <v>2730</v>
      </c>
      <c r="IT13" t="s">
        <v>2730</v>
      </c>
      <c r="IU13" t="s">
        <v>2730</v>
      </c>
      <c r="IV13">
        <v>3</v>
      </c>
      <c r="IW13" t="s">
        <v>2730</v>
      </c>
      <c r="IX13" t="s">
        <v>2730</v>
      </c>
      <c r="IY13" t="s">
        <v>2730</v>
      </c>
      <c r="IZ13">
        <v>57</v>
      </c>
      <c r="JA13" t="s">
        <v>2730</v>
      </c>
      <c r="JB13" t="s">
        <v>2730</v>
      </c>
      <c r="JC13" t="s">
        <v>2730</v>
      </c>
      <c r="JD13" t="s">
        <v>2730</v>
      </c>
      <c r="JE13" t="s">
        <v>2730</v>
      </c>
      <c r="JF13" t="s">
        <v>2730</v>
      </c>
      <c r="JG13" t="s">
        <v>2730</v>
      </c>
      <c r="JH13">
        <v>6</v>
      </c>
      <c r="JI13" t="s">
        <v>2730</v>
      </c>
      <c r="JJ13" t="s">
        <v>2730</v>
      </c>
      <c r="JK13" t="s">
        <v>2730</v>
      </c>
      <c r="JL13" t="s">
        <v>2730</v>
      </c>
      <c r="JM13" t="s">
        <v>2730</v>
      </c>
      <c r="JN13" t="s">
        <v>2730</v>
      </c>
      <c r="JO13" t="s">
        <v>2730</v>
      </c>
      <c r="JP13" t="s">
        <v>2730</v>
      </c>
      <c r="JQ13">
        <v>4</v>
      </c>
    </row>
    <row r="14" spans="1:277">
      <c r="A14" s="149" t="str">
        <f>HYPERLINK("http://www.ofsted.gov.uk/inspection-reports/find-inspection-report/provider/ELS/115426 ","Ofsted School Webpage")</f>
        <v>Ofsted School Webpage</v>
      </c>
      <c r="B14">
        <v>1132107</v>
      </c>
      <c r="C14">
        <v>115426</v>
      </c>
      <c r="D14">
        <v>8816032</v>
      </c>
      <c r="E14" t="s">
        <v>322</v>
      </c>
      <c r="F14" t="s">
        <v>38</v>
      </c>
      <c r="G14" t="s">
        <v>180</v>
      </c>
      <c r="H14" t="s">
        <v>220</v>
      </c>
      <c r="I14" t="s">
        <v>220</v>
      </c>
      <c r="J14" t="s">
        <v>323</v>
      </c>
      <c r="K14" t="s">
        <v>324</v>
      </c>
      <c r="L14" t="s">
        <v>184</v>
      </c>
      <c r="M14" t="s">
        <v>185</v>
      </c>
      <c r="N14" t="s">
        <v>184</v>
      </c>
      <c r="O14" t="s">
        <v>2730</v>
      </c>
      <c r="P14" t="s">
        <v>186</v>
      </c>
      <c r="Q14">
        <v>10039953</v>
      </c>
      <c r="R14" s="120">
        <v>43019</v>
      </c>
      <c r="S14" s="120">
        <v>43019</v>
      </c>
      <c r="T14" s="120">
        <v>43048</v>
      </c>
      <c r="U14" t="s">
        <v>2730</v>
      </c>
      <c r="V14" t="s">
        <v>187</v>
      </c>
      <c r="W14" t="s">
        <v>2730</v>
      </c>
      <c r="X14" t="s">
        <v>188</v>
      </c>
      <c r="Y14" t="s">
        <v>2730</v>
      </c>
      <c r="Z14" t="s">
        <v>2730</v>
      </c>
      <c r="AA14" t="s">
        <v>2730</v>
      </c>
      <c r="AB14" t="s">
        <v>2730</v>
      </c>
      <c r="AC14" t="s">
        <v>2730</v>
      </c>
      <c r="AD14" t="s">
        <v>2730</v>
      </c>
      <c r="AE14" t="s">
        <v>2730</v>
      </c>
      <c r="AF14" t="s">
        <v>2730</v>
      </c>
      <c r="AG14" t="s">
        <v>217</v>
      </c>
      <c r="AH14" t="s">
        <v>2730</v>
      </c>
      <c r="AI14" t="s">
        <v>190</v>
      </c>
      <c r="AJ14" t="s">
        <v>190</v>
      </c>
      <c r="AK14" t="s">
        <v>190</v>
      </c>
      <c r="AL14" t="s">
        <v>190</v>
      </c>
      <c r="AM14" t="s">
        <v>190</v>
      </c>
      <c r="AN14" t="s">
        <v>190</v>
      </c>
      <c r="AO14" t="s">
        <v>190</v>
      </c>
      <c r="AP14" t="s">
        <v>60</v>
      </c>
      <c r="AQ14" t="s">
        <v>190</v>
      </c>
      <c r="AR14" t="s">
        <v>190</v>
      </c>
      <c r="AS14" t="s">
        <v>190</v>
      </c>
      <c r="AT14" t="s">
        <v>190</v>
      </c>
      <c r="AU14" t="s">
        <v>190</v>
      </c>
      <c r="AV14" t="s">
        <v>190</v>
      </c>
      <c r="AW14" t="s">
        <v>190</v>
      </c>
      <c r="AX14" t="s">
        <v>190</v>
      </c>
      <c r="AY14" t="s">
        <v>190</v>
      </c>
      <c r="AZ14" t="s">
        <v>190</v>
      </c>
      <c r="BA14" t="s">
        <v>190</v>
      </c>
      <c r="BB14" t="s">
        <v>190</v>
      </c>
      <c r="BC14" t="s">
        <v>190</v>
      </c>
      <c r="BD14" t="s">
        <v>190</v>
      </c>
      <c r="BE14" t="s">
        <v>190</v>
      </c>
      <c r="BF14" t="s">
        <v>190</v>
      </c>
      <c r="BG14" t="s">
        <v>190</v>
      </c>
      <c r="BH14" t="s">
        <v>190</v>
      </c>
      <c r="BI14" t="s">
        <v>190</v>
      </c>
      <c r="BJ14" t="s">
        <v>190</v>
      </c>
      <c r="BK14" t="s">
        <v>190</v>
      </c>
      <c r="BL14" t="s">
        <v>190</v>
      </c>
      <c r="BM14" t="s">
        <v>190</v>
      </c>
      <c r="BN14" t="s">
        <v>190</v>
      </c>
      <c r="BO14" t="s">
        <v>190</v>
      </c>
      <c r="BP14" t="s">
        <v>190</v>
      </c>
      <c r="BQ14" t="s">
        <v>190</v>
      </c>
      <c r="BR14" t="s">
        <v>190</v>
      </c>
      <c r="BS14" t="s">
        <v>190</v>
      </c>
      <c r="BT14" t="s">
        <v>190</v>
      </c>
      <c r="BU14" t="s">
        <v>190</v>
      </c>
      <c r="BV14" t="s">
        <v>190</v>
      </c>
      <c r="BW14" t="s">
        <v>190</v>
      </c>
      <c r="BX14" t="s">
        <v>190</v>
      </c>
      <c r="BY14" t="s">
        <v>190</v>
      </c>
      <c r="BZ14" t="s">
        <v>190</v>
      </c>
      <c r="CA14" t="s">
        <v>190</v>
      </c>
      <c r="CB14" t="s">
        <v>190</v>
      </c>
      <c r="CC14" t="s">
        <v>190</v>
      </c>
      <c r="CD14" t="s">
        <v>190</v>
      </c>
      <c r="CE14" t="s">
        <v>190</v>
      </c>
      <c r="CF14" t="s">
        <v>190</v>
      </c>
      <c r="CG14" t="s">
        <v>190</v>
      </c>
      <c r="CH14" t="s">
        <v>190</v>
      </c>
      <c r="CI14" t="s">
        <v>190</v>
      </c>
      <c r="CJ14" t="s">
        <v>190</v>
      </c>
      <c r="CK14" t="s">
        <v>190</v>
      </c>
      <c r="CL14" t="s">
        <v>190</v>
      </c>
      <c r="CM14" t="s">
        <v>190</v>
      </c>
      <c r="CN14" t="s">
        <v>190</v>
      </c>
      <c r="CO14" t="s">
        <v>60</v>
      </c>
      <c r="CP14" t="s">
        <v>60</v>
      </c>
      <c r="CQ14" t="s">
        <v>60</v>
      </c>
      <c r="CR14" t="s">
        <v>60</v>
      </c>
      <c r="CS14" t="s">
        <v>59</v>
      </c>
      <c r="CT14" t="s">
        <v>60</v>
      </c>
      <c r="CU14" t="s">
        <v>59</v>
      </c>
      <c r="CV14" t="s">
        <v>190</v>
      </c>
      <c r="CW14" t="s">
        <v>190</v>
      </c>
      <c r="CX14" t="s">
        <v>190</v>
      </c>
      <c r="CY14" t="s">
        <v>190</v>
      </c>
      <c r="CZ14" t="s">
        <v>190</v>
      </c>
      <c r="DA14" t="s">
        <v>190</v>
      </c>
      <c r="DB14" t="s">
        <v>190</v>
      </c>
      <c r="DC14" t="s">
        <v>190</v>
      </c>
      <c r="DD14" t="s">
        <v>190</v>
      </c>
      <c r="DE14" t="s">
        <v>190</v>
      </c>
      <c r="DF14" t="s">
        <v>190</v>
      </c>
      <c r="DG14" t="s">
        <v>190</v>
      </c>
      <c r="DH14" t="s">
        <v>190</v>
      </c>
      <c r="DI14" t="s">
        <v>190</v>
      </c>
      <c r="DJ14" t="s">
        <v>190</v>
      </c>
      <c r="DK14" t="s">
        <v>190</v>
      </c>
      <c r="DL14" t="s">
        <v>190</v>
      </c>
      <c r="DM14" t="s">
        <v>190</v>
      </c>
      <c r="DN14" t="s">
        <v>190</v>
      </c>
      <c r="DO14" t="s">
        <v>190</v>
      </c>
      <c r="DP14" t="s">
        <v>190</v>
      </c>
      <c r="DQ14" t="s">
        <v>190</v>
      </c>
      <c r="DR14" t="s">
        <v>190</v>
      </c>
      <c r="DS14" t="s">
        <v>190</v>
      </c>
      <c r="DT14" t="s">
        <v>190</v>
      </c>
      <c r="DU14" t="s">
        <v>190</v>
      </c>
      <c r="DV14" t="s">
        <v>190</v>
      </c>
      <c r="DW14" t="s">
        <v>190</v>
      </c>
      <c r="DX14" t="s">
        <v>190</v>
      </c>
      <c r="DY14" t="s">
        <v>190</v>
      </c>
      <c r="DZ14" t="s">
        <v>190</v>
      </c>
      <c r="EA14" t="s">
        <v>190</v>
      </c>
      <c r="EB14" t="s">
        <v>190</v>
      </c>
      <c r="EC14" t="s">
        <v>190</v>
      </c>
      <c r="ED14" t="s">
        <v>190</v>
      </c>
      <c r="EE14" t="s">
        <v>190</v>
      </c>
      <c r="EF14" t="s">
        <v>190</v>
      </c>
      <c r="EG14" t="s">
        <v>190</v>
      </c>
      <c r="EH14" t="s">
        <v>190</v>
      </c>
      <c r="EI14" t="s">
        <v>190</v>
      </c>
      <c r="EJ14" t="s">
        <v>190</v>
      </c>
      <c r="EK14" t="s">
        <v>190</v>
      </c>
      <c r="EL14" t="s">
        <v>190</v>
      </c>
      <c r="EM14" t="s">
        <v>190</v>
      </c>
      <c r="EN14" t="s">
        <v>190</v>
      </c>
      <c r="EO14" t="s">
        <v>190</v>
      </c>
      <c r="EP14" t="s">
        <v>190</v>
      </c>
      <c r="EQ14" t="s">
        <v>190</v>
      </c>
      <c r="ER14" t="s">
        <v>190</v>
      </c>
      <c r="ES14" t="s">
        <v>190</v>
      </c>
      <c r="ET14" t="s">
        <v>190</v>
      </c>
      <c r="EU14" t="s">
        <v>190</v>
      </c>
      <c r="EV14" t="s">
        <v>190</v>
      </c>
      <c r="EW14" t="s">
        <v>190</v>
      </c>
      <c r="EX14" t="s">
        <v>190</v>
      </c>
      <c r="EY14" t="s">
        <v>190</v>
      </c>
      <c r="EZ14" t="s">
        <v>190</v>
      </c>
      <c r="FA14" t="s">
        <v>190</v>
      </c>
      <c r="FB14" t="s">
        <v>190</v>
      </c>
      <c r="FC14" t="s">
        <v>190</v>
      </c>
      <c r="FD14" t="s">
        <v>190</v>
      </c>
      <c r="FE14" t="s">
        <v>190</v>
      </c>
      <c r="FF14" t="s">
        <v>190</v>
      </c>
      <c r="FG14" t="s">
        <v>190</v>
      </c>
      <c r="FH14" t="s">
        <v>190</v>
      </c>
      <c r="FI14" t="s">
        <v>190</v>
      </c>
      <c r="FJ14" t="s">
        <v>190</v>
      </c>
      <c r="FK14" t="s">
        <v>190</v>
      </c>
      <c r="FL14" t="s">
        <v>190</v>
      </c>
      <c r="FM14" t="s">
        <v>190</v>
      </c>
      <c r="FN14" t="s">
        <v>190</v>
      </c>
      <c r="FO14" t="s">
        <v>190</v>
      </c>
      <c r="FP14" t="s">
        <v>190</v>
      </c>
      <c r="FQ14" t="s">
        <v>190</v>
      </c>
      <c r="FR14" t="s">
        <v>190</v>
      </c>
      <c r="FS14" t="s">
        <v>190</v>
      </c>
      <c r="FT14" t="s">
        <v>190</v>
      </c>
      <c r="FU14" t="s">
        <v>190</v>
      </c>
      <c r="FV14" t="s">
        <v>190</v>
      </c>
      <c r="FW14" t="s">
        <v>190</v>
      </c>
      <c r="FX14" t="s">
        <v>190</v>
      </c>
      <c r="FY14" t="s">
        <v>190</v>
      </c>
      <c r="FZ14" t="s">
        <v>190</v>
      </c>
      <c r="GA14" t="s">
        <v>190</v>
      </c>
      <c r="GB14" t="s">
        <v>190</v>
      </c>
      <c r="GC14" t="s">
        <v>190</v>
      </c>
      <c r="GD14" t="s">
        <v>190</v>
      </c>
      <c r="GE14" t="s">
        <v>190</v>
      </c>
      <c r="GF14" t="s">
        <v>190</v>
      </c>
      <c r="GG14" t="s">
        <v>190</v>
      </c>
      <c r="GH14" t="s">
        <v>190</v>
      </c>
      <c r="GI14" t="s">
        <v>190</v>
      </c>
      <c r="GJ14" t="s">
        <v>190</v>
      </c>
      <c r="GK14" t="s">
        <v>190</v>
      </c>
      <c r="GL14" t="s">
        <v>190</v>
      </c>
      <c r="GM14" t="s">
        <v>190</v>
      </c>
      <c r="GN14" t="s">
        <v>190</v>
      </c>
      <c r="GO14" t="s">
        <v>190</v>
      </c>
      <c r="GP14" t="s">
        <v>190</v>
      </c>
      <c r="GQ14" t="s">
        <v>190</v>
      </c>
      <c r="GR14" t="s">
        <v>190</v>
      </c>
      <c r="GS14" t="s">
        <v>190</v>
      </c>
      <c r="GT14" t="s">
        <v>190</v>
      </c>
      <c r="GU14" t="s">
        <v>190</v>
      </c>
      <c r="GV14" t="s">
        <v>190</v>
      </c>
      <c r="GW14" t="s">
        <v>190</v>
      </c>
      <c r="GX14" t="s">
        <v>190</v>
      </c>
      <c r="GY14" t="s">
        <v>190</v>
      </c>
      <c r="GZ14" t="s">
        <v>190</v>
      </c>
      <c r="HA14" t="s">
        <v>190</v>
      </c>
      <c r="HB14" t="s">
        <v>190</v>
      </c>
      <c r="HC14" t="s">
        <v>190</v>
      </c>
      <c r="HD14" t="s">
        <v>190</v>
      </c>
      <c r="HE14" t="s">
        <v>190</v>
      </c>
      <c r="HF14" t="s">
        <v>190</v>
      </c>
      <c r="HG14" t="s">
        <v>190</v>
      </c>
      <c r="HH14" t="s">
        <v>190</v>
      </c>
      <c r="HI14" t="s">
        <v>190</v>
      </c>
      <c r="HJ14" t="s">
        <v>190</v>
      </c>
      <c r="HK14" t="s">
        <v>190</v>
      </c>
      <c r="HL14" t="s">
        <v>190</v>
      </c>
      <c r="HM14" t="s">
        <v>190</v>
      </c>
      <c r="HN14" t="s">
        <v>190</v>
      </c>
      <c r="HO14" t="s">
        <v>190</v>
      </c>
      <c r="HP14" t="s">
        <v>190</v>
      </c>
      <c r="HQ14" t="s">
        <v>190</v>
      </c>
      <c r="HR14" t="s">
        <v>190</v>
      </c>
      <c r="HS14" t="s">
        <v>190</v>
      </c>
      <c r="HT14" t="s">
        <v>190</v>
      </c>
      <c r="HU14" t="s">
        <v>190</v>
      </c>
      <c r="HV14" t="s">
        <v>190</v>
      </c>
      <c r="HW14" t="s">
        <v>190</v>
      </c>
      <c r="HX14" t="s">
        <v>190</v>
      </c>
      <c r="HY14" t="s">
        <v>190</v>
      </c>
      <c r="HZ14" t="s">
        <v>190</v>
      </c>
      <c r="IA14" t="s">
        <v>190</v>
      </c>
      <c r="IB14" t="s">
        <v>190</v>
      </c>
      <c r="IC14" t="s">
        <v>190</v>
      </c>
      <c r="ID14" t="s">
        <v>190</v>
      </c>
      <c r="IE14" t="s">
        <v>190</v>
      </c>
      <c r="IF14" t="s">
        <v>60</v>
      </c>
      <c r="IG14" t="s">
        <v>60</v>
      </c>
      <c r="IH14" t="s">
        <v>60</v>
      </c>
      <c r="II14" t="s">
        <v>60</v>
      </c>
      <c r="IJ14" t="s">
        <v>129</v>
      </c>
      <c r="IK14" t="s">
        <v>191</v>
      </c>
      <c r="IL14" t="s">
        <v>128</v>
      </c>
      <c r="IM14" t="s">
        <v>2730</v>
      </c>
      <c r="IN14" t="s">
        <v>2730</v>
      </c>
      <c r="IO14" t="s">
        <v>2730</v>
      </c>
      <c r="IP14" t="s">
        <v>2730</v>
      </c>
      <c r="IQ14" t="s">
        <v>2730</v>
      </c>
      <c r="IR14" t="s">
        <v>2730</v>
      </c>
      <c r="IS14" t="s">
        <v>2730</v>
      </c>
      <c r="IT14" t="s">
        <v>2730</v>
      </c>
      <c r="IU14" t="s">
        <v>2730</v>
      </c>
      <c r="IV14">
        <v>2</v>
      </c>
      <c r="IW14" t="s">
        <v>2730</v>
      </c>
      <c r="IX14" t="s">
        <v>2730</v>
      </c>
      <c r="IY14">
        <v>5</v>
      </c>
      <c r="IZ14" t="s">
        <v>2730</v>
      </c>
      <c r="JA14" t="s">
        <v>2730</v>
      </c>
      <c r="JB14" t="s">
        <v>2730</v>
      </c>
      <c r="JC14" t="s">
        <v>2730</v>
      </c>
      <c r="JD14" t="s">
        <v>2730</v>
      </c>
      <c r="JE14" t="s">
        <v>2730</v>
      </c>
      <c r="JF14" t="s">
        <v>2730</v>
      </c>
      <c r="JG14" t="s">
        <v>2730</v>
      </c>
      <c r="JH14" t="s">
        <v>2730</v>
      </c>
      <c r="JI14" t="s">
        <v>2730</v>
      </c>
      <c r="JJ14" t="s">
        <v>2730</v>
      </c>
      <c r="JK14" t="s">
        <v>2730</v>
      </c>
      <c r="JL14" t="s">
        <v>2730</v>
      </c>
      <c r="JM14" t="s">
        <v>2730</v>
      </c>
      <c r="JN14" t="s">
        <v>2730</v>
      </c>
      <c r="JO14" t="s">
        <v>2730</v>
      </c>
      <c r="JP14" t="s">
        <v>2730</v>
      </c>
      <c r="JQ14">
        <v>4</v>
      </c>
    </row>
    <row r="15" spans="1:277">
      <c r="A15" s="149" t="str">
        <f>HYPERLINK("http://www.ofsted.gov.uk/inspection-reports/find-inspection-report/provider/ELS/113023 ","Ofsted School Webpage")</f>
        <v>Ofsted School Webpage</v>
      </c>
      <c r="B15">
        <v>1133460</v>
      </c>
      <c r="C15">
        <v>113023</v>
      </c>
      <c r="D15">
        <v>8306020</v>
      </c>
      <c r="E15" t="s">
        <v>363</v>
      </c>
      <c r="F15" t="s">
        <v>37</v>
      </c>
      <c r="G15" t="s">
        <v>209</v>
      </c>
      <c r="H15" t="s">
        <v>214</v>
      </c>
      <c r="I15" t="s">
        <v>214</v>
      </c>
      <c r="J15" t="s">
        <v>364</v>
      </c>
      <c r="K15" t="s">
        <v>365</v>
      </c>
      <c r="L15" t="s">
        <v>184</v>
      </c>
      <c r="M15" t="s">
        <v>185</v>
      </c>
      <c r="N15" t="s">
        <v>184</v>
      </c>
      <c r="O15" t="s">
        <v>2730</v>
      </c>
      <c r="P15" t="s">
        <v>186</v>
      </c>
      <c r="Q15">
        <v>10043874</v>
      </c>
      <c r="R15" s="120">
        <v>43047</v>
      </c>
      <c r="S15" s="120">
        <v>43047</v>
      </c>
      <c r="T15" s="120">
        <v>43066</v>
      </c>
      <c r="U15" t="s">
        <v>2730</v>
      </c>
      <c r="V15" t="s">
        <v>187</v>
      </c>
      <c r="W15" t="s">
        <v>2730</v>
      </c>
      <c r="X15" t="s">
        <v>188</v>
      </c>
      <c r="Y15" t="s">
        <v>2730</v>
      </c>
      <c r="Z15" t="s">
        <v>2730</v>
      </c>
      <c r="AA15" t="s">
        <v>2730</v>
      </c>
      <c r="AB15" t="s">
        <v>2730</v>
      </c>
      <c r="AC15" t="s">
        <v>2730</v>
      </c>
      <c r="AD15" t="s">
        <v>2730</v>
      </c>
      <c r="AE15" t="s">
        <v>2730</v>
      </c>
      <c r="AF15" t="s">
        <v>2730</v>
      </c>
      <c r="AG15" t="s">
        <v>189</v>
      </c>
      <c r="AH15" t="s">
        <v>2730</v>
      </c>
      <c r="AI15" t="s">
        <v>190</v>
      </c>
      <c r="AJ15" t="s">
        <v>190</v>
      </c>
      <c r="AK15" t="s">
        <v>59</v>
      </c>
      <c r="AL15" t="s">
        <v>59</v>
      </c>
      <c r="AM15" t="s">
        <v>190</v>
      </c>
      <c r="AN15" t="s">
        <v>190</v>
      </c>
      <c r="AO15" t="s">
        <v>59</v>
      </c>
      <c r="AP15" t="s">
        <v>59</v>
      </c>
      <c r="AQ15" t="s">
        <v>190</v>
      </c>
      <c r="AR15" t="s">
        <v>190</v>
      </c>
      <c r="AS15" t="s">
        <v>190</v>
      </c>
      <c r="AT15" t="s">
        <v>190</v>
      </c>
      <c r="AU15" t="s">
        <v>190</v>
      </c>
      <c r="AV15" t="s">
        <v>190</v>
      </c>
      <c r="AW15" t="s">
        <v>190</v>
      </c>
      <c r="AX15" t="s">
        <v>190</v>
      </c>
      <c r="AY15" t="s">
        <v>218</v>
      </c>
      <c r="AZ15" t="s">
        <v>190</v>
      </c>
      <c r="BA15" t="s">
        <v>190</v>
      </c>
      <c r="BB15" t="s">
        <v>190</v>
      </c>
      <c r="BC15" t="s">
        <v>218</v>
      </c>
      <c r="BD15" t="s">
        <v>218</v>
      </c>
      <c r="BE15" t="s">
        <v>218</v>
      </c>
      <c r="BF15" t="s">
        <v>218</v>
      </c>
      <c r="BG15" t="s">
        <v>190</v>
      </c>
      <c r="BH15" t="s">
        <v>190</v>
      </c>
      <c r="BI15" t="s">
        <v>190</v>
      </c>
      <c r="BJ15" t="s">
        <v>190</v>
      </c>
      <c r="BK15" t="s">
        <v>190</v>
      </c>
      <c r="BL15" t="s">
        <v>190</v>
      </c>
      <c r="BM15" t="s">
        <v>190</v>
      </c>
      <c r="BN15" t="s">
        <v>190</v>
      </c>
      <c r="BO15" t="s">
        <v>190</v>
      </c>
      <c r="BP15" t="s">
        <v>190</v>
      </c>
      <c r="BQ15" t="s">
        <v>190</v>
      </c>
      <c r="BR15" t="s">
        <v>190</v>
      </c>
      <c r="BS15" t="s">
        <v>190</v>
      </c>
      <c r="BT15" t="s">
        <v>190</v>
      </c>
      <c r="BU15" t="s">
        <v>190</v>
      </c>
      <c r="BV15" t="s">
        <v>190</v>
      </c>
      <c r="BW15" t="s">
        <v>190</v>
      </c>
      <c r="BX15" t="s">
        <v>190</v>
      </c>
      <c r="BY15" t="s">
        <v>190</v>
      </c>
      <c r="BZ15" t="s">
        <v>190</v>
      </c>
      <c r="CA15" t="s">
        <v>190</v>
      </c>
      <c r="CB15" t="s">
        <v>190</v>
      </c>
      <c r="CC15" t="s">
        <v>190</v>
      </c>
      <c r="CD15" t="s">
        <v>190</v>
      </c>
      <c r="CE15" t="s">
        <v>190</v>
      </c>
      <c r="CF15" t="s">
        <v>190</v>
      </c>
      <c r="CG15" t="s">
        <v>190</v>
      </c>
      <c r="CH15" t="s">
        <v>190</v>
      </c>
      <c r="CI15" t="s">
        <v>190</v>
      </c>
      <c r="CJ15" t="s">
        <v>190</v>
      </c>
      <c r="CK15" t="s">
        <v>190</v>
      </c>
      <c r="CL15" t="s">
        <v>59</v>
      </c>
      <c r="CM15" t="s">
        <v>59</v>
      </c>
      <c r="CN15" t="s">
        <v>59</v>
      </c>
      <c r="CO15" t="s">
        <v>218</v>
      </c>
      <c r="CP15" t="s">
        <v>218</v>
      </c>
      <c r="CQ15" t="s">
        <v>218</v>
      </c>
      <c r="CR15" t="s">
        <v>190</v>
      </c>
      <c r="CS15" t="s">
        <v>190</v>
      </c>
      <c r="CT15" t="s">
        <v>190</v>
      </c>
      <c r="CU15" t="s">
        <v>190</v>
      </c>
      <c r="CV15" t="s">
        <v>190</v>
      </c>
      <c r="CW15" t="s">
        <v>190</v>
      </c>
      <c r="CX15" t="s">
        <v>190</v>
      </c>
      <c r="CY15" t="s">
        <v>190</v>
      </c>
      <c r="CZ15" t="s">
        <v>190</v>
      </c>
      <c r="DA15" t="s">
        <v>190</v>
      </c>
      <c r="DB15" t="s">
        <v>190</v>
      </c>
      <c r="DC15" t="s">
        <v>190</v>
      </c>
      <c r="DD15" t="s">
        <v>190</v>
      </c>
      <c r="DE15" t="s">
        <v>59</v>
      </c>
      <c r="DF15" t="s">
        <v>190</v>
      </c>
      <c r="DG15" t="s">
        <v>59</v>
      </c>
      <c r="DH15" t="s">
        <v>190</v>
      </c>
      <c r="DI15" t="s">
        <v>190</v>
      </c>
      <c r="DJ15" t="s">
        <v>190</v>
      </c>
      <c r="DK15" t="s">
        <v>190</v>
      </c>
      <c r="DL15" t="s">
        <v>190</v>
      </c>
      <c r="DM15" t="s">
        <v>190</v>
      </c>
      <c r="DN15" t="s">
        <v>190</v>
      </c>
      <c r="DO15" t="s">
        <v>190</v>
      </c>
      <c r="DP15" t="s">
        <v>190</v>
      </c>
      <c r="DQ15" t="s">
        <v>190</v>
      </c>
      <c r="DR15" t="s">
        <v>190</v>
      </c>
      <c r="DS15" t="s">
        <v>190</v>
      </c>
      <c r="DT15" t="s">
        <v>190</v>
      </c>
      <c r="DU15" t="s">
        <v>190</v>
      </c>
      <c r="DV15" t="s">
        <v>190</v>
      </c>
      <c r="DW15" t="s">
        <v>190</v>
      </c>
      <c r="DX15" t="s">
        <v>190</v>
      </c>
      <c r="DY15" t="s">
        <v>190</v>
      </c>
      <c r="DZ15" t="s">
        <v>190</v>
      </c>
      <c r="EA15" t="s">
        <v>190</v>
      </c>
      <c r="EB15" t="s">
        <v>190</v>
      </c>
      <c r="EC15" t="s">
        <v>190</v>
      </c>
      <c r="ED15" t="s">
        <v>190</v>
      </c>
      <c r="EE15" t="s">
        <v>59</v>
      </c>
      <c r="EF15" t="s">
        <v>59</v>
      </c>
      <c r="EG15" t="s">
        <v>59</v>
      </c>
      <c r="EH15" t="s">
        <v>59</v>
      </c>
      <c r="EI15" t="s">
        <v>59</v>
      </c>
      <c r="EJ15" t="s">
        <v>59</v>
      </c>
      <c r="EK15" t="s">
        <v>59</v>
      </c>
      <c r="EL15" t="s">
        <v>59</v>
      </c>
      <c r="EM15" t="s">
        <v>59</v>
      </c>
      <c r="EN15" t="s">
        <v>59</v>
      </c>
      <c r="EO15" t="s">
        <v>190</v>
      </c>
      <c r="EP15" t="s">
        <v>59</v>
      </c>
      <c r="EQ15" t="s">
        <v>59</v>
      </c>
      <c r="ER15" t="s">
        <v>190</v>
      </c>
      <c r="ES15" t="s">
        <v>190</v>
      </c>
      <c r="ET15" t="s">
        <v>59</v>
      </c>
      <c r="EU15" t="s">
        <v>190</v>
      </c>
      <c r="EV15" t="s">
        <v>190</v>
      </c>
      <c r="EW15" t="s">
        <v>190</v>
      </c>
      <c r="EX15" t="s">
        <v>190</v>
      </c>
      <c r="EY15" t="s">
        <v>190</v>
      </c>
      <c r="EZ15" t="s">
        <v>190</v>
      </c>
      <c r="FA15" t="s">
        <v>190</v>
      </c>
      <c r="FB15" t="s">
        <v>190</v>
      </c>
      <c r="FC15" t="s">
        <v>190</v>
      </c>
      <c r="FD15" t="s">
        <v>190</v>
      </c>
      <c r="FE15" t="s">
        <v>190</v>
      </c>
      <c r="FF15" t="s">
        <v>190</v>
      </c>
      <c r="FG15" t="s">
        <v>190</v>
      </c>
      <c r="FH15" t="s">
        <v>190</v>
      </c>
      <c r="FI15" t="s">
        <v>59</v>
      </c>
      <c r="FJ15" t="s">
        <v>59</v>
      </c>
      <c r="FK15" t="s">
        <v>59</v>
      </c>
      <c r="FL15" t="s">
        <v>190</v>
      </c>
      <c r="FM15" t="s">
        <v>190</v>
      </c>
      <c r="FN15" t="s">
        <v>190</v>
      </c>
      <c r="FO15" t="s">
        <v>218</v>
      </c>
      <c r="FP15" t="s">
        <v>190</v>
      </c>
      <c r="FQ15" t="s">
        <v>190</v>
      </c>
      <c r="FR15" t="s">
        <v>190</v>
      </c>
      <c r="FS15" t="s">
        <v>218</v>
      </c>
      <c r="FT15" t="s">
        <v>190</v>
      </c>
      <c r="FU15" t="s">
        <v>190</v>
      </c>
      <c r="FV15" t="s">
        <v>190</v>
      </c>
      <c r="FW15" t="s">
        <v>190</v>
      </c>
      <c r="FX15" t="s">
        <v>190</v>
      </c>
      <c r="FY15" t="s">
        <v>190</v>
      </c>
      <c r="FZ15" t="s">
        <v>190</v>
      </c>
      <c r="GA15" t="s">
        <v>190</v>
      </c>
      <c r="GB15" t="s">
        <v>190</v>
      </c>
      <c r="GC15" t="s">
        <v>190</v>
      </c>
      <c r="GD15" t="s">
        <v>190</v>
      </c>
      <c r="GE15" t="s">
        <v>190</v>
      </c>
      <c r="GF15" t="s">
        <v>190</v>
      </c>
      <c r="GG15" t="s">
        <v>190</v>
      </c>
      <c r="GH15" t="s">
        <v>190</v>
      </c>
      <c r="GI15" t="s">
        <v>190</v>
      </c>
      <c r="GJ15" t="s">
        <v>190</v>
      </c>
      <c r="GK15" t="s">
        <v>218</v>
      </c>
      <c r="GL15" t="s">
        <v>190</v>
      </c>
      <c r="GM15" t="s">
        <v>190</v>
      </c>
      <c r="GN15" t="s">
        <v>190</v>
      </c>
      <c r="GO15" t="s">
        <v>59</v>
      </c>
      <c r="GP15" t="s">
        <v>190</v>
      </c>
      <c r="GQ15" t="s">
        <v>190</v>
      </c>
      <c r="GR15" t="s">
        <v>190</v>
      </c>
      <c r="GS15" t="s">
        <v>190</v>
      </c>
      <c r="GT15" t="s">
        <v>190</v>
      </c>
      <c r="GU15" t="s">
        <v>190</v>
      </c>
      <c r="GV15" t="s">
        <v>190</v>
      </c>
      <c r="GW15" t="s">
        <v>190</v>
      </c>
      <c r="GX15" t="s">
        <v>190</v>
      </c>
      <c r="GY15" t="s">
        <v>190</v>
      </c>
      <c r="GZ15" t="s">
        <v>190</v>
      </c>
      <c r="HA15" t="s">
        <v>190</v>
      </c>
      <c r="HB15" t="s">
        <v>190</v>
      </c>
      <c r="HC15" t="s">
        <v>190</v>
      </c>
      <c r="HD15" t="s">
        <v>190</v>
      </c>
      <c r="HE15" t="s">
        <v>190</v>
      </c>
      <c r="HF15" t="s">
        <v>190</v>
      </c>
      <c r="HG15" t="s">
        <v>190</v>
      </c>
      <c r="HH15" t="s">
        <v>190</v>
      </c>
      <c r="HI15" t="s">
        <v>190</v>
      </c>
      <c r="HJ15" t="s">
        <v>190</v>
      </c>
      <c r="HK15" t="s">
        <v>190</v>
      </c>
      <c r="HL15" t="s">
        <v>190</v>
      </c>
      <c r="HM15" t="s">
        <v>190</v>
      </c>
      <c r="HN15" t="s">
        <v>190</v>
      </c>
      <c r="HO15" t="s">
        <v>190</v>
      </c>
      <c r="HP15" t="s">
        <v>59</v>
      </c>
      <c r="HQ15" t="s">
        <v>190</v>
      </c>
      <c r="HR15" t="s">
        <v>190</v>
      </c>
      <c r="HS15" t="s">
        <v>190</v>
      </c>
      <c r="HT15" t="s">
        <v>190</v>
      </c>
      <c r="HU15" t="s">
        <v>190</v>
      </c>
      <c r="HV15" t="s">
        <v>190</v>
      </c>
      <c r="HW15" t="s">
        <v>190</v>
      </c>
      <c r="HX15" t="s">
        <v>190</v>
      </c>
      <c r="HY15" t="s">
        <v>190</v>
      </c>
      <c r="HZ15" t="s">
        <v>190</v>
      </c>
      <c r="IA15" t="s">
        <v>190</v>
      </c>
      <c r="IB15" t="s">
        <v>59</v>
      </c>
      <c r="IC15" t="s">
        <v>59</v>
      </c>
      <c r="ID15" t="s">
        <v>59</v>
      </c>
      <c r="IE15" t="s">
        <v>59</v>
      </c>
      <c r="IF15" t="s">
        <v>59</v>
      </c>
      <c r="IG15" t="s">
        <v>59</v>
      </c>
      <c r="IH15" t="s">
        <v>59</v>
      </c>
      <c r="II15" t="s">
        <v>59</v>
      </c>
      <c r="IJ15" t="s">
        <v>129</v>
      </c>
      <c r="IK15" t="s">
        <v>191</v>
      </c>
      <c r="IL15" t="s">
        <v>128</v>
      </c>
      <c r="IM15" t="s">
        <v>199</v>
      </c>
      <c r="IN15" t="s">
        <v>2730</v>
      </c>
      <c r="IO15" t="s">
        <v>2730</v>
      </c>
      <c r="IP15" t="s">
        <v>2730</v>
      </c>
      <c r="IQ15" t="s">
        <v>2730</v>
      </c>
      <c r="IR15" t="s">
        <v>2730</v>
      </c>
      <c r="IS15" t="s">
        <v>2730</v>
      </c>
      <c r="IT15" t="s">
        <v>2730</v>
      </c>
      <c r="IU15" t="s">
        <v>2730</v>
      </c>
      <c r="IV15">
        <v>3</v>
      </c>
      <c r="IW15" t="s">
        <v>2730</v>
      </c>
      <c r="IX15" t="s">
        <v>2730</v>
      </c>
      <c r="IY15" t="s">
        <v>2730</v>
      </c>
      <c r="IZ15">
        <v>18</v>
      </c>
      <c r="JA15" t="s">
        <v>2730</v>
      </c>
      <c r="JB15" t="s">
        <v>2730</v>
      </c>
      <c r="JC15" t="s">
        <v>2730</v>
      </c>
      <c r="JD15" t="s">
        <v>2730</v>
      </c>
      <c r="JE15" t="s">
        <v>2730</v>
      </c>
      <c r="JF15" t="s">
        <v>2730</v>
      </c>
      <c r="JG15" t="s">
        <v>2730</v>
      </c>
      <c r="JH15">
        <v>1</v>
      </c>
      <c r="JI15" t="s">
        <v>2730</v>
      </c>
      <c r="JJ15" t="s">
        <v>2730</v>
      </c>
      <c r="JK15" t="s">
        <v>2730</v>
      </c>
      <c r="JL15">
        <v>5</v>
      </c>
      <c r="JM15" t="s">
        <v>2730</v>
      </c>
      <c r="JN15" t="s">
        <v>2730</v>
      </c>
      <c r="JO15">
        <v>4</v>
      </c>
      <c r="JP15" t="s">
        <v>2730</v>
      </c>
      <c r="JQ15" t="s">
        <v>2730</v>
      </c>
    </row>
    <row r="16" spans="1:277">
      <c r="A16" s="149" t="str">
        <f>HYPERLINK("http://www.ofsted.gov.uk/inspection-reports/find-inspection-report/provider/ELS/109342 ","Ofsted School Webpage")</f>
        <v>Ofsted School Webpage</v>
      </c>
      <c r="B16">
        <v>1132511</v>
      </c>
      <c r="C16">
        <v>109342</v>
      </c>
      <c r="D16">
        <v>8016008</v>
      </c>
      <c r="E16" t="s">
        <v>360</v>
      </c>
      <c r="F16" t="s">
        <v>38</v>
      </c>
      <c r="G16" t="s">
        <v>180</v>
      </c>
      <c r="H16" t="s">
        <v>225</v>
      </c>
      <c r="I16" t="s">
        <v>225</v>
      </c>
      <c r="J16" t="s">
        <v>361</v>
      </c>
      <c r="K16" t="s">
        <v>362</v>
      </c>
      <c r="L16" t="s">
        <v>184</v>
      </c>
      <c r="M16" t="s">
        <v>185</v>
      </c>
      <c r="N16" t="s">
        <v>184</v>
      </c>
      <c r="O16" t="s">
        <v>2730</v>
      </c>
      <c r="P16" t="s">
        <v>186</v>
      </c>
      <c r="Q16">
        <v>10040215</v>
      </c>
      <c r="R16" s="120">
        <v>43018</v>
      </c>
      <c r="S16" s="120">
        <v>43018</v>
      </c>
      <c r="T16" s="120">
        <v>43045</v>
      </c>
      <c r="U16" t="s">
        <v>2730</v>
      </c>
      <c r="V16" t="s">
        <v>187</v>
      </c>
      <c r="W16" t="s">
        <v>2730</v>
      </c>
      <c r="X16" t="s">
        <v>188</v>
      </c>
      <c r="Y16" t="s">
        <v>2730</v>
      </c>
      <c r="Z16" t="s">
        <v>2730</v>
      </c>
      <c r="AA16" t="s">
        <v>2730</v>
      </c>
      <c r="AB16" t="s">
        <v>2730</v>
      </c>
      <c r="AC16" t="s">
        <v>2730</v>
      </c>
      <c r="AD16" t="s">
        <v>2730</v>
      </c>
      <c r="AE16" t="s">
        <v>2730</v>
      </c>
      <c r="AF16" t="s">
        <v>2730</v>
      </c>
      <c r="AG16" t="s">
        <v>189</v>
      </c>
      <c r="AH16" t="s">
        <v>2730</v>
      </c>
      <c r="AI16" t="s">
        <v>190</v>
      </c>
      <c r="AJ16" t="s">
        <v>190</v>
      </c>
      <c r="AK16" t="s">
        <v>190</v>
      </c>
      <c r="AL16" t="s">
        <v>190</v>
      </c>
      <c r="AM16" t="s">
        <v>190</v>
      </c>
      <c r="AN16" t="s">
        <v>190</v>
      </c>
      <c r="AO16" t="s">
        <v>190</v>
      </c>
      <c r="AP16" t="s">
        <v>59</v>
      </c>
      <c r="AQ16" t="s">
        <v>190</v>
      </c>
      <c r="AR16" t="s">
        <v>190</v>
      </c>
      <c r="AS16" t="s">
        <v>190</v>
      </c>
      <c r="AT16" t="s">
        <v>190</v>
      </c>
      <c r="AU16" t="s">
        <v>190</v>
      </c>
      <c r="AV16" t="s">
        <v>59</v>
      </c>
      <c r="AW16" t="s">
        <v>190</v>
      </c>
      <c r="AX16" t="s">
        <v>190</v>
      </c>
      <c r="AY16" t="s">
        <v>190</v>
      </c>
      <c r="AZ16" t="s">
        <v>190</v>
      </c>
      <c r="BA16" t="s">
        <v>190</v>
      </c>
      <c r="BB16" t="s">
        <v>190</v>
      </c>
      <c r="BC16" t="s">
        <v>59</v>
      </c>
      <c r="BD16" t="s">
        <v>59</v>
      </c>
      <c r="BE16" t="s">
        <v>59</v>
      </c>
      <c r="BF16" t="s">
        <v>59</v>
      </c>
      <c r="BG16" t="s">
        <v>190</v>
      </c>
      <c r="BH16" t="s">
        <v>190</v>
      </c>
      <c r="BI16" t="s">
        <v>190</v>
      </c>
      <c r="BJ16" t="s">
        <v>190</v>
      </c>
      <c r="BK16" t="s">
        <v>59</v>
      </c>
      <c r="BL16" t="s">
        <v>59</v>
      </c>
      <c r="BM16" t="s">
        <v>190</v>
      </c>
      <c r="BN16" t="s">
        <v>59</v>
      </c>
      <c r="BO16" t="s">
        <v>190</v>
      </c>
      <c r="BP16" t="s">
        <v>190</v>
      </c>
      <c r="BQ16" t="s">
        <v>59</v>
      </c>
      <c r="BR16" t="s">
        <v>59</v>
      </c>
      <c r="BS16" t="s">
        <v>190</v>
      </c>
      <c r="BT16" t="s">
        <v>190</v>
      </c>
      <c r="BU16" t="s">
        <v>190</v>
      </c>
      <c r="BV16" t="s">
        <v>190</v>
      </c>
      <c r="BW16" t="s">
        <v>190</v>
      </c>
      <c r="BX16" t="s">
        <v>190</v>
      </c>
      <c r="BY16" t="s">
        <v>190</v>
      </c>
      <c r="BZ16" t="s">
        <v>190</v>
      </c>
      <c r="CA16" t="s">
        <v>190</v>
      </c>
      <c r="CB16" t="s">
        <v>190</v>
      </c>
      <c r="CC16" t="s">
        <v>190</v>
      </c>
      <c r="CD16" t="s">
        <v>190</v>
      </c>
      <c r="CE16" t="s">
        <v>190</v>
      </c>
      <c r="CF16" t="s">
        <v>190</v>
      </c>
      <c r="CG16" t="s">
        <v>190</v>
      </c>
      <c r="CH16" t="s">
        <v>190</v>
      </c>
      <c r="CI16" t="s">
        <v>190</v>
      </c>
      <c r="CJ16" t="s">
        <v>190</v>
      </c>
      <c r="CK16" t="s">
        <v>190</v>
      </c>
      <c r="CL16" t="s">
        <v>190</v>
      </c>
      <c r="CM16" t="s">
        <v>190</v>
      </c>
      <c r="CN16" t="s">
        <v>190</v>
      </c>
      <c r="CO16" t="s">
        <v>190</v>
      </c>
      <c r="CP16" t="s">
        <v>190</v>
      </c>
      <c r="CQ16" t="s">
        <v>218</v>
      </c>
      <c r="CR16" t="s">
        <v>190</v>
      </c>
      <c r="CS16" t="s">
        <v>190</v>
      </c>
      <c r="CT16" t="s">
        <v>190</v>
      </c>
      <c r="CU16" t="s">
        <v>190</v>
      </c>
      <c r="CV16" t="s">
        <v>190</v>
      </c>
      <c r="CW16" t="s">
        <v>190</v>
      </c>
      <c r="CX16" t="s">
        <v>190</v>
      </c>
      <c r="CY16" t="s">
        <v>190</v>
      </c>
      <c r="CZ16" t="s">
        <v>190</v>
      </c>
      <c r="DA16" t="s">
        <v>59</v>
      </c>
      <c r="DB16" t="s">
        <v>190</v>
      </c>
      <c r="DC16" t="s">
        <v>190</v>
      </c>
      <c r="DD16" t="s">
        <v>190</v>
      </c>
      <c r="DE16" t="s">
        <v>190</v>
      </c>
      <c r="DF16" t="s">
        <v>190</v>
      </c>
      <c r="DG16" t="s">
        <v>190</v>
      </c>
      <c r="DH16" t="s">
        <v>190</v>
      </c>
      <c r="DI16" t="s">
        <v>190</v>
      </c>
      <c r="DJ16" t="s">
        <v>190</v>
      </c>
      <c r="DK16" t="s">
        <v>190</v>
      </c>
      <c r="DL16" t="s">
        <v>190</v>
      </c>
      <c r="DM16" t="s">
        <v>190</v>
      </c>
      <c r="DN16" t="s">
        <v>190</v>
      </c>
      <c r="DO16" t="s">
        <v>190</v>
      </c>
      <c r="DP16" t="s">
        <v>190</v>
      </c>
      <c r="DQ16" t="s">
        <v>190</v>
      </c>
      <c r="DR16" t="s">
        <v>190</v>
      </c>
      <c r="DS16" t="s">
        <v>190</v>
      </c>
      <c r="DT16" t="s">
        <v>190</v>
      </c>
      <c r="DU16" t="s">
        <v>190</v>
      </c>
      <c r="DV16" t="s">
        <v>190</v>
      </c>
      <c r="DW16" t="s">
        <v>190</v>
      </c>
      <c r="DX16" t="s">
        <v>190</v>
      </c>
      <c r="DY16" t="s">
        <v>190</v>
      </c>
      <c r="DZ16" t="s">
        <v>190</v>
      </c>
      <c r="EA16" t="s">
        <v>190</v>
      </c>
      <c r="EB16" t="s">
        <v>190</v>
      </c>
      <c r="EC16" t="s">
        <v>190</v>
      </c>
      <c r="ED16" t="s">
        <v>190</v>
      </c>
      <c r="EE16" t="s">
        <v>190</v>
      </c>
      <c r="EF16" t="s">
        <v>190</v>
      </c>
      <c r="EG16" t="s">
        <v>190</v>
      </c>
      <c r="EH16" t="s">
        <v>190</v>
      </c>
      <c r="EI16" t="s">
        <v>190</v>
      </c>
      <c r="EJ16" t="s">
        <v>190</v>
      </c>
      <c r="EK16" t="s">
        <v>190</v>
      </c>
      <c r="EL16" t="s">
        <v>190</v>
      </c>
      <c r="EM16" t="s">
        <v>190</v>
      </c>
      <c r="EN16" t="s">
        <v>190</v>
      </c>
      <c r="EO16" t="s">
        <v>190</v>
      </c>
      <c r="EP16" t="s">
        <v>190</v>
      </c>
      <c r="EQ16" t="s">
        <v>190</v>
      </c>
      <c r="ER16" t="s">
        <v>190</v>
      </c>
      <c r="ES16" t="s">
        <v>190</v>
      </c>
      <c r="ET16" t="s">
        <v>190</v>
      </c>
      <c r="EU16" t="s">
        <v>190</v>
      </c>
      <c r="EV16" t="s">
        <v>190</v>
      </c>
      <c r="EW16" t="s">
        <v>190</v>
      </c>
      <c r="EX16" t="s">
        <v>190</v>
      </c>
      <c r="EY16" t="s">
        <v>190</v>
      </c>
      <c r="EZ16" t="s">
        <v>190</v>
      </c>
      <c r="FA16" t="s">
        <v>190</v>
      </c>
      <c r="FB16" t="s">
        <v>190</v>
      </c>
      <c r="FC16" t="s">
        <v>190</v>
      </c>
      <c r="FD16" t="s">
        <v>190</v>
      </c>
      <c r="FE16" t="s">
        <v>190</v>
      </c>
      <c r="FF16" t="s">
        <v>190</v>
      </c>
      <c r="FG16" t="s">
        <v>190</v>
      </c>
      <c r="FH16" t="s">
        <v>190</v>
      </c>
      <c r="FI16" t="s">
        <v>190</v>
      </c>
      <c r="FJ16" t="s">
        <v>190</v>
      </c>
      <c r="FK16" t="s">
        <v>190</v>
      </c>
      <c r="FL16" t="s">
        <v>190</v>
      </c>
      <c r="FM16" t="s">
        <v>190</v>
      </c>
      <c r="FN16" t="s">
        <v>190</v>
      </c>
      <c r="FO16" t="s">
        <v>190</v>
      </c>
      <c r="FP16" t="s">
        <v>190</v>
      </c>
      <c r="FQ16" t="s">
        <v>190</v>
      </c>
      <c r="FR16" t="s">
        <v>190</v>
      </c>
      <c r="FS16" t="s">
        <v>190</v>
      </c>
      <c r="FT16" t="s">
        <v>190</v>
      </c>
      <c r="FU16" t="s">
        <v>190</v>
      </c>
      <c r="FV16" t="s">
        <v>190</v>
      </c>
      <c r="FW16" t="s">
        <v>190</v>
      </c>
      <c r="FX16" t="s">
        <v>190</v>
      </c>
      <c r="FY16" t="s">
        <v>190</v>
      </c>
      <c r="FZ16" t="s">
        <v>190</v>
      </c>
      <c r="GA16" t="s">
        <v>190</v>
      </c>
      <c r="GB16" t="s">
        <v>190</v>
      </c>
      <c r="GC16" t="s">
        <v>190</v>
      </c>
      <c r="GD16" t="s">
        <v>190</v>
      </c>
      <c r="GE16" t="s">
        <v>190</v>
      </c>
      <c r="GF16" t="s">
        <v>190</v>
      </c>
      <c r="GG16" t="s">
        <v>190</v>
      </c>
      <c r="GH16" t="s">
        <v>190</v>
      </c>
      <c r="GI16" t="s">
        <v>190</v>
      </c>
      <c r="GJ16" t="s">
        <v>190</v>
      </c>
      <c r="GK16" t="s">
        <v>190</v>
      </c>
      <c r="GL16" t="s">
        <v>190</v>
      </c>
      <c r="GM16" t="s">
        <v>190</v>
      </c>
      <c r="GN16" t="s">
        <v>190</v>
      </c>
      <c r="GO16" t="s">
        <v>190</v>
      </c>
      <c r="GP16" t="s">
        <v>190</v>
      </c>
      <c r="GQ16" t="s">
        <v>190</v>
      </c>
      <c r="GR16" t="s">
        <v>190</v>
      </c>
      <c r="GS16" t="s">
        <v>190</v>
      </c>
      <c r="GT16" t="s">
        <v>190</v>
      </c>
      <c r="GU16" t="s">
        <v>190</v>
      </c>
      <c r="GV16" t="s">
        <v>190</v>
      </c>
      <c r="GW16" t="s">
        <v>190</v>
      </c>
      <c r="GX16" t="s">
        <v>190</v>
      </c>
      <c r="GY16" t="s">
        <v>190</v>
      </c>
      <c r="GZ16" t="s">
        <v>190</v>
      </c>
      <c r="HA16" t="s">
        <v>190</v>
      </c>
      <c r="HB16" t="s">
        <v>190</v>
      </c>
      <c r="HC16" t="s">
        <v>190</v>
      </c>
      <c r="HD16" t="s">
        <v>190</v>
      </c>
      <c r="HE16" t="s">
        <v>190</v>
      </c>
      <c r="HF16" t="s">
        <v>190</v>
      </c>
      <c r="HG16" t="s">
        <v>190</v>
      </c>
      <c r="HH16" t="s">
        <v>190</v>
      </c>
      <c r="HI16" t="s">
        <v>190</v>
      </c>
      <c r="HJ16" t="s">
        <v>190</v>
      </c>
      <c r="HK16" t="s">
        <v>190</v>
      </c>
      <c r="HL16" t="s">
        <v>190</v>
      </c>
      <c r="HM16" t="s">
        <v>190</v>
      </c>
      <c r="HN16" t="s">
        <v>190</v>
      </c>
      <c r="HO16" t="s">
        <v>190</v>
      </c>
      <c r="HP16" t="s">
        <v>190</v>
      </c>
      <c r="HQ16" t="s">
        <v>190</v>
      </c>
      <c r="HR16" t="s">
        <v>190</v>
      </c>
      <c r="HS16" t="s">
        <v>190</v>
      </c>
      <c r="HT16" t="s">
        <v>190</v>
      </c>
      <c r="HU16" t="s">
        <v>190</v>
      </c>
      <c r="HV16" t="s">
        <v>190</v>
      </c>
      <c r="HW16" t="s">
        <v>190</v>
      </c>
      <c r="HX16" t="s">
        <v>190</v>
      </c>
      <c r="HY16" t="s">
        <v>190</v>
      </c>
      <c r="HZ16" t="s">
        <v>190</v>
      </c>
      <c r="IA16" t="s">
        <v>190</v>
      </c>
      <c r="IB16" t="s">
        <v>190</v>
      </c>
      <c r="IC16" t="s">
        <v>190</v>
      </c>
      <c r="ID16" t="s">
        <v>190</v>
      </c>
      <c r="IE16" t="s">
        <v>190</v>
      </c>
      <c r="IF16" t="s">
        <v>59</v>
      </c>
      <c r="IG16" t="s">
        <v>59</v>
      </c>
      <c r="IH16" t="s">
        <v>59</v>
      </c>
      <c r="II16" t="s">
        <v>190</v>
      </c>
      <c r="IJ16" t="s">
        <v>129</v>
      </c>
      <c r="IK16" t="s">
        <v>191</v>
      </c>
      <c r="IL16" t="s">
        <v>203</v>
      </c>
      <c r="IM16" t="s">
        <v>199</v>
      </c>
      <c r="IN16">
        <v>10</v>
      </c>
      <c r="IO16" t="s">
        <v>2730</v>
      </c>
      <c r="IP16" t="s">
        <v>2730</v>
      </c>
      <c r="IQ16" t="s">
        <v>2730</v>
      </c>
      <c r="IR16" t="s">
        <v>2730</v>
      </c>
      <c r="IS16" t="s">
        <v>2730</v>
      </c>
      <c r="IT16" t="s">
        <v>2730</v>
      </c>
      <c r="IU16" t="s">
        <v>2730</v>
      </c>
      <c r="IV16">
        <v>1</v>
      </c>
      <c r="IW16" t="s">
        <v>2730</v>
      </c>
      <c r="IX16" t="s">
        <v>2730</v>
      </c>
      <c r="IY16" t="s">
        <v>2730</v>
      </c>
      <c r="IZ16" t="s">
        <v>2730</v>
      </c>
      <c r="JA16" t="s">
        <v>2730</v>
      </c>
      <c r="JB16" t="s">
        <v>2730</v>
      </c>
      <c r="JC16" t="s">
        <v>2730</v>
      </c>
      <c r="JD16" t="s">
        <v>2730</v>
      </c>
      <c r="JE16" t="s">
        <v>2730</v>
      </c>
      <c r="JF16" t="s">
        <v>2730</v>
      </c>
      <c r="JG16" t="s">
        <v>2730</v>
      </c>
      <c r="JH16" t="s">
        <v>2730</v>
      </c>
      <c r="JI16" t="s">
        <v>2730</v>
      </c>
      <c r="JJ16" t="s">
        <v>2730</v>
      </c>
      <c r="JK16" t="s">
        <v>2730</v>
      </c>
      <c r="JL16" t="s">
        <v>2730</v>
      </c>
      <c r="JM16" t="s">
        <v>2730</v>
      </c>
      <c r="JN16" t="s">
        <v>2730</v>
      </c>
      <c r="JO16">
        <v>3</v>
      </c>
      <c r="JP16" t="s">
        <v>2730</v>
      </c>
      <c r="JQ16" t="s">
        <v>2730</v>
      </c>
    </row>
    <row r="17" spans="1:277">
      <c r="A17" s="149" t="str">
        <f>HYPERLINK("http://www.ofsted.gov.uk/inspection-reports/find-inspection-report/provider/ELS/138138 ","Ofsted School Webpage")</f>
        <v>Ofsted School Webpage</v>
      </c>
      <c r="B17">
        <v>1132667</v>
      </c>
      <c r="C17">
        <v>138138</v>
      </c>
      <c r="D17">
        <v>9266002</v>
      </c>
      <c r="E17" t="s">
        <v>444</v>
      </c>
      <c r="F17" t="s">
        <v>38</v>
      </c>
      <c r="G17" t="s">
        <v>180</v>
      </c>
      <c r="H17" t="s">
        <v>220</v>
      </c>
      <c r="I17" t="s">
        <v>220</v>
      </c>
      <c r="J17" t="s">
        <v>445</v>
      </c>
      <c r="K17" t="s">
        <v>446</v>
      </c>
      <c r="L17" t="s">
        <v>184</v>
      </c>
      <c r="M17" t="s">
        <v>185</v>
      </c>
      <c r="N17" t="s">
        <v>184</v>
      </c>
      <c r="O17" t="s">
        <v>2730</v>
      </c>
      <c r="P17" t="s">
        <v>186</v>
      </c>
      <c r="Q17">
        <v>10038655</v>
      </c>
      <c r="R17" s="120">
        <v>43021</v>
      </c>
      <c r="S17" s="120">
        <v>43021</v>
      </c>
      <c r="T17" s="120">
        <v>43053</v>
      </c>
      <c r="U17" t="s">
        <v>2730</v>
      </c>
      <c r="V17" t="s">
        <v>187</v>
      </c>
      <c r="W17" t="s">
        <v>2730</v>
      </c>
      <c r="X17" t="s">
        <v>188</v>
      </c>
      <c r="Y17" t="s">
        <v>2730</v>
      </c>
      <c r="Z17" t="s">
        <v>2730</v>
      </c>
      <c r="AA17" t="s">
        <v>2730</v>
      </c>
      <c r="AB17" t="s">
        <v>2730</v>
      </c>
      <c r="AC17" t="s">
        <v>2730</v>
      </c>
      <c r="AD17" t="s">
        <v>2730</v>
      </c>
      <c r="AE17" t="s">
        <v>2730</v>
      </c>
      <c r="AF17" t="s">
        <v>2730</v>
      </c>
      <c r="AG17" t="s">
        <v>217</v>
      </c>
      <c r="AH17" t="s">
        <v>2730</v>
      </c>
      <c r="AI17" t="s">
        <v>190</v>
      </c>
      <c r="AJ17" t="s">
        <v>190</v>
      </c>
      <c r="AK17" t="s">
        <v>59</v>
      </c>
      <c r="AL17" t="s">
        <v>190</v>
      </c>
      <c r="AM17" t="s">
        <v>190</v>
      </c>
      <c r="AN17" t="s">
        <v>60</v>
      </c>
      <c r="AO17" t="s">
        <v>190</v>
      </c>
      <c r="AP17" t="s">
        <v>60</v>
      </c>
      <c r="AQ17" t="s">
        <v>190</v>
      </c>
      <c r="AR17" t="s">
        <v>190</v>
      </c>
      <c r="AS17" t="s">
        <v>190</v>
      </c>
      <c r="AT17" t="s">
        <v>190</v>
      </c>
      <c r="AU17" t="s">
        <v>190</v>
      </c>
      <c r="AV17" t="s">
        <v>190</v>
      </c>
      <c r="AW17" t="s">
        <v>190</v>
      </c>
      <c r="AX17" t="s">
        <v>190</v>
      </c>
      <c r="AY17" t="s">
        <v>190</v>
      </c>
      <c r="AZ17" t="s">
        <v>190</v>
      </c>
      <c r="BA17" t="s">
        <v>190</v>
      </c>
      <c r="BB17" t="s">
        <v>190</v>
      </c>
      <c r="BC17" t="s">
        <v>190</v>
      </c>
      <c r="BD17" t="s">
        <v>190</v>
      </c>
      <c r="BE17" t="s">
        <v>190</v>
      </c>
      <c r="BF17" t="s">
        <v>190</v>
      </c>
      <c r="BG17" t="s">
        <v>190</v>
      </c>
      <c r="BH17" t="s">
        <v>190</v>
      </c>
      <c r="BI17" t="s">
        <v>190</v>
      </c>
      <c r="BJ17" t="s">
        <v>190</v>
      </c>
      <c r="BK17" t="s">
        <v>60</v>
      </c>
      <c r="BL17" t="s">
        <v>60</v>
      </c>
      <c r="BM17" t="s">
        <v>59</v>
      </c>
      <c r="BN17" t="s">
        <v>60</v>
      </c>
      <c r="BO17" t="s">
        <v>60</v>
      </c>
      <c r="BP17" t="s">
        <v>59</v>
      </c>
      <c r="BQ17" t="s">
        <v>59</v>
      </c>
      <c r="BR17" t="s">
        <v>60</v>
      </c>
      <c r="BS17" t="s">
        <v>59</v>
      </c>
      <c r="BT17" t="s">
        <v>59</v>
      </c>
      <c r="BU17" t="s">
        <v>59</v>
      </c>
      <c r="BV17" t="s">
        <v>190</v>
      </c>
      <c r="BW17" t="s">
        <v>190</v>
      </c>
      <c r="BX17" t="s">
        <v>190</v>
      </c>
      <c r="BY17" t="s">
        <v>190</v>
      </c>
      <c r="BZ17" t="s">
        <v>190</v>
      </c>
      <c r="CA17" t="s">
        <v>190</v>
      </c>
      <c r="CB17" t="s">
        <v>190</v>
      </c>
      <c r="CC17" t="s">
        <v>190</v>
      </c>
      <c r="CD17" t="s">
        <v>190</v>
      </c>
      <c r="CE17" t="s">
        <v>190</v>
      </c>
      <c r="CF17" t="s">
        <v>190</v>
      </c>
      <c r="CG17" t="s">
        <v>190</v>
      </c>
      <c r="CH17" t="s">
        <v>190</v>
      </c>
      <c r="CI17" t="s">
        <v>190</v>
      </c>
      <c r="CJ17" t="s">
        <v>190</v>
      </c>
      <c r="CK17" t="s">
        <v>190</v>
      </c>
      <c r="CL17" t="s">
        <v>59</v>
      </c>
      <c r="CM17" t="s">
        <v>59</v>
      </c>
      <c r="CN17" t="s">
        <v>59</v>
      </c>
      <c r="CO17" t="s">
        <v>190</v>
      </c>
      <c r="CP17" t="s">
        <v>190</v>
      </c>
      <c r="CQ17" t="s">
        <v>190</v>
      </c>
      <c r="CR17" t="s">
        <v>190</v>
      </c>
      <c r="CS17" t="s">
        <v>190</v>
      </c>
      <c r="CT17" t="s">
        <v>190</v>
      </c>
      <c r="CU17" t="s">
        <v>190</v>
      </c>
      <c r="CV17" t="s">
        <v>190</v>
      </c>
      <c r="CW17" t="s">
        <v>190</v>
      </c>
      <c r="CX17" t="s">
        <v>190</v>
      </c>
      <c r="CY17" t="s">
        <v>190</v>
      </c>
      <c r="CZ17" t="s">
        <v>190</v>
      </c>
      <c r="DA17" t="s">
        <v>190</v>
      </c>
      <c r="DB17" t="s">
        <v>190</v>
      </c>
      <c r="DC17" t="s">
        <v>190</v>
      </c>
      <c r="DD17" t="s">
        <v>190</v>
      </c>
      <c r="DE17" t="s">
        <v>190</v>
      </c>
      <c r="DF17" t="s">
        <v>190</v>
      </c>
      <c r="DG17" t="s">
        <v>190</v>
      </c>
      <c r="DH17" t="s">
        <v>190</v>
      </c>
      <c r="DI17" t="s">
        <v>190</v>
      </c>
      <c r="DJ17" t="s">
        <v>190</v>
      </c>
      <c r="DK17" t="s">
        <v>190</v>
      </c>
      <c r="DL17" t="s">
        <v>190</v>
      </c>
      <c r="DM17" t="s">
        <v>190</v>
      </c>
      <c r="DN17" t="s">
        <v>190</v>
      </c>
      <c r="DO17" t="s">
        <v>190</v>
      </c>
      <c r="DP17" t="s">
        <v>190</v>
      </c>
      <c r="DQ17" t="s">
        <v>190</v>
      </c>
      <c r="DR17" t="s">
        <v>190</v>
      </c>
      <c r="DS17" t="s">
        <v>190</v>
      </c>
      <c r="DT17" t="s">
        <v>190</v>
      </c>
      <c r="DU17" t="s">
        <v>190</v>
      </c>
      <c r="DV17" t="s">
        <v>190</v>
      </c>
      <c r="DW17" t="s">
        <v>190</v>
      </c>
      <c r="DX17" t="s">
        <v>190</v>
      </c>
      <c r="DY17" t="s">
        <v>190</v>
      </c>
      <c r="DZ17" t="s">
        <v>190</v>
      </c>
      <c r="EA17" t="s">
        <v>190</v>
      </c>
      <c r="EB17" t="s">
        <v>190</v>
      </c>
      <c r="EC17" t="s">
        <v>190</v>
      </c>
      <c r="ED17" t="s">
        <v>190</v>
      </c>
      <c r="EE17" t="s">
        <v>190</v>
      </c>
      <c r="EF17" t="s">
        <v>190</v>
      </c>
      <c r="EG17" t="s">
        <v>190</v>
      </c>
      <c r="EH17" t="s">
        <v>190</v>
      </c>
      <c r="EI17" t="s">
        <v>190</v>
      </c>
      <c r="EJ17" t="s">
        <v>190</v>
      </c>
      <c r="EK17" t="s">
        <v>190</v>
      </c>
      <c r="EL17" t="s">
        <v>190</v>
      </c>
      <c r="EM17" t="s">
        <v>190</v>
      </c>
      <c r="EN17" t="s">
        <v>190</v>
      </c>
      <c r="EO17" t="s">
        <v>190</v>
      </c>
      <c r="EP17" t="s">
        <v>190</v>
      </c>
      <c r="EQ17" t="s">
        <v>190</v>
      </c>
      <c r="ER17" t="s">
        <v>190</v>
      </c>
      <c r="ES17" t="s">
        <v>190</v>
      </c>
      <c r="ET17" t="s">
        <v>190</v>
      </c>
      <c r="EU17" t="s">
        <v>190</v>
      </c>
      <c r="EV17" t="s">
        <v>190</v>
      </c>
      <c r="EW17" t="s">
        <v>190</v>
      </c>
      <c r="EX17" t="s">
        <v>190</v>
      </c>
      <c r="EY17" t="s">
        <v>190</v>
      </c>
      <c r="EZ17" t="s">
        <v>190</v>
      </c>
      <c r="FA17" t="s">
        <v>190</v>
      </c>
      <c r="FB17" t="s">
        <v>190</v>
      </c>
      <c r="FC17" t="s">
        <v>190</v>
      </c>
      <c r="FD17" t="s">
        <v>190</v>
      </c>
      <c r="FE17" t="s">
        <v>190</v>
      </c>
      <c r="FF17" t="s">
        <v>190</v>
      </c>
      <c r="FG17" t="s">
        <v>190</v>
      </c>
      <c r="FH17" t="s">
        <v>190</v>
      </c>
      <c r="FI17" t="s">
        <v>190</v>
      </c>
      <c r="FJ17" t="s">
        <v>190</v>
      </c>
      <c r="FK17" t="s">
        <v>190</v>
      </c>
      <c r="FL17" t="s">
        <v>190</v>
      </c>
      <c r="FM17" t="s">
        <v>190</v>
      </c>
      <c r="FN17" t="s">
        <v>190</v>
      </c>
      <c r="FO17" t="s">
        <v>190</v>
      </c>
      <c r="FP17" t="s">
        <v>190</v>
      </c>
      <c r="FQ17" t="s">
        <v>190</v>
      </c>
      <c r="FR17" t="s">
        <v>190</v>
      </c>
      <c r="FS17" t="s">
        <v>190</v>
      </c>
      <c r="FT17" t="s">
        <v>190</v>
      </c>
      <c r="FU17" t="s">
        <v>190</v>
      </c>
      <c r="FV17" t="s">
        <v>190</v>
      </c>
      <c r="FW17" t="s">
        <v>190</v>
      </c>
      <c r="FX17" t="s">
        <v>190</v>
      </c>
      <c r="FY17" t="s">
        <v>190</v>
      </c>
      <c r="FZ17" t="s">
        <v>190</v>
      </c>
      <c r="GA17" t="s">
        <v>190</v>
      </c>
      <c r="GB17" t="s">
        <v>190</v>
      </c>
      <c r="GC17" t="s">
        <v>190</v>
      </c>
      <c r="GD17" t="s">
        <v>190</v>
      </c>
      <c r="GE17" t="s">
        <v>190</v>
      </c>
      <c r="GF17" t="s">
        <v>190</v>
      </c>
      <c r="GG17" t="s">
        <v>190</v>
      </c>
      <c r="GH17" t="s">
        <v>190</v>
      </c>
      <c r="GI17" t="s">
        <v>190</v>
      </c>
      <c r="GJ17" t="s">
        <v>190</v>
      </c>
      <c r="GK17" t="s">
        <v>190</v>
      </c>
      <c r="GL17" t="s">
        <v>60</v>
      </c>
      <c r="GM17" t="s">
        <v>59</v>
      </c>
      <c r="GN17" t="s">
        <v>60</v>
      </c>
      <c r="GO17" t="s">
        <v>60</v>
      </c>
      <c r="GP17" t="s">
        <v>60</v>
      </c>
      <c r="GQ17" t="s">
        <v>218</v>
      </c>
      <c r="GR17" t="s">
        <v>190</v>
      </c>
      <c r="GS17" t="s">
        <v>59</v>
      </c>
      <c r="GT17" t="s">
        <v>190</v>
      </c>
      <c r="GU17" t="s">
        <v>190</v>
      </c>
      <c r="GV17" t="s">
        <v>59</v>
      </c>
      <c r="GW17" t="s">
        <v>59</v>
      </c>
      <c r="GX17" t="s">
        <v>59</v>
      </c>
      <c r="GY17" t="s">
        <v>59</v>
      </c>
      <c r="GZ17" t="s">
        <v>218</v>
      </c>
      <c r="HA17" t="s">
        <v>59</v>
      </c>
      <c r="HB17" t="s">
        <v>218</v>
      </c>
      <c r="HC17" t="s">
        <v>59</v>
      </c>
      <c r="HD17" t="s">
        <v>60</v>
      </c>
      <c r="HE17" t="s">
        <v>59</v>
      </c>
      <c r="HF17" t="s">
        <v>59</v>
      </c>
      <c r="HG17" t="s">
        <v>59</v>
      </c>
      <c r="HH17" t="s">
        <v>59</v>
      </c>
      <c r="HI17" t="s">
        <v>60</v>
      </c>
      <c r="HJ17" t="s">
        <v>59</v>
      </c>
      <c r="HK17" t="s">
        <v>59</v>
      </c>
      <c r="HL17" t="s">
        <v>190</v>
      </c>
      <c r="HM17" t="s">
        <v>190</v>
      </c>
      <c r="HN17" t="s">
        <v>190</v>
      </c>
      <c r="HO17" t="s">
        <v>190</v>
      </c>
      <c r="HP17" t="s">
        <v>190</v>
      </c>
      <c r="HQ17" t="s">
        <v>190</v>
      </c>
      <c r="HR17" t="s">
        <v>190</v>
      </c>
      <c r="HS17" t="s">
        <v>190</v>
      </c>
      <c r="HT17" t="s">
        <v>190</v>
      </c>
      <c r="HU17" t="s">
        <v>190</v>
      </c>
      <c r="HV17" t="s">
        <v>190</v>
      </c>
      <c r="HW17" t="s">
        <v>190</v>
      </c>
      <c r="HX17" t="s">
        <v>190</v>
      </c>
      <c r="HY17" t="s">
        <v>190</v>
      </c>
      <c r="HZ17" t="s">
        <v>190</v>
      </c>
      <c r="IA17" t="s">
        <v>190</v>
      </c>
      <c r="IB17" t="s">
        <v>190</v>
      </c>
      <c r="IC17" t="s">
        <v>190</v>
      </c>
      <c r="ID17" t="s">
        <v>190</v>
      </c>
      <c r="IE17" t="s">
        <v>190</v>
      </c>
      <c r="IF17" t="s">
        <v>60</v>
      </c>
      <c r="IG17" t="s">
        <v>60</v>
      </c>
      <c r="IH17" t="s">
        <v>60</v>
      </c>
      <c r="II17" t="s">
        <v>59</v>
      </c>
      <c r="IJ17" t="s">
        <v>129</v>
      </c>
      <c r="IK17" t="s">
        <v>191</v>
      </c>
      <c r="IL17" t="s">
        <v>128</v>
      </c>
      <c r="IM17" t="s">
        <v>2730</v>
      </c>
      <c r="IN17">
        <v>6</v>
      </c>
      <c r="IO17" t="s">
        <v>2730</v>
      </c>
      <c r="IP17" t="s">
        <v>2730</v>
      </c>
      <c r="IQ17">
        <v>5</v>
      </c>
      <c r="IR17" t="s">
        <v>2730</v>
      </c>
      <c r="IS17" t="s">
        <v>2730</v>
      </c>
      <c r="IT17" t="s">
        <v>2730</v>
      </c>
      <c r="IU17" t="s">
        <v>2730</v>
      </c>
      <c r="IV17">
        <v>3</v>
      </c>
      <c r="IW17" t="s">
        <v>2730</v>
      </c>
      <c r="IX17" t="s">
        <v>2730</v>
      </c>
      <c r="IY17" t="s">
        <v>2730</v>
      </c>
      <c r="IZ17" t="s">
        <v>2730</v>
      </c>
      <c r="JA17" t="s">
        <v>2730</v>
      </c>
      <c r="JB17" t="s">
        <v>2730</v>
      </c>
      <c r="JC17" t="s">
        <v>2730</v>
      </c>
      <c r="JD17" t="s">
        <v>2730</v>
      </c>
      <c r="JE17" t="s">
        <v>2730</v>
      </c>
      <c r="JF17" t="s">
        <v>2730</v>
      </c>
      <c r="JG17" t="s">
        <v>2730</v>
      </c>
      <c r="JH17">
        <v>14</v>
      </c>
      <c r="JI17" t="s">
        <v>2730</v>
      </c>
      <c r="JJ17" t="s">
        <v>2730</v>
      </c>
      <c r="JK17">
        <v>6</v>
      </c>
      <c r="JL17" t="s">
        <v>2730</v>
      </c>
      <c r="JM17" t="s">
        <v>2730</v>
      </c>
      <c r="JN17" t="s">
        <v>2730</v>
      </c>
      <c r="JO17">
        <v>1</v>
      </c>
      <c r="JP17" t="s">
        <v>2730</v>
      </c>
      <c r="JQ17">
        <v>3</v>
      </c>
    </row>
    <row r="18" spans="1:277">
      <c r="A18" s="149" t="str">
        <f>HYPERLINK("http://www.ofsted.gov.uk/inspection-reports/find-inspection-report/provider/ELS/131940 ","Ofsted School Webpage")</f>
        <v>Ofsted School Webpage</v>
      </c>
      <c r="B18">
        <v>1132222</v>
      </c>
      <c r="C18">
        <v>131940</v>
      </c>
      <c r="D18">
        <v>3126063</v>
      </c>
      <c r="E18" t="s">
        <v>447</v>
      </c>
      <c r="F18" t="s">
        <v>38</v>
      </c>
      <c r="G18" t="s">
        <v>180</v>
      </c>
      <c r="H18" t="s">
        <v>232</v>
      </c>
      <c r="I18" t="s">
        <v>232</v>
      </c>
      <c r="J18" t="s">
        <v>448</v>
      </c>
      <c r="K18" t="s">
        <v>449</v>
      </c>
      <c r="L18" t="s">
        <v>184</v>
      </c>
      <c r="M18" t="s">
        <v>185</v>
      </c>
      <c r="N18" t="s">
        <v>184</v>
      </c>
      <c r="O18" t="s">
        <v>2730</v>
      </c>
      <c r="P18" t="s">
        <v>186</v>
      </c>
      <c r="Q18">
        <v>10040135</v>
      </c>
      <c r="R18" s="120">
        <v>43012</v>
      </c>
      <c r="S18" s="120">
        <v>43012</v>
      </c>
      <c r="T18" s="120">
        <v>43053</v>
      </c>
      <c r="U18" t="s">
        <v>2730</v>
      </c>
      <c r="V18" t="s">
        <v>187</v>
      </c>
      <c r="W18" t="s">
        <v>2730</v>
      </c>
      <c r="X18" t="s">
        <v>188</v>
      </c>
      <c r="Y18" t="s">
        <v>2730</v>
      </c>
      <c r="Z18" t="s">
        <v>2730</v>
      </c>
      <c r="AA18" t="s">
        <v>2730</v>
      </c>
      <c r="AB18" t="s">
        <v>2730</v>
      </c>
      <c r="AC18" t="s">
        <v>2730</v>
      </c>
      <c r="AD18" t="s">
        <v>2730</v>
      </c>
      <c r="AE18" t="s">
        <v>2730</v>
      </c>
      <c r="AF18" t="s">
        <v>2730</v>
      </c>
      <c r="AG18" t="s">
        <v>189</v>
      </c>
      <c r="AH18" t="s">
        <v>2730</v>
      </c>
      <c r="AI18" t="s">
        <v>190</v>
      </c>
      <c r="AJ18" t="s">
        <v>190</v>
      </c>
      <c r="AK18" t="s">
        <v>59</v>
      </c>
      <c r="AL18" t="s">
        <v>59</v>
      </c>
      <c r="AM18" t="s">
        <v>190</v>
      </c>
      <c r="AN18" t="s">
        <v>190</v>
      </c>
      <c r="AO18" t="s">
        <v>190</v>
      </c>
      <c r="AP18" t="s">
        <v>59</v>
      </c>
      <c r="AQ18" t="s">
        <v>190</v>
      </c>
      <c r="AR18" t="s">
        <v>190</v>
      </c>
      <c r="AS18" t="s">
        <v>190</v>
      </c>
      <c r="AT18" t="s">
        <v>190</v>
      </c>
      <c r="AU18" t="s">
        <v>190</v>
      </c>
      <c r="AV18" t="s">
        <v>190</v>
      </c>
      <c r="AW18" t="s">
        <v>190</v>
      </c>
      <c r="AX18" t="s">
        <v>190</v>
      </c>
      <c r="AY18" t="s">
        <v>190</v>
      </c>
      <c r="AZ18" t="s">
        <v>190</v>
      </c>
      <c r="BA18" t="s">
        <v>190</v>
      </c>
      <c r="BB18" t="s">
        <v>190</v>
      </c>
      <c r="BC18" t="s">
        <v>190</v>
      </c>
      <c r="BD18" t="s">
        <v>190</v>
      </c>
      <c r="BE18" t="s">
        <v>190</v>
      </c>
      <c r="BF18" t="s">
        <v>190</v>
      </c>
      <c r="BG18" t="s">
        <v>190</v>
      </c>
      <c r="BH18" t="s">
        <v>190</v>
      </c>
      <c r="BI18" t="s">
        <v>190</v>
      </c>
      <c r="BJ18" t="s">
        <v>190</v>
      </c>
      <c r="BK18" t="s">
        <v>190</v>
      </c>
      <c r="BL18" t="s">
        <v>190</v>
      </c>
      <c r="BM18" t="s">
        <v>190</v>
      </c>
      <c r="BN18" t="s">
        <v>190</v>
      </c>
      <c r="BO18" t="s">
        <v>190</v>
      </c>
      <c r="BP18" t="s">
        <v>190</v>
      </c>
      <c r="BQ18" t="s">
        <v>190</v>
      </c>
      <c r="BR18" t="s">
        <v>190</v>
      </c>
      <c r="BS18" t="s">
        <v>190</v>
      </c>
      <c r="BT18" t="s">
        <v>190</v>
      </c>
      <c r="BU18" t="s">
        <v>190</v>
      </c>
      <c r="BV18" t="s">
        <v>190</v>
      </c>
      <c r="BW18" t="s">
        <v>190</v>
      </c>
      <c r="BX18" t="s">
        <v>190</v>
      </c>
      <c r="BY18" t="s">
        <v>190</v>
      </c>
      <c r="BZ18" t="s">
        <v>190</v>
      </c>
      <c r="CA18" t="s">
        <v>190</v>
      </c>
      <c r="CB18" t="s">
        <v>190</v>
      </c>
      <c r="CC18" t="s">
        <v>190</v>
      </c>
      <c r="CD18" t="s">
        <v>190</v>
      </c>
      <c r="CE18" t="s">
        <v>190</v>
      </c>
      <c r="CF18" t="s">
        <v>190</v>
      </c>
      <c r="CG18" t="s">
        <v>190</v>
      </c>
      <c r="CH18" t="s">
        <v>190</v>
      </c>
      <c r="CI18" t="s">
        <v>190</v>
      </c>
      <c r="CJ18" t="s">
        <v>190</v>
      </c>
      <c r="CK18" t="s">
        <v>190</v>
      </c>
      <c r="CL18" t="s">
        <v>59</v>
      </c>
      <c r="CM18" t="s">
        <v>59</v>
      </c>
      <c r="CN18" t="s">
        <v>59</v>
      </c>
      <c r="CO18" t="s">
        <v>218</v>
      </c>
      <c r="CP18" t="s">
        <v>218</v>
      </c>
      <c r="CQ18" t="s">
        <v>218</v>
      </c>
      <c r="CR18" t="s">
        <v>190</v>
      </c>
      <c r="CS18" t="s">
        <v>190</v>
      </c>
      <c r="CT18" t="s">
        <v>190</v>
      </c>
      <c r="CU18" t="s">
        <v>190</v>
      </c>
      <c r="CV18" t="s">
        <v>59</v>
      </c>
      <c r="CW18" t="s">
        <v>59</v>
      </c>
      <c r="CX18" t="s">
        <v>190</v>
      </c>
      <c r="CY18" t="s">
        <v>190</v>
      </c>
      <c r="CZ18" t="s">
        <v>190</v>
      </c>
      <c r="DA18" t="s">
        <v>190</v>
      </c>
      <c r="DB18" t="s">
        <v>59</v>
      </c>
      <c r="DC18" t="s">
        <v>59</v>
      </c>
      <c r="DD18" t="s">
        <v>190</v>
      </c>
      <c r="DE18" t="s">
        <v>59</v>
      </c>
      <c r="DF18" t="s">
        <v>190</v>
      </c>
      <c r="DG18" t="s">
        <v>59</v>
      </c>
      <c r="DH18" t="s">
        <v>190</v>
      </c>
      <c r="DI18" t="s">
        <v>190</v>
      </c>
      <c r="DJ18" t="s">
        <v>190</v>
      </c>
      <c r="DK18" t="s">
        <v>190</v>
      </c>
      <c r="DL18" t="s">
        <v>190</v>
      </c>
      <c r="DM18" t="s">
        <v>190</v>
      </c>
      <c r="DN18" t="s">
        <v>190</v>
      </c>
      <c r="DO18" t="s">
        <v>218</v>
      </c>
      <c r="DP18" t="s">
        <v>190</v>
      </c>
      <c r="DQ18" t="s">
        <v>190</v>
      </c>
      <c r="DR18" t="s">
        <v>190</v>
      </c>
      <c r="DS18" t="s">
        <v>190</v>
      </c>
      <c r="DT18" t="s">
        <v>190</v>
      </c>
      <c r="DU18" t="s">
        <v>190</v>
      </c>
      <c r="DV18" t="s">
        <v>190</v>
      </c>
      <c r="DW18" t="s">
        <v>190</v>
      </c>
      <c r="DX18" t="s">
        <v>190</v>
      </c>
      <c r="DY18" t="s">
        <v>190</v>
      </c>
      <c r="DZ18" t="s">
        <v>190</v>
      </c>
      <c r="EA18" t="s">
        <v>190</v>
      </c>
      <c r="EB18" t="s">
        <v>190</v>
      </c>
      <c r="EC18" t="s">
        <v>190</v>
      </c>
      <c r="ED18" t="s">
        <v>190</v>
      </c>
      <c r="EE18" t="s">
        <v>190</v>
      </c>
      <c r="EF18" t="s">
        <v>190</v>
      </c>
      <c r="EG18" t="s">
        <v>190</v>
      </c>
      <c r="EH18" t="s">
        <v>190</v>
      </c>
      <c r="EI18" t="s">
        <v>190</v>
      </c>
      <c r="EJ18" t="s">
        <v>190</v>
      </c>
      <c r="EK18" t="s">
        <v>190</v>
      </c>
      <c r="EL18" t="s">
        <v>59</v>
      </c>
      <c r="EM18" t="s">
        <v>190</v>
      </c>
      <c r="EN18" t="s">
        <v>2730</v>
      </c>
      <c r="EO18" t="s">
        <v>190</v>
      </c>
      <c r="EP18" t="s">
        <v>59</v>
      </c>
      <c r="EQ18" t="s">
        <v>59</v>
      </c>
      <c r="ER18" t="s">
        <v>59</v>
      </c>
      <c r="ES18" t="s">
        <v>59</v>
      </c>
      <c r="ET18" t="s">
        <v>59</v>
      </c>
      <c r="EU18" t="s">
        <v>190</v>
      </c>
      <c r="EV18" t="s">
        <v>190</v>
      </c>
      <c r="EW18" t="s">
        <v>190</v>
      </c>
      <c r="EX18" t="s">
        <v>190</v>
      </c>
      <c r="EY18" t="s">
        <v>190</v>
      </c>
      <c r="EZ18" t="s">
        <v>190</v>
      </c>
      <c r="FA18" t="s">
        <v>190</v>
      </c>
      <c r="FB18" t="s">
        <v>190</v>
      </c>
      <c r="FC18" t="s">
        <v>190</v>
      </c>
      <c r="FD18" t="s">
        <v>190</v>
      </c>
      <c r="FE18" t="s">
        <v>190</v>
      </c>
      <c r="FF18" t="s">
        <v>190</v>
      </c>
      <c r="FG18" t="s">
        <v>190</v>
      </c>
      <c r="FH18" t="s">
        <v>190</v>
      </c>
      <c r="FI18" t="s">
        <v>190</v>
      </c>
      <c r="FJ18" t="s">
        <v>190</v>
      </c>
      <c r="FK18" t="s">
        <v>190</v>
      </c>
      <c r="FL18" t="s">
        <v>190</v>
      </c>
      <c r="FM18" t="s">
        <v>190</v>
      </c>
      <c r="FN18" t="s">
        <v>190</v>
      </c>
      <c r="FO18" t="s">
        <v>190</v>
      </c>
      <c r="FP18" t="s">
        <v>190</v>
      </c>
      <c r="FQ18" t="s">
        <v>190</v>
      </c>
      <c r="FR18" t="s">
        <v>190</v>
      </c>
      <c r="FS18" t="s">
        <v>190</v>
      </c>
      <c r="FT18" t="s">
        <v>190</v>
      </c>
      <c r="FU18" t="s">
        <v>190</v>
      </c>
      <c r="FV18" t="s">
        <v>190</v>
      </c>
      <c r="FW18" t="s">
        <v>190</v>
      </c>
      <c r="FX18" t="s">
        <v>190</v>
      </c>
      <c r="FY18" t="s">
        <v>190</v>
      </c>
      <c r="FZ18" t="s">
        <v>190</v>
      </c>
      <c r="GA18" t="s">
        <v>190</v>
      </c>
      <c r="GB18" t="s">
        <v>190</v>
      </c>
      <c r="GC18" t="s">
        <v>190</v>
      </c>
      <c r="GD18" t="s">
        <v>190</v>
      </c>
      <c r="GE18" t="s">
        <v>190</v>
      </c>
      <c r="GF18" t="s">
        <v>190</v>
      </c>
      <c r="GG18" t="s">
        <v>190</v>
      </c>
      <c r="GH18" t="s">
        <v>190</v>
      </c>
      <c r="GI18" t="s">
        <v>190</v>
      </c>
      <c r="GJ18" t="s">
        <v>190</v>
      </c>
      <c r="GK18" t="s">
        <v>190</v>
      </c>
      <c r="GL18" t="s">
        <v>190</v>
      </c>
      <c r="GM18" t="s">
        <v>190</v>
      </c>
      <c r="GN18" t="s">
        <v>190</v>
      </c>
      <c r="GO18" t="s">
        <v>59</v>
      </c>
      <c r="GP18" t="s">
        <v>190</v>
      </c>
      <c r="GQ18" t="s">
        <v>190</v>
      </c>
      <c r="GR18" t="s">
        <v>190</v>
      </c>
      <c r="GS18" t="s">
        <v>190</v>
      </c>
      <c r="GT18" t="s">
        <v>190</v>
      </c>
      <c r="GU18" t="s">
        <v>190</v>
      </c>
      <c r="GV18" t="s">
        <v>190</v>
      </c>
      <c r="GW18" t="s">
        <v>190</v>
      </c>
      <c r="GX18" t="s">
        <v>190</v>
      </c>
      <c r="GY18" t="s">
        <v>190</v>
      </c>
      <c r="GZ18" t="s">
        <v>190</v>
      </c>
      <c r="HA18" t="s">
        <v>190</v>
      </c>
      <c r="HB18" t="s">
        <v>190</v>
      </c>
      <c r="HC18" t="s">
        <v>190</v>
      </c>
      <c r="HD18" t="s">
        <v>190</v>
      </c>
      <c r="HE18" t="s">
        <v>190</v>
      </c>
      <c r="HF18" t="s">
        <v>190</v>
      </c>
      <c r="HG18" t="s">
        <v>190</v>
      </c>
      <c r="HH18" t="s">
        <v>190</v>
      </c>
      <c r="HI18" t="s">
        <v>190</v>
      </c>
      <c r="HJ18" t="s">
        <v>190</v>
      </c>
      <c r="HK18" t="s">
        <v>190</v>
      </c>
      <c r="HL18" t="s">
        <v>190</v>
      </c>
      <c r="HM18" t="s">
        <v>190</v>
      </c>
      <c r="HN18" t="s">
        <v>190</v>
      </c>
      <c r="HO18" t="s">
        <v>190</v>
      </c>
      <c r="HP18" t="s">
        <v>190</v>
      </c>
      <c r="HQ18" t="s">
        <v>190</v>
      </c>
      <c r="HR18" t="s">
        <v>190</v>
      </c>
      <c r="HS18" t="s">
        <v>190</v>
      </c>
      <c r="HT18" t="s">
        <v>190</v>
      </c>
      <c r="HU18" t="s">
        <v>190</v>
      </c>
      <c r="HV18" t="s">
        <v>190</v>
      </c>
      <c r="HW18" t="s">
        <v>190</v>
      </c>
      <c r="HX18" t="s">
        <v>190</v>
      </c>
      <c r="HY18" t="s">
        <v>190</v>
      </c>
      <c r="HZ18" t="s">
        <v>190</v>
      </c>
      <c r="IA18" t="s">
        <v>190</v>
      </c>
      <c r="IB18" t="s">
        <v>190</v>
      </c>
      <c r="IC18" t="s">
        <v>190</v>
      </c>
      <c r="ID18" t="s">
        <v>190</v>
      </c>
      <c r="IE18" t="s">
        <v>190</v>
      </c>
      <c r="IF18" t="s">
        <v>59</v>
      </c>
      <c r="IG18" t="s">
        <v>59</v>
      </c>
      <c r="IH18" t="s">
        <v>59</v>
      </c>
      <c r="II18" t="s">
        <v>59</v>
      </c>
      <c r="IJ18" t="s">
        <v>128</v>
      </c>
      <c r="IK18" t="s">
        <v>129</v>
      </c>
      <c r="IL18" t="s">
        <v>128</v>
      </c>
      <c r="IM18" t="s">
        <v>199</v>
      </c>
      <c r="IN18" t="s">
        <v>2730</v>
      </c>
      <c r="IO18" t="s">
        <v>2730</v>
      </c>
      <c r="IP18" t="s">
        <v>2730</v>
      </c>
      <c r="IQ18" t="s">
        <v>2730</v>
      </c>
      <c r="IR18" t="s">
        <v>2730</v>
      </c>
      <c r="IS18" t="s">
        <v>2730</v>
      </c>
      <c r="IT18" t="s">
        <v>2730</v>
      </c>
      <c r="IU18" t="s">
        <v>2730</v>
      </c>
      <c r="IV18">
        <v>7</v>
      </c>
      <c r="IW18" t="s">
        <v>2730</v>
      </c>
      <c r="IX18" t="s">
        <v>2730</v>
      </c>
      <c r="IY18" t="s">
        <v>2730</v>
      </c>
      <c r="IZ18">
        <v>8</v>
      </c>
      <c r="JA18" t="s">
        <v>2730</v>
      </c>
      <c r="JB18" t="s">
        <v>2730</v>
      </c>
      <c r="JC18" t="s">
        <v>2730</v>
      </c>
      <c r="JD18" t="s">
        <v>2730</v>
      </c>
      <c r="JE18" t="s">
        <v>2730</v>
      </c>
      <c r="JF18" t="s">
        <v>2730</v>
      </c>
      <c r="JG18" t="s">
        <v>2730</v>
      </c>
      <c r="JH18">
        <v>1</v>
      </c>
      <c r="JI18" t="s">
        <v>2730</v>
      </c>
      <c r="JJ18" t="s">
        <v>2730</v>
      </c>
      <c r="JK18" t="s">
        <v>2730</v>
      </c>
      <c r="JL18" t="s">
        <v>2730</v>
      </c>
      <c r="JM18" t="s">
        <v>2730</v>
      </c>
      <c r="JN18" t="s">
        <v>2730</v>
      </c>
      <c r="JO18">
        <v>4</v>
      </c>
      <c r="JP18" t="s">
        <v>2730</v>
      </c>
      <c r="JQ18" t="s">
        <v>2730</v>
      </c>
    </row>
    <row r="19" spans="1:277">
      <c r="A19" s="149" t="str">
        <f>HYPERLINK("http://www.ofsted.gov.uk/inspection-reports/find-inspection-report/provider/ELS/135557 ","Ofsted School Webpage")</f>
        <v>Ofsted School Webpage</v>
      </c>
      <c r="B19">
        <v>1132015</v>
      </c>
      <c r="C19">
        <v>135557</v>
      </c>
      <c r="D19">
        <v>3596009</v>
      </c>
      <c r="E19" t="s">
        <v>470</v>
      </c>
      <c r="F19" t="s">
        <v>38</v>
      </c>
      <c r="G19" t="s">
        <v>180</v>
      </c>
      <c r="H19" t="s">
        <v>205</v>
      </c>
      <c r="I19" t="s">
        <v>205</v>
      </c>
      <c r="J19" t="s">
        <v>471</v>
      </c>
      <c r="K19" t="s">
        <v>472</v>
      </c>
      <c r="L19" t="s">
        <v>184</v>
      </c>
      <c r="M19" t="s">
        <v>185</v>
      </c>
      <c r="N19" t="s">
        <v>184</v>
      </c>
      <c r="O19" t="s">
        <v>2730</v>
      </c>
      <c r="P19" t="s">
        <v>186</v>
      </c>
      <c r="Q19">
        <v>10039950</v>
      </c>
      <c r="R19" s="120">
        <v>43012</v>
      </c>
      <c r="S19" s="120">
        <v>43012</v>
      </c>
      <c r="T19" s="120">
        <v>43047</v>
      </c>
      <c r="U19" t="s">
        <v>2730</v>
      </c>
      <c r="V19" t="s">
        <v>187</v>
      </c>
      <c r="W19" t="s">
        <v>2730</v>
      </c>
      <c r="X19" t="s">
        <v>188</v>
      </c>
      <c r="Y19" t="s">
        <v>2730</v>
      </c>
      <c r="Z19" t="s">
        <v>2730</v>
      </c>
      <c r="AA19" t="s">
        <v>2730</v>
      </c>
      <c r="AB19" t="s">
        <v>2730</v>
      </c>
      <c r="AC19" t="s">
        <v>2730</v>
      </c>
      <c r="AD19" t="s">
        <v>2730</v>
      </c>
      <c r="AE19" t="s">
        <v>2730</v>
      </c>
      <c r="AF19" t="s">
        <v>2730</v>
      </c>
      <c r="AG19" t="s">
        <v>189</v>
      </c>
      <c r="AH19" t="s">
        <v>2730</v>
      </c>
      <c r="AI19" t="s">
        <v>59</v>
      </c>
      <c r="AJ19" t="s">
        <v>59</v>
      </c>
      <c r="AK19" t="s">
        <v>203</v>
      </c>
      <c r="AL19" t="s">
        <v>203</v>
      </c>
      <c r="AM19" t="s">
        <v>203</v>
      </c>
      <c r="AN19" t="s">
        <v>203</v>
      </c>
      <c r="AO19" t="s">
        <v>203</v>
      </c>
      <c r="AP19" t="s">
        <v>59</v>
      </c>
      <c r="AQ19" t="s">
        <v>59</v>
      </c>
      <c r="AR19" t="s">
        <v>59</v>
      </c>
      <c r="AS19" t="s">
        <v>59</v>
      </c>
      <c r="AT19" t="s">
        <v>59</v>
      </c>
      <c r="AU19" t="s">
        <v>203</v>
      </c>
      <c r="AV19" t="s">
        <v>59</v>
      </c>
      <c r="AW19" t="s">
        <v>203</v>
      </c>
      <c r="AX19" t="s">
        <v>59</v>
      </c>
      <c r="AY19" t="s">
        <v>203</v>
      </c>
      <c r="AZ19" t="s">
        <v>203</v>
      </c>
      <c r="BA19" t="s">
        <v>203</v>
      </c>
      <c r="BB19" t="s">
        <v>203</v>
      </c>
      <c r="BC19" t="s">
        <v>59</v>
      </c>
      <c r="BD19" t="s">
        <v>203</v>
      </c>
      <c r="BE19" t="s">
        <v>203</v>
      </c>
      <c r="BF19" t="s">
        <v>59</v>
      </c>
      <c r="BG19" t="s">
        <v>203</v>
      </c>
      <c r="BH19" t="s">
        <v>203</v>
      </c>
      <c r="BI19" t="s">
        <v>59</v>
      </c>
      <c r="BJ19" t="s">
        <v>203</v>
      </c>
      <c r="BK19" t="s">
        <v>203</v>
      </c>
      <c r="BL19" t="s">
        <v>59</v>
      </c>
      <c r="BM19" t="s">
        <v>59</v>
      </c>
      <c r="BN19" t="s">
        <v>59</v>
      </c>
      <c r="BO19" t="s">
        <v>59</v>
      </c>
      <c r="BP19" t="s">
        <v>203</v>
      </c>
      <c r="BQ19" t="s">
        <v>203</v>
      </c>
      <c r="BR19" t="s">
        <v>59</v>
      </c>
      <c r="BS19" t="s">
        <v>203</v>
      </c>
      <c r="BT19" t="s">
        <v>203</v>
      </c>
      <c r="BU19" t="s">
        <v>203</v>
      </c>
      <c r="BV19" t="s">
        <v>59</v>
      </c>
      <c r="BW19" t="s">
        <v>59</v>
      </c>
      <c r="BX19" t="s">
        <v>203</v>
      </c>
      <c r="BY19" t="s">
        <v>59</v>
      </c>
      <c r="BZ19" t="s">
        <v>59</v>
      </c>
      <c r="CA19" t="s">
        <v>59</v>
      </c>
      <c r="CB19" t="s">
        <v>59</v>
      </c>
      <c r="CC19" t="s">
        <v>203</v>
      </c>
      <c r="CD19" t="s">
        <v>203</v>
      </c>
      <c r="CE19" t="s">
        <v>203</v>
      </c>
      <c r="CF19" t="s">
        <v>203</v>
      </c>
      <c r="CG19" t="s">
        <v>203</v>
      </c>
      <c r="CH19" t="s">
        <v>203</v>
      </c>
      <c r="CI19" t="s">
        <v>203</v>
      </c>
      <c r="CJ19" t="s">
        <v>203</v>
      </c>
      <c r="CK19" t="s">
        <v>203</v>
      </c>
      <c r="CL19" t="s">
        <v>203</v>
      </c>
      <c r="CM19" t="s">
        <v>203</v>
      </c>
      <c r="CN19" t="s">
        <v>203</v>
      </c>
      <c r="CO19" t="s">
        <v>203</v>
      </c>
      <c r="CP19" t="s">
        <v>203</v>
      </c>
      <c r="CQ19" t="s">
        <v>203</v>
      </c>
      <c r="CR19" t="s">
        <v>203</v>
      </c>
      <c r="CS19" t="s">
        <v>203</v>
      </c>
      <c r="CT19" t="s">
        <v>59</v>
      </c>
      <c r="CU19" t="s">
        <v>203</v>
      </c>
      <c r="CV19" t="s">
        <v>203</v>
      </c>
      <c r="CW19" t="s">
        <v>203</v>
      </c>
      <c r="CX19" t="s">
        <v>203</v>
      </c>
      <c r="CY19" t="s">
        <v>203</v>
      </c>
      <c r="CZ19" t="s">
        <v>203</v>
      </c>
      <c r="DA19" t="s">
        <v>203</v>
      </c>
      <c r="DB19" t="s">
        <v>203</v>
      </c>
      <c r="DC19" t="s">
        <v>203</v>
      </c>
      <c r="DD19" t="s">
        <v>203</v>
      </c>
      <c r="DE19" t="s">
        <v>203</v>
      </c>
      <c r="DF19" t="s">
        <v>203</v>
      </c>
      <c r="DG19" t="s">
        <v>203</v>
      </c>
      <c r="DH19" t="s">
        <v>203</v>
      </c>
      <c r="DI19" t="s">
        <v>203</v>
      </c>
      <c r="DJ19" t="s">
        <v>203</v>
      </c>
      <c r="DK19" t="s">
        <v>203</v>
      </c>
      <c r="DL19" t="s">
        <v>203</v>
      </c>
      <c r="DM19" t="s">
        <v>203</v>
      </c>
      <c r="DN19" t="s">
        <v>203</v>
      </c>
      <c r="DO19" t="s">
        <v>203</v>
      </c>
      <c r="DP19" t="s">
        <v>203</v>
      </c>
      <c r="DQ19" t="s">
        <v>203</v>
      </c>
      <c r="DR19" t="s">
        <v>203</v>
      </c>
      <c r="DS19" t="s">
        <v>203</v>
      </c>
      <c r="DT19" t="s">
        <v>203</v>
      </c>
      <c r="DU19" t="s">
        <v>203</v>
      </c>
      <c r="DV19" t="s">
        <v>203</v>
      </c>
      <c r="DW19" t="s">
        <v>203</v>
      </c>
      <c r="DX19" t="s">
        <v>203</v>
      </c>
      <c r="DY19" t="s">
        <v>203</v>
      </c>
      <c r="DZ19" t="s">
        <v>203</v>
      </c>
      <c r="EA19" t="s">
        <v>203</v>
      </c>
      <c r="EB19" t="s">
        <v>203</v>
      </c>
      <c r="EC19" t="s">
        <v>203</v>
      </c>
      <c r="ED19" t="s">
        <v>203</v>
      </c>
      <c r="EE19" t="s">
        <v>203</v>
      </c>
      <c r="EF19" t="s">
        <v>203</v>
      </c>
      <c r="EG19" t="s">
        <v>203</v>
      </c>
      <c r="EH19" t="s">
        <v>203</v>
      </c>
      <c r="EI19" t="s">
        <v>203</v>
      </c>
      <c r="EJ19" t="s">
        <v>203</v>
      </c>
      <c r="EK19" t="s">
        <v>203</v>
      </c>
      <c r="EL19" t="s">
        <v>203</v>
      </c>
      <c r="EM19" t="s">
        <v>203</v>
      </c>
      <c r="EN19" t="s">
        <v>203</v>
      </c>
      <c r="EO19" t="s">
        <v>203</v>
      </c>
      <c r="EP19" t="s">
        <v>203</v>
      </c>
      <c r="EQ19" t="s">
        <v>203</v>
      </c>
      <c r="ER19" t="s">
        <v>203</v>
      </c>
      <c r="ES19" t="s">
        <v>203</v>
      </c>
      <c r="ET19" t="s">
        <v>203</v>
      </c>
      <c r="EU19" t="s">
        <v>203</v>
      </c>
      <c r="EV19" t="s">
        <v>203</v>
      </c>
      <c r="EW19" t="s">
        <v>203</v>
      </c>
      <c r="EX19" t="s">
        <v>203</v>
      </c>
      <c r="EY19" t="s">
        <v>203</v>
      </c>
      <c r="EZ19" t="s">
        <v>203</v>
      </c>
      <c r="FA19" t="s">
        <v>203</v>
      </c>
      <c r="FB19" t="s">
        <v>203</v>
      </c>
      <c r="FC19" t="s">
        <v>203</v>
      </c>
      <c r="FD19" t="s">
        <v>203</v>
      </c>
      <c r="FE19" t="s">
        <v>203</v>
      </c>
      <c r="FF19" t="s">
        <v>203</v>
      </c>
      <c r="FG19" t="s">
        <v>203</v>
      </c>
      <c r="FH19" t="s">
        <v>203</v>
      </c>
      <c r="FI19" t="s">
        <v>203</v>
      </c>
      <c r="FJ19" t="s">
        <v>203</v>
      </c>
      <c r="FK19" t="s">
        <v>203</v>
      </c>
      <c r="FL19" t="s">
        <v>203</v>
      </c>
      <c r="FM19" t="s">
        <v>203</v>
      </c>
      <c r="FN19" t="s">
        <v>203</v>
      </c>
      <c r="FO19" t="s">
        <v>203</v>
      </c>
      <c r="FP19" t="s">
        <v>203</v>
      </c>
      <c r="FQ19" t="s">
        <v>203</v>
      </c>
      <c r="FR19" t="s">
        <v>203</v>
      </c>
      <c r="FS19" t="s">
        <v>203</v>
      </c>
      <c r="FT19" t="s">
        <v>203</v>
      </c>
      <c r="FU19" t="s">
        <v>203</v>
      </c>
      <c r="FV19" t="s">
        <v>203</v>
      </c>
      <c r="FW19" t="s">
        <v>203</v>
      </c>
      <c r="FX19" t="s">
        <v>203</v>
      </c>
      <c r="FY19" t="s">
        <v>203</v>
      </c>
      <c r="FZ19" t="s">
        <v>203</v>
      </c>
      <c r="GA19" t="s">
        <v>203</v>
      </c>
      <c r="GB19" t="s">
        <v>203</v>
      </c>
      <c r="GC19" t="s">
        <v>203</v>
      </c>
      <c r="GD19" t="s">
        <v>203</v>
      </c>
      <c r="GE19" t="s">
        <v>203</v>
      </c>
      <c r="GF19" t="s">
        <v>203</v>
      </c>
      <c r="GG19" t="s">
        <v>203</v>
      </c>
      <c r="GH19" t="s">
        <v>203</v>
      </c>
      <c r="GI19" t="s">
        <v>203</v>
      </c>
      <c r="GJ19" t="s">
        <v>203</v>
      </c>
      <c r="GK19" t="s">
        <v>203</v>
      </c>
      <c r="GL19" t="s">
        <v>203</v>
      </c>
      <c r="GM19" t="s">
        <v>203</v>
      </c>
      <c r="GN19" t="s">
        <v>203</v>
      </c>
      <c r="GO19" t="s">
        <v>203</v>
      </c>
      <c r="GP19" t="s">
        <v>203</v>
      </c>
      <c r="GQ19" t="s">
        <v>203</v>
      </c>
      <c r="GR19" t="s">
        <v>203</v>
      </c>
      <c r="GS19" t="s">
        <v>203</v>
      </c>
      <c r="GT19" t="s">
        <v>203</v>
      </c>
      <c r="GU19" t="s">
        <v>203</v>
      </c>
      <c r="GV19" t="s">
        <v>203</v>
      </c>
      <c r="GW19" t="s">
        <v>203</v>
      </c>
      <c r="GX19" t="s">
        <v>203</v>
      </c>
      <c r="GY19" t="s">
        <v>203</v>
      </c>
      <c r="GZ19" t="s">
        <v>203</v>
      </c>
      <c r="HA19" t="s">
        <v>203</v>
      </c>
      <c r="HB19" t="s">
        <v>203</v>
      </c>
      <c r="HC19" t="s">
        <v>203</v>
      </c>
      <c r="HD19" t="s">
        <v>203</v>
      </c>
      <c r="HE19" t="s">
        <v>203</v>
      </c>
      <c r="HF19" t="s">
        <v>203</v>
      </c>
      <c r="HG19" t="s">
        <v>203</v>
      </c>
      <c r="HH19" t="s">
        <v>203</v>
      </c>
      <c r="HI19" t="s">
        <v>203</v>
      </c>
      <c r="HJ19" t="s">
        <v>203</v>
      </c>
      <c r="HK19" t="s">
        <v>203</v>
      </c>
      <c r="HL19" t="s">
        <v>203</v>
      </c>
      <c r="HM19" t="s">
        <v>203</v>
      </c>
      <c r="HN19" t="s">
        <v>203</v>
      </c>
      <c r="HO19" t="s">
        <v>203</v>
      </c>
      <c r="HP19" t="s">
        <v>203</v>
      </c>
      <c r="HQ19" t="s">
        <v>203</v>
      </c>
      <c r="HR19" t="s">
        <v>203</v>
      </c>
      <c r="HS19" t="s">
        <v>203</v>
      </c>
      <c r="HT19" t="s">
        <v>203</v>
      </c>
      <c r="HU19" t="s">
        <v>203</v>
      </c>
      <c r="HV19" t="s">
        <v>203</v>
      </c>
      <c r="HW19" t="s">
        <v>203</v>
      </c>
      <c r="HX19" t="s">
        <v>203</v>
      </c>
      <c r="HY19" t="s">
        <v>203</v>
      </c>
      <c r="HZ19" t="s">
        <v>203</v>
      </c>
      <c r="IA19" t="s">
        <v>203</v>
      </c>
      <c r="IB19" t="s">
        <v>203</v>
      </c>
      <c r="IC19" t="s">
        <v>203</v>
      </c>
      <c r="ID19" t="s">
        <v>203</v>
      </c>
      <c r="IE19" t="s">
        <v>203</v>
      </c>
      <c r="IF19" t="s">
        <v>59</v>
      </c>
      <c r="IG19" t="s">
        <v>59</v>
      </c>
      <c r="IH19" t="s">
        <v>59</v>
      </c>
      <c r="II19" t="s">
        <v>59</v>
      </c>
      <c r="IJ19" t="s">
        <v>128</v>
      </c>
      <c r="IK19" t="s">
        <v>128</v>
      </c>
      <c r="IL19" t="s">
        <v>128</v>
      </c>
      <c r="IM19" t="s">
        <v>199</v>
      </c>
      <c r="IN19">
        <v>15</v>
      </c>
      <c r="IO19">
        <v>17</v>
      </c>
      <c r="IP19" t="s">
        <v>2730</v>
      </c>
      <c r="IQ19" t="s">
        <v>2730</v>
      </c>
      <c r="IR19">
        <v>5</v>
      </c>
      <c r="IS19">
        <v>10</v>
      </c>
      <c r="IT19" t="s">
        <v>2730</v>
      </c>
      <c r="IU19" t="s">
        <v>2730</v>
      </c>
      <c r="IV19">
        <v>1</v>
      </c>
      <c r="IW19">
        <v>18</v>
      </c>
      <c r="IX19" t="s">
        <v>2730</v>
      </c>
      <c r="IY19" t="s">
        <v>2730</v>
      </c>
      <c r="IZ19" t="s">
        <v>2730</v>
      </c>
      <c r="JA19">
        <v>59</v>
      </c>
      <c r="JB19" t="s">
        <v>2730</v>
      </c>
      <c r="JC19" t="s">
        <v>2730</v>
      </c>
      <c r="JD19" t="s">
        <v>2730</v>
      </c>
      <c r="JE19">
        <v>26</v>
      </c>
      <c r="JF19" t="s">
        <v>2730</v>
      </c>
      <c r="JG19" t="s">
        <v>2730</v>
      </c>
      <c r="JH19" t="s">
        <v>2730</v>
      </c>
      <c r="JI19">
        <v>30</v>
      </c>
      <c r="JJ19" t="s">
        <v>2730</v>
      </c>
      <c r="JK19" t="s">
        <v>2730</v>
      </c>
      <c r="JL19" t="s">
        <v>2730</v>
      </c>
      <c r="JM19">
        <v>16</v>
      </c>
      <c r="JN19" t="s">
        <v>2730</v>
      </c>
      <c r="JO19">
        <v>4</v>
      </c>
      <c r="JP19" t="s">
        <v>2730</v>
      </c>
      <c r="JQ19" t="s">
        <v>2730</v>
      </c>
    </row>
    <row r="20" spans="1:277">
      <c r="A20" s="149" t="str">
        <f>HYPERLINK("http://www.ofsted.gov.uk/inspection-reports/find-inspection-report/provider/ELS/132775 ","Ofsted School Webpage")</f>
        <v>Ofsted School Webpage</v>
      </c>
      <c r="B20">
        <v>1132643</v>
      </c>
      <c r="C20">
        <v>132775</v>
      </c>
      <c r="D20">
        <v>8656034</v>
      </c>
      <c r="E20" t="s">
        <v>1134</v>
      </c>
      <c r="F20" t="s">
        <v>38</v>
      </c>
      <c r="G20" t="s">
        <v>180</v>
      </c>
      <c r="H20" t="s">
        <v>225</v>
      </c>
      <c r="I20" t="s">
        <v>225</v>
      </c>
      <c r="J20" t="s">
        <v>226</v>
      </c>
      <c r="K20" t="s">
        <v>1135</v>
      </c>
      <c r="L20" t="s">
        <v>184</v>
      </c>
      <c r="M20" t="s">
        <v>185</v>
      </c>
      <c r="N20" t="s">
        <v>184</v>
      </c>
      <c r="O20" t="s">
        <v>2730</v>
      </c>
      <c r="P20" t="s">
        <v>186</v>
      </c>
      <c r="Q20">
        <v>10038368</v>
      </c>
      <c r="R20" s="120">
        <v>43040</v>
      </c>
      <c r="S20" s="120">
        <v>43040</v>
      </c>
      <c r="T20" s="120">
        <v>43082</v>
      </c>
      <c r="U20" t="s">
        <v>2730</v>
      </c>
      <c r="V20" t="s">
        <v>187</v>
      </c>
      <c r="W20" t="s">
        <v>2730</v>
      </c>
      <c r="X20" t="s">
        <v>188</v>
      </c>
      <c r="Y20" t="s">
        <v>2730</v>
      </c>
      <c r="Z20" t="s">
        <v>2730</v>
      </c>
      <c r="AA20" t="s">
        <v>2730</v>
      </c>
      <c r="AB20" t="s">
        <v>2730</v>
      </c>
      <c r="AC20" t="s">
        <v>2730</v>
      </c>
      <c r="AD20" t="s">
        <v>2730</v>
      </c>
      <c r="AE20" t="s">
        <v>2730</v>
      </c>
      <c r="AF20" t="s">
        <v>2730</v>
      </c>
      <c r="AG20" t="s">
        <v>189</v>
      </c>
      <c r="AH20" t="s">
        <v>2730</v>
      </c>
      <c r="AI20" t="s">
        <v>190</v>
      </c>
      <c r="AJ20" t="s">
        <v>190</v>
      </c>
      <c r="AK20" t="s">
        <v>59</v>
      </c>
      <c r="AL20" t="s">
        <v>59</v>
      </c>
      <c r="AM20" t="s">
        <v>190</v>
      </c>
      <c r="AN20" t="s">
        <v>190</v>
      </c>
      <c r="AO20" t="s">
        <v>190</v>
      </c>
      <c r="AP20" t="s">
        <v>59</v>
      </c>
      <c r="AQ20" t="s">
        <v>190</v>
      </c>
      <c r="AR20" t="s">
        <v>190</v>
      </c>
      <c r="AS20" t="s">
        <v>190</v>
      </c>
      <c r="AT20" t="s">
        <v>190</v>
      </c>
      <c r="AU20" t="s">
        <v>190</v>
      </c>
      <c r="AV20" t="s">
        <v>190</v>
      </c>
      <c r="AW20" t="s">
        <v>190</v>
      </c>
      <c r="AX20" t="s">
        <v>190</v>
      </c>
      <c r="AY20" t="s">
        <v>190</v>
      </c>
      <c r="AZ20" t="s">
        <v>190</v>
      </c>
      <c r="BA20" t="s">
        <v>190</v>
      </c>
      <c r="BB20" t="s">
        <v>190</v>
      </c>
      <c r="BC20" t="s">
        <v>190</v>
      </c>
      <c r="BD20" t="s">
        <v>190</v>
      </c>
      <c r="BE20" t="s">
        <v>190</v>
      </c>
      <c r="BF20" t="s">
        <v>190</v>
      </c>
      <c r="BG20" t="s">
        <v>190</v>
      </c>
      <c r="BH20" t="s">
        <v>190</v>
      </c>
      <c r="BI20" t="s">
        <v>190</v>
      </c>
      <c r="BJ20" t="s">
        <v>190</v>
      </c>
      <c r="BK20" t="s">
        <v>190</v>
      </c>
      <c r="BL20" t="s">
        <v>190</v>
      </c>
      <c r="BM20" t="s">
        <v>190</v>
      </c>
      <c r="BN20" t="s">
        <v>190</v>
      </c>
      <c r="BO20" t="s">
        <v>190</v>
      </c>
      <c r="BP20" t="s">
        <v>190</v>
      </c>
      <c r="BQ20" t="s">
        <v>190</v>
      </c>
      <c r="BR20" t="s">
        <v>190</v>
      </c>
      <c r="BS20" t="s">
        <v>190</v>
      </c>
      <c r="BT20" t="s">
        <v>190</v>
      </c>
      <c r="BU20" t="s">
        <v>190</v>
      </c>
      <c r="BV20" t="s">
        <v>190</v>
      </c>
      <c r="BW20" t="s">
        <v>190</v>
      </c>
      <c r="BX20" t="s">
        <v>190</v>
      </c>
      <c r="BY20" t="s">
        <v>190</v>
      </c>
      <c r="BZ20" t="s">
        <v>190</v>
      </c>
      <c r="CA20" t="s">
        <v>190</v>
      </c>
      <c r="CB20" t="s">
        <v>190</v>
      </c>
      <c r="CC20" t="s">
        <v>190</v>
      </c>
      <c r="CD20" t="s">
        <v>190</v>
      </c>
      <c r="CE20" t="s">
        <v>190</v>
      </c>
      <c r="CF20" t="s">
        <v>190</v>
      </c>
      <c r="CG20" t="s">
        <v>190</v>
      </c>
      <c r="CH20" t="s">
        <v>190</v>
      </c>
      <c r="CI20" t="s">
        <v>190</v>
      </c>
      <c r="CJ20" t="s">
        <v>190</v>
      </c>
      <c r="CK20" t="s">
        <v>190</v>
      </c>
      <c r="CL20" t="s">
        <v>59</v>
      </c>
      <c r="CM20" t="s">
        <v>59</v>
      </c>
      <c r="CN20" t="s">
        <v>59</v>
      </c>
      <c r="CO20" t="s">
        <v>190</v>
      </c>
      <c r="CP20" t="s">
        <v>190</v>
      </c>
      <c r="CQ20" t="s">
        <v>190</v>
      </c>
      <c r="CR20" t="s">
        <v>190</v>
      </c>
      <c r="CS20" t="s">
        <v>190</v>
      </c>
      <c r="CT20" t="s">
        <v>190</v>
      </c>
      <c r="CU20" t="s">
        <v>190</v>
      </c>
      <c r="CV20" t="s">
        <v>190</v>
      </c>
      <c r="CW20" t="s">
        <v>190</v>
      </c>
      <c r="CX20" t="s">
        <v>190</v>
      </c>
      <c r="CY20" t="s">
        <v>190</v>
      </c>
      <c r="CZ20" t="s">
        <v>190</v>
      </c>
      <c r="DA20" t="s">
        <v>190</v>
      </c>
      <c r="DB20" t="s">
        <v>190</v>
      </c>
      <c r="DC20" t="s">
        <v>190</v>
      </c>
      <c r="DD20" t="s">
        <v>190</v>
      </c>
      <c r="DE20" t="s">
        <v>59</v>
      </c>
      <c r="DF20" t="s">
        <v>190</v>
      </c>
      <c r="DG20" t="s">
        <v>59</v>
      </c>
      <c r="DH20" t="s">
        <v>190</v>
      </c>
      <c r="DI20" t="s">
        <v>190</v>
      </c>
      <c r="DJ20" t="s">
        <v>190</v>
      </c>
      <c r="DK20" t="s">
        <v>190</v>
      </c>
      <c r="DL20" t="s">
        <v>190</v>
      </c>
      <c r="DM20" t="s">
        <v>190</v>
      </c>
      <c r="DN20" t="s">
        <v>190</v>
      </c>
      <c r="DO20" t="s">
        <v>190</v>
      </c>
      <c r="DP20" t="s">
        <v>190</v>
      </c>
      <c r="DQ20" t="s">
        <v>190</v>
      </c>
      <c r="DR20" t="s">
        <v>190</v>
      </c>
      <c r="DS20" t="s">
        <v>190</v>
      </c>
      <c r="DT20" t="s">
        <v>190</v>
      </c>
      <c r="DU20" t="s">
        <v>190</v>
      </c>
      <c r="DV20" t="s">
        <v>190</v>
      </c>
      <c r="DW20" t="s">
        <v>190</v>
      </c>
      <c r="DX20" t="s">
        <v>190</v>
      </c>
      <c r="DY20" t="s">
        <v>190</v>
      </c>
      <c r="DZ20" t="s">
        <v>190</v>
      </c>
      <c r="EA20" t="s">
        <v>190</v>
      </c>
      <c r="EB20" t="s">
        <v>190</v>
      </c>
      <c r="EC20" t="s">
        <v>190</v>
      </c>
      <c r="ED20" t="s">
        <v>190</v>
      </c>
      <c r="EE20" t="s">
        <v>190</v>
      </c>
      <c r="EF20" t="s">
        <v>190</v>
      </c>
      <c r="EG20" t="s">
        <v>190</v>
      </c>
      <c r="EH20" t="s">
        <v>190</v>
      </c>
      <c r="EI20" t="s">
        <v>190</v>
      </c>
      <c r="EJ20" t="s">
        <v>190</v>
      </c>
      <c r="EK20" t="s">
        <v>190</v>
      </c>
      <c r="EL20" t="s">
        <v>190</v>
      </c>
      <c r="EM20" t="s">
        <v>190</v>
      </c>
      <c r="EN20" t="s">
        <v>59</v>
      </c>
      <c r="EO20" t="s">
        <v>190</v>
      </c>
      <c r="EP20" t="s">
        <v>59</v>
      </c>
      <c r="EQ20" t="s">
        <v>59</v>
      </c>
      <c r="ER20" t="s">
        <v>59</v>
      </c>
      <c r="ES20" t="s">
        <v>190</v>
      </c>
      <c r="ET20" t="s">
        <v>190</v>
      </c>
      <c r="EU20" t="s">
        <v>190</v>
      </c>
      <c r="EV20" t="s">
        <v>190</v>
      </c>
      <c r="EW20" t="s">
        <v>190</v>
      </c>
      <c r="EX20" t="s">
        <v>59</v>
      </c>
      <c r="EY20" t="s">
        <v>190</v>
      </c>
      <c r="EZ20" t="s">
        <v>59</v>
      </c>
      <c r="FA20" t="s">
        <v>190</v>
      </c>
      <c r="FB20" t="s">
        <v>190</v>
      </c>
      <c r="FC20" t="s">
        <v>190</v>
      </c>
      <c r="FD20" t="s">
        <v>190</v>
      </c>
      <c r="FE20" t="s">
        <v>190</v>
      </c>
      <c r="FF20" t="s">
        <v>190</v>
      </c>
      <c r="FG20" t="s">
        <v>190</v>
      </c>
      <c r="FH20" t="s">
        <v>190</v>
      </c>
      <c r="FI20" t="s">
        <v>190</v>
      </c>
      <c r="FJ20" t="s">
        <v>190</v>
      </c>
      <c r="FK20" t="s">
        <v>190</v>
      </c>
      <c r="FL20" t="s">
        <v>190</v>
      </c>
      <c r="FM20" t="s">
        <v>190</v>
      </c>
      <c r="FN20" t="s">
        <v>190</v>
      </c>
      <c r="FO20" t="s">
        <v>190</v>
      </c>
      <c r="FP20" t="s">
        <v>190</v>
      </c>
      <c r="FQ20" t="s">
        <v>190</v>
      </c>
      <c r="FR20" t="s">
        <v>190</v>
      </c>
      <c r="FS20" t="s">
        <v>190</v>
      </c>
      <c r="FT20" t="s">
        <v>190</v>
      </c>
      <c r="FU20" t="s">
        <v>190</v>
      </c>
      <c r="FV20" t="s">
        <v>190</v>
      </c>
      <c r="FW20" t="s">
        <v>190</v>
      </c>
      <c r="FX20" t="s">
        <v>190</v>
      </c>
      <c r="FY20" t="s">
        <v>190</v>
      </c>
      <c r="FZ20" t="s">
        <v>190</v>
      </c>
      <c r="GA20" t="s">
        <v>190</v>
      </c>
      <c r="GB20" t="s">
        <v>190</v>
      </c>
      <c r="GC20" t="s">
        <v>190</v>
      </c>
      <c r="GD20" t="s">
        <v>190</v>
      </c>
      <c r="GE20" t="s">
        <v>190</v>
      </c>
      <c r="GF20" t="s">
        <v>190</v>
      </c>
      <c r="GG20" t="s">
        <v>190</v>
      </c>
      <c r="GH20" t="s">
        <v>190</v>
      </c>
      <c r="GI20" t="s">
        <v>190</v>
      </c>
      <c r="GJ20" t="s">
        <v>190</v>
      </c>
      <c r="GK20" t="s">
        <v>190</v>
      </c>
      <c r="GL20" t="s">
        <v>190</v>
      </c>
      <c r="GM20" t="s">
        <v>190</v>
      </c>
      <c r="GN20" t="s">
        <v>190</v>
      </c>
      <c r="GO20" t="s">
        <v>190</v>
      </c>
      <c r="GP20" t="s">
        <v>190</v>
      </c>
      <c r="GQ20" t="s">
        <v>190</v>
      </c>
      <c r="GR20" t="s">
        <v>190</v>
      </c>
      <c r="GS20" t="s">
        <v>190</v>
      </c>
      <c r="GT20" t="s">
        <v>190</v>
      </c>
      <c r="GU20" t="s">
        <v>190</v>
      </c>
      <c r="GV20" t="s">
        <v>190</v>
      </c>
      <c r="GW20" t="s">
        <v>190</v>
      </c>
      <c r="GX20" t="s">
        <v>190</v>
      </c>
      <c r="GY20" t="s">
        <v>190</v>
      </c>
      <c r="GZ20" t="s">
        <v>190</v>
      </c>
      <c r="HA20" t="s">
        <v>190</v>
      </c>
      <c r="HB20" t="s">
        <v>190</v>
      </c>
      <c r="HC20" t="s">
        <v>190</v>
      </c>
      <c r="HD20" t="s">
        <v>190</v>
      </c>
      <c r="HE20" t="s">
        <v>190</v>
      </c>
      <c r="HF20" t="s">
        <v>190</v>
      </c>
      <c r="HG20" t="s">
        <v>190</v>
      </c>
      <c r="HH20" t="s">
        <v>190</v>
      </c>
      <c r="HI20" t="s">
        <v>190</v>
      </c>
      <c r="HJ20" t="s">
        <v>190</v>
      </c>
      <c r="HK20" t="s">
        <v>190</v>
      </c>
      <c r="HL20" t="s">
        <v>190</v>
      </c>
      <c r="HM20" t="s">
        <v>190</v>
      </c>
      <c r="HN20" t="s">
        <v>190</v>
      </c>
      <c r="HO20" t="s">
        <v>190</v>
      </c>
      <c r="HP20" t="s">
        <v>190</v>
      </c>
      <c r="HQ20" t="s">
        <v>190</v>
      </c>
      <c r="HR20" t="s">
        <v>190</v>
      </c>
      <c r="HS20" t="s">
        <v>190</v>
      </c>
      <c r="HT20" t="s">
        <v>190</v>
      </c>
      <c r="HU20" t="s">
        <v>190</v>
      </c>
      <c r="HV20" t="s">
        <v>190</v>
      </c>
      <c r="HW20" t="s">
        <v>190</v>
      </c>
      <c r="HX20" t="s">
        <v>190</v>
      </c>
      <c r="HY20" t="s">
        <v>190</v>
      </c>
      <c r="HZ20" t="s">
        <v>190</v>
      </c>
      <c r="IA20" t="s">
        <v>190</v>
      </c>
      <c r="IB20" t="s">
        <v>190</v>
      </c>
      <c r="IC20" t="s">
        <v>190</v>
      </c>
      <c r="ID20" t="s">
        <v>190</v>
      </c>
      <c r="IE20" t="s">
        <v>190</v>
      </c>
      <c r="IF20" t="s">
        <v>59</v>
      </c>
      <c r="IG20" t="s">
        <v>59</v>
      </c>
      <c r="IH20" t="s">
        <v>59</v>
      </c>
      <c r="II20" t="s">
        <v>59</v>
      </c>
      <c r="IJ20" t="s">
        <v>2730</v>
      </c>
      <c r="IK20" t="s">
        <v>2730</v>
      </c>
      <c r="IL20" t="s">
        <v>2730</v>
      </c>
      <c r="IM20" t="s">
        <v>2730</v>
      </c>
      <c r="IN20" t="s">
        <v>2730</v>
      </c>
      <c r="IO20" t="s">
        <v>2730</v>
      </c>
      <c r="IP20" t="s">
        <v>2730</v>
      </c>
      <c r="IQ20" t="s">
        <v>2730</v>
      </c>
      <c r="IR20" t="s">
        <v>2730</v>
      </c>
      <c r="IS20" t="s">
        <v>2730</v>
      </c>
      <c r="IT20" t="s">
        <v>2730</v>
      </c>
      <c r="IU20" t="s">
        <v>2730</v>
      </c>
      <c r="IV20">
        <v>3</v>
      </c>
      <c r="IW20" t="s">
        <v>2730</v>
      </c>
      <c r="IX20" t="s">
        <v>2730</v>
      </c>
      <c r="IY20" t="s">
        <v>2730</v>
      </c>
      <c r="IZ20">
        <v>8</v>
      </c>
      <c r="JA20" t="s">
        <v>2730</v>
      </c>
      <c r="JB20" t="s">
        <v>2730</v>
      </c>
      <c r="JC20" t="s">
        <v>2730</v>
      </c>
      <c r="JD20" t="s">
        <v>2730</v>
      </c>
      <c r="JE20" t="s">
        <v>2730</v>
      </c>
      <c r="JF20" t="s">
        <v>2730</v>
      </c>
      <c r="JG20" t="s">
        <v>2730</v>
      </c>
      <c r="JH20" t="s">
        <v>2730</v>
      </c>
      <c r="JI20" t="s">
        <v>2730</v>
      </c>
      <c r="JJ20" t="s">
        <v>2730</v>
      </c>
      <c r="JK20" t="s">
        <v>2730</v>
      </c>
      <c r="JL20" t="s">
        <v>2730</v>
      </c>
      <c r="JM20" t="s">
        <v>2730</v>
      </c>
      <c r="JN20" t="s">
        <v>2730</v>
      </c>
      <c r="JO20">
        <v>4</v>
      </c>
      <c r="JP20" t="s">
        <v>2730</v>
      </c>
      <c r="JQ20" t="s">
        <v>2730</v>
      </c>
    </row>
    <row r="21" spans="1:277">
      <c r="A21" s="149" t="str">
        <f>HYPERLINK("http://www.ofsted.gov.uk/inspection-reports/find-inspection-report/provider/ELS/141680 ","Ofsted School Webpage")</f>
        <v>Ofsted School Webpage</v>
      </c>
      <c r="B21">
        <v>1133970</v>
      </c>
      <c r="C21">
        <v>141680</v>
      </c>
      <c r="D21">
        <v>3526010</v>
      </c>
      <c r="E21" t="s">
        <v>533</v>
      </c>
      <c r="F21" t="s">
        <v>37</v>
      </c>
      <c r="G21" t="s">
        <v>209</v>
      </c>
      <c r="H21" t="s">
        <v>205</v>
      </c>
      <c r="I21" t="s">
        <v>205</v>
      </c>
      <c r="J21" t="s">
        <v>306</v>
      </c>
      <c r="K21" t="s">
        <v>534</v>
      </c>
      <c r="L21" t="s">
        <v>184</v>
      </c>
      <c r="M21" t="s">
        <v>185</v>
      </c>
      <c r="N21" t="s">
        <v>184</v>
      </c>
      <c r="O21" t="s">
        <v>2730</v>
      </c>
      <c r="P21" t="s">
        <v>186</v>
      </c>
      <c r="Q21">
        <v>10040201</v>
      </c>
      <c r="R21" s="120">
        <v>43005</v>
      </c>
      <c r="S21" s="120">
        <v>43005</v>
      </c>
      <c r="T21" s="120">
        <v>43039</v>
      </c>
      <c r="U21" t="s">
        <v>2730</v>
      </c>
      <c r="V21" t="s">
        <v>187</v>
      </c>
      <c r="W21" t="s">
        <v>2730</v>
      </c>
      <c r="X21" t="s">
        <v>188</v>
      </c>
      <c r="Y21" t="s">
        <v>2730</v>
      </c>
      <c r="Z21" t="s">
        <v>2730</v>
      </c>
      <c r="AA21" t="s">
        <v>2730</v>
      </c>
      <c r="AB21" t="s">
        <v>2730</v>
      </c>
      <c r="AC21" t="s">
        <v>2730</v>
      </c>
      <c r="AD21" t="s">
        <v>2730</v>
      </c>
      <c r="AE21" t="s">
        <v>2730</v>
      </c>
      <c r="AF21" t="s">
        <v>2730</v>
      </c>
      <c r="AG21" t="s">
        <v>217</v>
      </c>
      <c r="AH21" t="s">
        <v>2730</v>
      </c>
      <c r="AI21" t="s">
        <v>60</v>
      </c>
      <c r="AJ21" t="s">
        <v>190</v>
      </c>
      <c r="AK21" t="s">
        <v>59</v>
      </c>
      <c r="AL21" t="s">
        <v>190</v>
      </c>
      <c r="AM21" t="s">
        <v>190</v>
      </c>
      <c r="AN21" t="s">
        <v>190</v>
      </c>
      <c r="AO21" t="s">
        <v>190</v>
      </c>
      <c r="AP21" t="s">
        <v>60</v>
      </c>
      <c r="AQ21" t="s">
        <v>60</v>
      </c>
      <c r="AR21" t="s">
        <v>190</v>
      </c>
      <c r="AS21" t="s">
        <v>190</v>
      </c>
      <c r="AT21" t="s">
        <v>190</v>
      </c>
      <c r="AU21" t="s">
        <v>190</v>
      </c>
      <c r="AV21" t="s">
        <v>190</v>
      </c>
      <c r="AW21" t="s">
        <v>190</v>
      </c>
      <c r="AX21" t="s">
        <v>190</v>
      </c>
      <c r="AY21" t="s">
        <v>190</v>
      </c>
      <c r="AZ21" t="s">
        <v>190</v>
      </c>
      <c r="BA21" t="s">
        <v>190</v>
      </c>
      <c r="BB21" t="s">
        <v>190</v>
      </c>
      <c r="BC21" t="s">
        <v>190</v>
      </c>
      <c r="BD21" t="s">
        <v>190</v>
      </c>
      <c r="BE21" t="s">
        <v>190</v>
      </c>
      <c r="BF21" t="s">
        <v>190</v>
      </c>
      <c r="BG21" t="s">
        <v>190</v>
      </c>
      <c r="BH21" t="s">
        <v>190</v>
      </c>
      <c r="BI21" t="s">
        <v>190</v>
      </c>
      <c r="BJ21" t="s">
        <v>190</v>
      </c>
      <c r="BK21" t="s">
        <v>190</v>
      </c>
      <c r="BL21" t="s">
        <v>190</v>
      </c>
      <c r="BM21" t="s">
        <v>190</v>
      </c>
      <c r="BN21" t="s">
        <v>190</v>
      </c>
      <c r="BO21" t="s">
        <v>190</v>
      </c>
      <c r="BP21" t="s">
        <v>190</v>
      </c>
      <c r="BQ21" t="s">
        <v>190</v>
      </c>
      <c r="BR21" t="s">
        <v>190</v>
      </c>
      <c r="BS21" t="s">
        <v>60</v>
      </c>
      <c r="BT21" t="s">
        <v>190</v>
      </c>
      <c r="BU21" t="s">
        <v>190</v>
      </c>
      <c r="BV21" t="s">
        <v>190</v>
      </c>
      <c r="BW21" t="s">
        <v>190</v>
      </c>
      <c r="BX21" t="s">
        <v>190</v>
      </c>
      <c r="BY21" t="s">
        <v>190</v>
      </c>
      <c r="BZ21" t="s">
        <v>190</v>
      </c>
      <c r="CA21" t="s">
        <v>190</v>
      </c>
      <c r="CB21" t="s">
        <v>190</v>
      </c>
      <c r="CC21" t="s">
        <v>190</v>
      </c>
      <c r="CD21" t="s">
        <v>190</v>
      </c>
      <c r="CE21" t="s">
        <v>190</v>
      </c>
      <c r="CF21" t="s">
        <v>190</v>
      </c>
      <c r="CG21" t="s">
        <v>190</v>
      </c>
      <c r="CH21" t="s">
        <v>190</v>
      </c>
      <c r="CI21" t="s">
        <v>190</v>
      </c>
      <c r="CJ21" t="s">
        <v>190</v>
      </c>
      <c r="CK21" t="s">
        <v>190</v>
      </c>
      <c r="CL21" t="s">
        <v>59</v>
      </c>
      <c r="CM21" t="s">
        <v>190</v>
      </c>
      <c r="CN21" t="s">
        <v>190</v>
      </c>
      <c r="CO21" t="s">
        <v>190</v>
      </c>
      <c r="CP21" t="s">
        <v>190</v>
      </c>
      <c r="CQ21" t="s">
        <v>190</v>
      </c>
      <c r="CR21" t="s">
        <v>190</v>
      </c>
      <c r="CS21" t="s">
        <v>190</v>
      </c>
      <c r="CT21" t="s">
        <v>190</v>
      </c>
      <c r="CU21" t="s">
        <v>190</v>
      </c>
      <c r="CV21" t="s">
        <v>190</v>
      </c>
      <c r="CW21" t="s">
        <v>190</v>
      </c>
      <c r="CX21" t="s">
        <v>190</v>
      </c>
      <c r="CY21" t="s">
        <v>190</v>
      </c>
      <c r="CZ21" t="s">
        <v>59</v>
      </c>
      <c r="DA21" t="s">
        <v>190</v>
      </c>
      <c r="DB21" t="s">
        <v>190</v>
      </c>
      <c r="DC21" t="s">
        <v>190</v>
      </c>
      <c r="DD21" t="s">
        <v>190</v>
      </c>
      <c r="DE21" t="s">
        <v>190</v>
      </c>
      <c r="DF21" t="s">
        <v>190</v>
      </c>
      <c r="DG21" t="s">
        <v>190</v>
      </c>
      <c r="DH21" t="s">
        <v>190</v>
      </c>
      <c r="DI21" t="s">
        <v>190</v>
      </c>
      <c r="DJ21" t="s">
        <v>190</v>
      </c>
      <c r="DK21" t="s">
        <v>190</v>
      </c>
      <c r="DL21" t="s">
        <v>190</v>
      </c>
      <c r="DM21" t="s">
        <v>190</v>
      </c>
      <c r="DN21" t="s">
        <v>190</v>
      </c>
      <c r="DO21" t="s">
        <v>190</v>
      </c>
      <c r="DP21" t="s">
        <v>190</v>
      </c>
      <c r="DQ21" t="s">
        <v>190</v>
      </c>
      <c r="DR21" t="s">
        <v>190</v>
      </c>
      <c r="DS21" t="s">
        <v>190</v>
      </c>
      <c r="DT21" t="s">
        <v>190</v>
      </c>
      <c r="DU21" t="s">
        <v>190</v>
      </c>
      <c r="DV21" t="s">
        <v>190</v>
      </c>
      <c r="DW21" t="s">
        <v>190</v>
      </c>
      <c r="DX21" t="s">
        <v>190</v>
      </c>
      <c r="DY21" t="s">
        <v>190</v>
      </c>
      <c r="DZ21" t="s">
        <v>190</v>
      </c>
      <c r="EA21" t="s">
        <v>190</v>
      </c>
      <c r="EB21" t="s">
        <v>190</v>
      </c>
      <c r="EC21" t="s">
        <v>190</v>
      </c>
      <c r="ED21" t="s">
        <v>190</v>
      </c>
      <c r="EE21" t="s">
        <v>190</v>
      </c>
      <c r="EF21" t="s">
        <v>190</v>
      </c>
      <c r="EG21" t="s">
        <v>190</v>
      </c>
      <c r="EH21" t="s">
        <v>190</v>
      </c>
      <c r="EI21" t="s">
        <v>190</v>
      </c>
      <c r="EJ21" t="s">
        <v>190</v>
      </c>
      <c r="EK21" t="s">
        <v>190</v>
      </c>
      <c r="EL21" t="s">
        <v>190</v>
      </c>
      <c r="EM21" t="s">
        <v>190</v>
      </c>
      <c r="EN21" t="s">
        <v>190</v>
      </c>
      <c r="EO21" t="s">
        <v>190</v>
      </c>
      <c r="EP21" t="s">
        <v>190</v>
      </c>
      <c r="EQ21" t="s">
        <v>190</v>
      </c>
      <c r="ER21" t="s">
        <v>190</v>
      </c>
      <c r="ES21" t="s">
        <v>190</v>
      </c>
      <c r="ET21" t="s">
        <v>190</v>
      </c>
      <c r="EU21" t="s">
        <v>190</v>
      </c>
      <c r="EV21" t="s">
        <v>190</v>
      </c>
      <c r="EW21" t="s">
        <v>190</v>
      </c>
      <c r="EX21" t="s">
        <v>190</v>
      </c>
      <c r="EY21" t="s">
        <v>190</v>
      </c>
      <c r="EZ21" t="s">
        <v>190</v>
      </c>
      <c r="FA21" t="s">
        <v>190</v>
      </c>
      <c r="FB21" t="s">
        <v>190</v>
      </c>
      <c r="FC21" t="s">
        <v>190</v>
      </c>
      <c r="FD21" t="s">
        <v>190</v>
      </c>
      <c r="FE21" t="s">
        <v>190</v>
      </c>
      <c r="FF21" t="s">
        <v>190</v>
      </c>
      <c r="FG21" t="s">
        <v>190</v>
      </c>
      <c r="FH21" t="s">
        <v>190</v>
      </c>
      <c r="FI21" t="s">
        <v>190</v>
      </c>
      <c r="FJ21" t="s">
        <v>190</v>
      </c>
      <c r="FK21" t="s">
        <v>190</v>
      </c>
      <c r="FL21" t="s">
        <v>190</v>
      </c>
      <c r="FM21" t="s">
        <v>190</v>
      </c>
      <c r="FN21" t="s">
        <v>190</v>
      </c>
      <c r="FO21" t="s">
        <v>190</v>
      </c>
      <c r="FP21" t="s">
        <v>190</v>
      </c>
      <c r="FQ21" t="s">
        <v>190</v>
      </c>
      <c r="FR21" t="s">
        <v>190</v>
      </c>
      <c r="FS21" t="s">
        <v>190</v>
      </c>
      <c r="FT21" t="s">
        <v>190</v>
      </c>
      <c r="FU21" t="s">
        <v>190</v>
      </c>
      <c r="FV21" t="s">
        <v>190</v>
      </c>
      <c r="FW21" t="s">
        <v>190</v>
      </c>
      <c r="FX21" t="s">
        <v>190</v>
      </c>
      <c r="FY21" t="s">
        <v>190</v>
      </c>
      <c r="FZ21" t="s">
        <v>190</v>
      </c>
      <c r="GA21" t="s">
        <v>190</v>
      </c>
      <c r="GB21" t="s">
        <v>190</v>
      </c>
      <c r="GC21" t="s">
        <v>190</v>
      </c>
      <c r="GD21" t="s">
        <v>190</v>
      </c>
      <c r="GE21" t="s">
        <v>190</v>
      </c>
      <c r="GF21" t="s">
        <v>190</v>
      </c>
      <c r="GG21" t="s">
        <v>190</v>
      </c>
      <c r="GH21" t="s">
        <v>190</v>
      </c>
      <c r="GI21" t="s">
        <v>190</v>
      </c>
      <c r="GJ21" t="s">
        <v>190</v>
      </c>
      <c r="GK21" t="s">
        <v>190</v>
      </c>
      <c r="GL21" t="s">
        <v>190</v>
      </c>
      <c r="GM21" t="s">
        <v>190</v>
      </c>
      <c r="GN21" t="s">
        <v>190</v>
      </c>
      <c r="GO21" t="s">
        <v>190</v>
      </c>
      <c r="GP21" t="s">
        <v>190</v>
      </c>
      <c r="GQ21" t="s">
        <v>190</v>
      </c>
      <c r="GR21" t="s">
        <v>190</v>
      </c>
      <c r="GS21" t="s">
        <v>190</v>
      </c>
      <c r="GT21" t="s">
        <v>190</v>
      </c>
      <c r="GU21" t="s">
        <v>190</v>
      </c>
      <c r="GV21" t="s">
        <v>190</v>
      </c>
      <c r="GW21" t="s">
        <v>190</v>
      </c>
      <c r="GX21" t="s">
        <v>190</v>
      </c>
      <c r="GY21" t="s">
        <v>190</v>
      </c>
      <c r="GZ21" t="s">
        <v>190</v>
      </c>
      <c r="HA21" t="s">
        <v>190</v>
      </c>
      <c r="HB21" t="s">
        <v>190</v>
      </c>
      <c r="HC21" t="s">
        <v>190</v>
      </c>
      <c r="HD21" t="s">
        <v>190</v>
      </c>
      <c r="HE21" t="s">
        <v>190</v>
      </c>
      <c r="HF21" t="s">
        <v>190</v>
      </c>
      <c r="HG21" t="s">
        <v>190</v>
      </c>
      <c r="HH21" t="s">
        <v>190</v>
      </c>
      <c r="HI21" t="s">
        <v>190</v>
      </c>
      <c r="HJ21" t="s">
        <v>190</v>
      </c>
      <c r="HK21" t="s">
        <v>190</v>
      </c>
      <c r="HL21" t="s">
        <v>190</v>
      </c>
      <c r="HM21" t="s">
        <v>190</v>
      </c>
      <c r="HN21" t="s">
        <v>190</v>
      </c>
      <c r="HO21" t="s">
        <v>190</v>
      </c>
      <c r="HP21" t="s">
        <v>190</v>
      </c>
      <c r="HQ21" t="s">
        <v>190</v>
      </c>
      <c r="HR21" t="s">
        <v>190</v>
      </c>
      <c r="HS21" t="s">
        <v>190</v>
      </c>
      <c r="HT21" t="s">
        <v>190</v>
      </c>
      <c r="HU21" t="s">
        <v>190</v>
      </c>
      <c r="HV21" t="s">
        <v>190</v>
      </c>
      <c r="HW21" t="s">
        <v>190</v>
      </c>
      <c r="HX21" t="s">
        <v>190</v>
      </c>
      <c r="HY21" t="s">
        <v>190</v>
      </c>
      <c r="HZ21" t="s">
        <v>190</v>
      </c>
      <c r="IA21" t="s">
        <v>190</v>
      </c>
      <c r="IB21" t="s">
        <v>190</v>
      </c>
      <c r="IC21" t="s">
        <v>190</v>
      </c>
      <c r="ID21" t="s">
        <v>190</v>
      </c>
      <c r="IE21" t="s">
        <v>190</v>
      </c>
      <c r="IF21" t="s">
        <v>60</v>
      </c>
      <c r="IG21" t="s">
        <v>60</v>
      </c>
      <c r="IH21" t="s">
        <v>60</v>
      </c>
      <c r="II21" t="s">
        <v>59</v>
      </c>
      <c r="IJ21" t="s">
        <v>129</v>
      </c>
      <c r="IK21" t="s">
        <v>191</v>
      </c>
      <c r="IL21" t="s">
        <v>128</v>
      </c>
      <c r="IM21" t="s">
        <v>199</v>
      </c>
      <c r="IN21" t="s">
        <v>2730</v>
      </c>
      <c r="IO21" t="s">
        <v>2730</v>
      </c>
      <c r="IP21" t="s">
        <v>2730</v>
      </c>
      <c r="IQ21">
        <v>2</v>
      </c>
      <c r="IR21" t="s">
        <v>2730</v>
      </c>
      <c r="IS21" t="s">
        <v>2730</v>
      </c>
      <c r="IT21" t="s">
        <v>2730</v>
      </c>
      <c r="IU21" t="s">
        <v>2730</v>
      </c>
      <c r="IV21">
        <v>2</v>
      </c>
      <c r="IW21" t="s">
        <v>2730</v>
      </c>
      <c r="IX21" t="s">
        <v>2730</v>
      </c>
      <c r="IY21" t="s">
        <v>2730</v>
      </c>
      <c r="IZ21" t="s">
        <v>2730</v>
      </c>
      <c r="JA21" t="s">
        <v>2730</v>
      </c>
      <c r="JB21" t="s">
        <v>2730</v>
      </c>
      <c r="JC21" t="s">
        <v>2730</v>
      </c>
      <c r="JD21" t="s">
        <v>2730</v>
      </c>
      <c r="JE21" t="s">
        <v>2730</v>
      </c>
      <c r="JF21" t="s">
        <v>2730</v>
      </c>
      <c r="JG21" t="s">
        <v>2730</v>
      </c>
      <c r="JH21" t="s">
        <v>2730</v>
      </c>
      <c r="JI21" t="s">
        <v>2730</v>
      </c>
      <c r="JJ21" t="s">
        <v>2730</v>
      </c>
      <c r="JK21" t="s">
        <v>2730</v>
      </c>
      <c r="JL21" t="s">
        <v>2730</v>
      </c>
      <c r="JM21" t="s">
        <v>2730</v>
      </c>
      <c r="JN21" t="s">
        <v>2730</v>
      </c>
      <c r="JO21">
        <v>1</v>
      </c>
      <c r="JP21" t="s">
        <v>2730</v>
      </c>
      <c r="JQ21">
        <v>3</v>
      </c>
    </row>
    <row r="22" spans="1:277">
      <c r="A22" s="149" t="str">
        <f>HYPERLINK("http://www.ofsted.gov.uk/inspection-reports/find-inspection-report/provider/ELS/119856 ","Ofsted School Webpage")</f>
        <v>Ofsted School Webpage</v>
      </c>
      <c r="B22">
        <v>1132767</v>
      </c>
      <c r="C22">
        <v>119856</v>
      </c>
      <c r="D22">
        <v>8896004</v>
      </c>
      <c r="E22" t="s">
        <v>1262</v>
      </c>
      <c r="F22" t="s">
        <v>37</v>
      </c>
      <c r="G22" t="s">
        <v>209</v>
      </c>
      <c r="H22" t="s">
        <v>205</v>
      </c>
      <c r="I22" t="s">
        <v>205</v>
      </c>
      <c r="J22" t="s">
        <v>485</v>
      </c>
      <c r="K22" t="s">
        <v>1263</v>
      </c>
      <c r="L22" t="s">
        <v>304</v>
      </c>
      <c r="M22" t="s">
        <v>2730</v>
      </c>
      <c r="N22" t="s">
        <v>223</v>
      </c>
      <c r="O22" t="s">
        <v>2730</v>
      </c>
      <c r="P22" t="s">
        <v>186</v>
      </c>
      <c r="Q22">
        <v>10039827</v>
      </c>
      <c r="R22" s="120">
        <v>43054</v>
      </c>
      <c r="S22" s="120">
        <v>43054</v>
      </c>
      <c r="T22" s="120">
        <v>43082</v>
      </c>
      <c r="U22" t="s">
        <v>2730</v>
      </c>
      <c r="V22" t="s">
        <v>187</v>
      </c>
      <c r="W22" t="s">
        <v>2730</v>
      </c>
      <c r="X22" t="s">
        <v>188</v>
      </c>
      <c r="Y22" t="s">
        <v>2730</v>
      </c>
      <c r="Z22" t="s">
        <v>2730</v>
      </c>
      <c r="AA22" t="s">
        <v>2730</v>
      </c>
      <c r="AB22" t="s">
        <v>2730</v>
      </c>
      <c r="AC22" t="s">
        <v>2730</v>
      </c>
      <c r="AD22" t="s">
        <v>2730</v>
      </c>
      <c r="AE22" t="s">
        <v>2730</v>
      </c>
      <c r="AF22" t="s">
        <v>2730</v>
      </c>
      <c r="AG22" t="s">
        <v>189</v>
      </c>
      <c r="AH22" t="s">
        <v>2730</v>
      </c>
      <c r="AI22" t="s">
        <v>203</v>
      </c>
      <c r="AJ22" t="s">
        <v>203</v>
      </c>
      <c r="AK22" t="s">
        <v>59</v>
      </c>
      <c r="AL22" t="s">
        <v>59</v>
      </c>
      <c r="AM22" t="s">
        <v>203</v>
      </c>
      <c r="AN22" t="s">
        <v>203</v>
      </c>
      <c r="AO22" t="s">
        <v>203</v>
      </c>
      <c r="AP22" t="s">
        <v>203</v>
      </c>
      <c r="AQ22" t="s">
        <v>203</v>
      </c>
      <c r="AR22" t="s">
        <v>203</v>
      </c>
      <c r="AS22" t="s">
        <v>203</v>
      </c>
      <c r="AT22" t="s">
        <v>203</v>
      </c>
      <c r="AU22" t="s">
        <v>203</v>
      </c>
      <c r="AV22" t="s">
        <v>203</v>
      </c>
      <c r="AW22" t="s">
        <v>203</v>
      </c>
      <c r="AX22" t="s">
        <v>203</v>
      </c>
      <c r="AY22" t="s">
        <v>203</v>
      </c>
      <c r="AZ22" t="s">
        <v>203</v>
      </c>
      <c r="BA22" t="s">
        <v>203</v>
      </c>
      <c r="BB22" t="s">
        <v>203</v>
      </c>
      <c r="BC22" t="s">
        <v>203</v>
      </c>
      <c r="BD22" t="s">
        <v>203</v>
      </c>
      <c r="BE22" t="s">
        <v>203</v>
      </c>
      <c r="BF22" t="s">
        <v>203</v>
      </c>
      <c r="BG22" t="s">
        <v>203</v>
      </c>
      <c r="BH22" t="s">
        <v>203</v>
      </c>
      <c r="BI22" t="s">
        <v>203</v>
      </c>
      <c r="BJ22" t="s">
        <v>203</v>
      </c>
      <c r="BK22" t="s">
        <v>203</v>
      </c>
      <c r="BL22" t="s">
        <v>203</v>
      </c>
      <c r="BM22" t="s">
        <v>203</v>
      </c>
      <c r="BN22" t="s">
        <v>203</v>
      </c>
      <c r="BO22" t="s">
        <v>203</v>
      </c>
      <c r="BP22" t="s">
        <v>203</v>
      </c>
      <c r="BQ22" t="s">
        <v>203</v>
      </c>
      <c r="BR22" t="s">
        <v>203</v>
      </c>
      <c r="BS22" t="s">
        <v>203</v>
      </c>
      <c r="BT22" t="s">
        <v>203</v>
      </c>
      <c r="BU22" t="s">
        <v>203</v>
      </c>
      <c r="BV22" t="s">
        <v>203</v>
      </c>
      <c r="BW22" t="s">
        <v>203</v>
      </c>
      <c r="BX22" t="s">
        <v>203</v>
      </c>
      <c r="BY22" t="s">
        <v>203</v>
      </c>
      <c r="BZ22" t="s">
        <v>203</v>
      </c>
      <c r="CA22" t="s">
        <v>203</v>
      </c>
      <c r="CB22" t="s">
        <v>203</v>
      </c>
      <c r="CC22" t="s">
        <v>203</v>
      </c>
      <c r="CD22" t="s">
        <v>203</v>
      </c>
      <c r="CE22" t="s">
        <v>203</v>
      </c>
      <c r="CF22" t="s">
        <v>203</v>
      </c>
      <c r="CG22" t="s">
        <v>203</v>
      </c>
      <c r="CH22" t="s">
        <v>203</v>
      </c>
      <c r="CI22" t="s">
        <v>203</v>
      </c>
      <c r="CJ22" t="s">
        <v>203</v>
      </c>
      <c r="CK22" t="s">
        <v>203</v>
      </c>
      <c r="CL22" t="s">
        <v>59</v>
      </c>
      <c r="CM22" t="s">
        <v>59</v>
      </c>
      <c r="CN22" t="s">
        <v>59</v>
      </c>
      <c r="CO22" t="s">
        <v>203</v>
      </c>
      <c r="CP22" t="s">
        <v>203</v>
      </c>
      <c r="CQ22" t="s">
        <v>203</v>
      </c>
      <c r="CR22" t="s">
        <v>203</v>
      </c>
      <c r="CS22" t="s">
        <v>203</v>
      </c>
      <c r="CT22" t="s">
        <v>203</v>
      </c>
      <c r="CU22" t="s">
        <v>203</v>
      </c>
      <c r="CV22" t="s">
        <v>203</v>
      </c>
      <c r="CW22" t="s">
        <v>203</v>
      </c>
      <c r="CX22" t="s">
        <v>203</v>
      </c>
      <c r="CY22" t="s">
        <v>203</v>
      </c>
      <c r="CZ22" t="s">
        <v>203</v>
      </c>
      <c r="DA22" t="s">
        <v>203</v>
      </c>
      <c r="DB22" t="s">
        <v>203</v>
      </c>
      <c r="DC22" t="s">
        <v>203</v>
      </c>
      <c r="DD22" t="s">
        <v>203</v>
      </c>
      <c r="DE22" t="s">
        <v>59</v>
      </c>
      <c r="DF22" t="s">
        <v>203</v>
      </c>
      <c r="DG22" t="s">
        <v>59</v>
      </c>
      <c r="DH22" t="s">
        <v>59</v>
      </c>
      <c r="DI22" t="s">
        <v>59</v>
      </c>
      <c r="DJ22" t="s">
        <v>59</v>
      </c>
      <c r="DK22" t="s">
        <v>59</v>
      </c>
      <c r="DL22" t="s">
        <v>59</v>
      </c>
      <c r="DM22" t="s">
        <v>203</v>
      </c>
      <c r="DN22" t="s">
        <v>59</v>
      </c>
      <c r="DO22" t="s">
        <v>203</v>
      </c>
      <c r="DP22" t="s">
        <v>203</v>
      </c>
      <c r="DQ22" t="s">
        <v>203</v>
      </c>
      <c r="DR22" t="s">
        <v>203</v>
      </c>
      <c r="DS22" t="s">
        <v>203</v>
      </c>
      <c r="DT22" t="s">
        <v>203</v>
      </c>
      <c r="DU22" t="s">
        <v>203</v>
      </c>
      <c r="DV22" t="s">
        <v>203</v>
      </c>
      <c r="DW22" t="s">
        <v>203</v>
      </c>
      <c r="DX22" t="s">
        <v>203</v>
      </c>
      <c r="DY22" t="s">
        <v>203</v>
      </c>
      <c r="DZ22" t="s">
        <v>203</v>
      </c>
      <c r="EA22" t="s">
        <v>203</v>
      </c>
      <c r="EB22" t="s">
        <v>203</v>
      </c>
      <c r="EC22" t="s">
        <v>203</v>
      </c>
      <c r="ED22" t="s">
        <v>203</v>
      </c>
      <c r="EE22" t="s">
        <v>59</v>
      </c>
      <c r="EF22" t="s">
        <v>203</v>
      </c>
      <c r="EG22" t="s">
        <v>203</v>
      </c>
      <c r="EH22" t="s">
        <v>59</v>
      </c>
      <c r="EI22" t="s">
        <v>203</v>
      </c>
      <c r="EJ22" t="s">
        <v>203</v>
      </c>
      <c r="EK22" t="s">
        <v>203</v>
      </c>
      <c r="EL22" t="s">
        <v>203</v>
      </c>
      <c r="EM22" t="s">
        <v>203</v>
      </c>
      <c r="EN22" t="s">
        <v>203</v>
      </c>
      <c r="EO22" t="s">
        <v>203</v>
      </c>
      <c r="EP22" t="s">
        <v>203</v>
      </c>
      <c r="EQ22" t="s">
        <v>203</v>
      </c>
      <c r="ER22" t="s">
        <v>203</v>
      </c>
      <c r="ES22" t="s">
        <v>203</v>
      </c>
      <c r="ET22" t="s">
        <v>59</v>
      </c>
      <c r="EU22" t="s">
        <v>203</v>
      </c>
      <c r="EV22" t="s">
        <v>203</v>
      </c>
      <c r="EW22" t="s">
        <v>203</v>
      </c>
      <c r="EX22" t="s">
        <v>203</v>
      </c>
      <c r="EY22" t="s">
        <v>203</v>
      </c>
      <c r="EZ22" t="s">
        <v>59</v>
      </c>
      <c r="FA22" t="s">
        <v>203</v>
      </c>
      <c r="FB22" t="s">
        <v>203</v>
      </c>
      <c r="FC22" t="s">
        <v>203</v>
      </c>
      <c r="FD22" t="s">
        <v>203</v>
      </c>
      <c r="FE22" t="s">
        <v>203</v>
      </c>
      <c r="FF22" t="s">
        <v>203</v>
      </c>
      <c r="FG22" t="s">
        <v>203</v>
      </c>
      <c r="FH22" t="s">
        <v>203</v>
      </c>
      <c r="FI22" t="s">
        <v>203</v>
      </c>
      <c r="FJ22" t="s">
        <v>203</v>
      </c>
      <c r="FK22" t="s">
        <v>203</v>
      </c>
      <c r="FL22" t="s">
        <v>203</v>
      </c>
      <c r="FM22" t="s">
        <v>203</v>
      </c>
      <c r="FN22" t="s">
        <v>203</v>
      </c>
      <c r="FO22" t="s">
        <v>203</v>
      </c>
      <c r="FP22" t="s">
        <v>203</v>
      </c>
      <c r="FQ22" t="s">
        <v>203</v>
      </c>
      <c r="FR22" t="s">
        <v>203</v>
      </c>
      <c r="FS22" t="s">
        <v>203</v>
      </c>
      <c r="FT22" t="s">
        <v>203</v>
      </c>
      <c r="FU22" t="s">
        <v>203</v>
      </c>
      <c r="FV22" t="s">
        <v>203</v>
      </c>
      <c r="FW22" t="s">
        <v>203</v>
      </c>
      <c r="FX22" t="s">
        <v>203</v>
      </c>
      <c r="FY22" t="s">
        <v>203</v>
      </c>
      <c r="FZ22" t="s">
        <v>203</v>
      </c>
      <c r="GA22" t="s">
        <v>203</v>
      </c>
      <c r="GB22" t="s">
        <v>203</v>
      </c>
      <c r="GC22" t="s">
        <v>203</v>
      </c>
      <c r="GD22" t="s">
        <v>203</v>
      </c>
      <c r="GE22" t="s">
        <v>203</v>
      </c>
      <c r="GF22" t="s">
        <v>203</v>
      </c>
      <c r="GG22" t="s">
        <v>203</v>
      </c>
      <c r="GH22" t="s">
        <v>203</v>
      </c>
      <c r="GI22" t="s">
        <v>203</v>
      </c>
      <c r="GJ22" t="s">
        <v>203</v>
      </c>
      <c r="GK22" t="s">
        <v>203</v>
      </c>
      <c r="GL22" t="s">
        <v>203</v>
      </c>
      <c r="GM22" t="s">
        <v>203</v>
      </c>
      <c r="GN22" t="s">
        <v>203</v>
      </c>
      <c r="GO22" t="s">
        <v>59</v>
      </c>
      <c r="GP22" t="s">
        <v>203</v>
      </c>
      <c r="GQ22" t="s">
        <v>203</v>
      </c>
      <c r="GR22" t="s">
        <v>203</v>
      </c>
      <c r="GS22" t="s">
        <v>203</v>
      </c>
      <c r="GT22" t="s">
        <v>203</v>
      </c>
      <c r="GU22" t="s">
        <v>203</v>
      </c>
      <c r="GV22" t="s">
        <v>203</v>
      </c>
      <c r="GW22" t="s">
        <v>203</v>
      </c>
      <c r="GX22" t="s">
        <v>203</v>
      </c>
      <c r="GY22" t="s">
        <v>203</v>
      </c>
      <c r="GZ22" t="s">
        <v>203</v>
      </c>
      <c r="HA22" t="s">
        <v>203</v>
      </c>
      <c r="HB22" t="s">
        <v>203</v>
      </c>
      <c r="HC22" t="s">
        <v>203</v>
      </c>
      <c r="HD22" t="s">
        <v>203</v>
      </c>
      <c r="HE22" t="s">
        <v>203</v>
      </c>
      <c r="HF22" t="s">
        <v>203</v>
      </c>
      <c r="HG22" t="s">
        <v>203</v>
      </c>
      <c r="HH22" t="s">
        <v>203</v>
      </c>
      <c r="HI22" t="s">
        <v>203</v>
      </c>
      <c r="HJ22" t="s">
        <v>203</v>
      </c>
      <c r="HK22" t="s">
        <v>203</v>
      </c>
      <c r="HL22" t="s">
        <v>203</v>
      </c>
      <c r="HM22" t="s">
        <v>203</v>
      </c>
      <c r="HN22" t="s">
        <v>203</v>
      </c>
      <c r="HO22" t="s">
        <v>203</v>
      </c>
      <c r="HP22" t="s">
        <v>203</v>
      </c>
      <c r="HQ22" t="s">
        <v>203</v>
      </c>
      <c r="HR22" t="s">
        <v>203</v>
      </c>
      <c r="HS22" t="s">
        <v>203</v>
      </c>
      <c r="HT22" t="s">
        <v>203</v>
      </c>
      <c r="HU22" t="s">
        <v>203</v>
      </c>
      <c r="HV22" t="s">
        <v>203</v>
      </c>
      <c r="HW22" t="s">
        <v>203</v>
      </c>
      <c r="HX22" t="s">
        <v>203</v>
      </c>
      <c r="HY22" t="s">
        <v>203</v>
      </c>
      <c r="HZ22" t="s">
        <v>203</v>
      </c>
      <c r="IA22" t="s">
        <v>203</v>
      </c>
      <c r="IB22" t="s">
        <v>203</v>
      </c>
      <c r="IC22" t="s">
        <v>203</v>
      </c>
      <c r="ID22" t="s">
        <v>203</v>
      </c>
      <c r="IE22" t="s">
        <v>203</v>
      </c>
      <c r="IF22" t="s">
        <v>203</v>
      </c>
      <c r="IG22" t="s">
        <v>203</v>
      </c>
      <c r="IH22" t="s">
        <v>203</v>
      </c>
      <c r="II22" t="s">
        <v>203</v>
      </c>
      <c r="IJ22" t="s">
        <v>129</v>
      </c>
      <c r="IK22" t="s">
        <v>198</v>
      </c>
      <c r="IL22" t="s">
        <v>128</v>
      </c>
      <c r="IM22" t="s">
        <v>199</v>
      </c>
      <c r="IN22" t="s">
        <v>2730</v>
      </c>
      <c r="IO22">
        <v>32</v>
      </c>
      <c r="IP22" t="s">
        <v>2730</v>
      </c>
      <c r="IQ22" t="s">
        <v>2730</v>
      </c>
      <c r="IR22" t="s">
        <v>2730</v>
      </c>
      <c r="IS22">
        <v>15</v>
      </c>
      <c r="IT22" t="s">
        <v>2730</v>
      </c>
      <c r="IU22" t="s">
        <v>2730</v>
      </c>
      <c r="IV22">
        <v>3</v>
      </c>
      <c r="IW22">
        <v>16</v>
      </c>
      <c r="IX22" t="s">
        <v>2730</v>
      </c>
      <c r="IY22" t="s">
        <v>2730</v>
      </c>
      <c r="IZ22">
        <v>12</v>
      </c>
      <c r="JA22">
        <v>47</v>
      </c>
      <c r="JB22" t="s">
        <v>2730</v>
      </c>
      <c r="JC22" t="s">
        <v>2730</v>
      </c>
      <c r="JD22" t="s">
        <v>2730</v>
      </c>
      <c r="JE22">
        <v>26</v>
      </c>
      <c r="JF22" t="s">
        <v>2730</v>
      </c>
      <c r="JG22" t="s">
        <v>2730</v>
      </c>
      <c r="JH22">
        <v>1</v>
      </c>
      <c r="JI22">
        <v>29</v>
      </c>
      <c r="JJ22" t="s">
        <v>2730</v>
      </c>
      <c r="JK22" t="s">
        <v>2730</v>
      </c>
      <c r="JL22" t="s">
        <v>2730</v>
      </c>
      <c r="JM22">
        <v>16</v>
      </c>
      <c r="JN22" t="s">
        <v>2730</v>
      </c>
      <c r="JO22" t="s">
        <v>2730</v>
      </c>
      <c r="JP22">
        <v>4</v>
      </c>
      <c r="JQ22" t="s">
        <v>2730</v>
      </c>
    </row>
    <row r="23" spans="1:277">
      <c r="A23" s="149" t="str">
        <f>HYPERLINK("http://www.ofsted.gov.uk/inspection-reports/find-inspection-report/provider/ELS/134400 ","Ofsted School Webpage")</f>
        <v>Ofsted School Webpage</v>
      </c>
      <c r="B23">
        <v>1134839</v>
      </c>
      <c r="C23">
        <v>134400</v>
      </c>
      <c r="D23">
        <v>2096363</v>
      </c>
      <c r="E23" t="s">
        <v>528</v>
      </c>
      <c r="F23" t="s">
        <v>37</v>
      </c>
      <c r="G23" t="s">
        <v>209</v>
      </c>
      <c r="H23" t="s">
        <v>232</v>
      </c>
      <c r="I23" t="s">
        <v>232</v>
      </c>
      <c r="J23" t="s">
        <v>529</v>
      </c>
      <c r="K23" t="s">
        <v>530</v>
      </c>
      <c r="L23" t="s">
        <v>304</v>
      </c>
      <c r="M23" t="s">
        <v>2730</v>
      </c>
      <c r="N23" t="s">
        <v>223</v>
      </c>
      <c r="O23" t="s">
        <v>2730</v>
      </c>
      <c r="P23" t="s">
        <v>186</v>
      </c>
      <c r="Q23">
        <v>10039573</v>
      </c>
      <c r="R23" s="120">
        <v>42990</v>
      </c>
      <c r="S23" s="120">
        <v>42990</v>
      </c>
      <c r="T23" s="120">
        <v>43059</v>
      </c>
      <c r="U23" t="s">
        <v>2730</v>
      </c>
      <c r="V23" t="s">
        <v>187</v>
      </c>
      <c r="W23" t="s">
        <v>2730</v>
      </c>
      <c r="X23" t="s">
        <v>188</v>
      </c>
      <c r="Y23" t="s">
        <v>2730</v>
      </c>
      <c r="Z23" t="s">
        <v>2730</v>
      </c>
      <c r="AA23" t="s">
        <v>2730</v>
      </c>
      <c r="AB23" t="s">
        <v>2730</v>
      </c>
      <c r="AC23" t="s">
        <v>2730</v>
      </c>
      <c r="AD23" t="s">
        <v>2730</v>
      </c>
      <c r="AE23" t="s">
        <v>2730</v>
      </c>
      <c r="AF23" t="s">
        <v>2730</v>
      </c>
      <c r="AG23" t="s">
        <v>217</v>
      </c>
      <c r="AH23" t="s">
        <v>2730</v>
      </c>
      <c r="AI23" t="s">
        <v>60</v>
      </c>
      <c r="AJ23" t="s">
        <v>60</v>
      </c>
      <c r="AK23" t="s">
        <v>60</v>
      </c>
      <c r="AL23" t="s">
        <v>59</v>
      </c>
      <c r="AM23" t="s">
        <v>190</v>
      </c>
      <c r="AN23" t="s">
        <v>190</v>
      </c>
      <c r="AO23" t="s">
        <v>190</v>
      </c>
      <c r="AP23" t="s">
        <v>60</v>
      </c>
      <c r="AQ23" t="s">
        <v>60</v>
      </c>
      <c r="AR23" t="s">
        <v>60</v>
      </c>
      <c r="AS23" t="s">
        <v>60</v>
      </c>
      <c r="AT23" t="s">
        <v>60</v>
      </c>
      <c r="AU23" t="s">
        <v>190</v>
      </c>
      <c r="AV23" t="s">
        <v>60</v>
      </c>
      <c r="AW23" t="s">
        <v>60</v>
      </c>
      <c r="AX23" t="s">
        <v>190</v>
      </c>
      <c r="AY23" t="s">
        <v>190</v>
      </c>
      <c r="AZ23" t="s">
        <v>60</v>
      </c>
      <c r="BA23" t="s">
        <v>190</v>
      </c>
      <c r="BB23" t="s">
        <v>60</v>
      </c>
      <c r="BC23" t="s">
        <v>190</v>
      </c>
      <c r="BD23" t="s">
        <v>190</v>
      </c>
      <c r="BE23" t="s">
        <v>218</v>
      </c>
      <c r="BF23" t="s">
        <v>190</v>
      </c>
      <c r="BG23" t="s">
        <v>190</v>
      </c>
      <c r="BH23" t="s">
        <v>190</v>
      </c>
      <c r="BI23" t="s">
        <v>190</v>
      </c>
      <c r="BJ23" t="s">
        <v>190</v>
      </c>
      <c r="BK23" t="s">
        <v>60</v>
      </c>
      <c r="BL23" t="s">
        <v>60</v>
      </c>
      <c r="BM23" t="s">
        <v>190</v>
      </c>
      <c r="BN23" t="s">
        <v>190</v>
      </c>
      <c r="BO23" t="s">
        <v>59</v>
      </c>
      <c r="BP23" t="s">
        <v>190</v>
      </c>
      <c r="BQ23" t="s">
        <v>190</v>
      </c>
      <c r="BR23" t="s">
        <v>190</v>
      </c>
      <c r="BS23" t="s">
        <v>190</v>
      </c>
      <c r="BT23" t="s">
        <v>190</v>
      </c>
      <c r="BU23" t="s">
        <v>190</v>
      </c>
      <c r="BV23" t="s">
        <v>190</v>
      </c>
      <c r="BW23" t="s">
        <v>60</v>
      </c>
      <c r="BX23" t="s">
        <v>190</v>
      </c>
      <c r="BY23" t="s">
        <v>190</v>
      </c>
      <c r="BZ23" t="s">
        <v>190</v>
      </c>
      <c r="CA23" t="s">
        <v>190</v>
      </c>
      <c r="CB23" t="s">
        <v>190</v>
      </c>
      <c r="CC23" t="s">
        <v>190</v>
      </c>
      <c r="CD23" t="s">
        <v>190</v>
      </c>
      <c r="CE23" t="s">
        <v>60</v>
      </c>
      <c r="CF23" t="s">
        <v>190</v>
      </c>
      <c r="CG23" t="s">
        <v>190</v>
      </c>
      <c r="CH23" t="s">
        <v>190</v>
      </c>
      <c r="CI23" t="s">
        <v>190</v>
      </c>
      <c r="CJ23" t="s">
        <v>190</v>
      </c>
      <c r="CK23" t="s">
        <v>190</v>
      </c>
      <c r="CL23" t="s">
        <v>60</v>
      </c>
      <c r="CM23" t="s">
        <v>60</v>
      </c>
      <c r="CN23" t="s">
        <v>60</v>
      </c>
      <c r="CO23" t="s">
        <v>218</v>
      </c>
      <c r="CP23" t="s">
        <v>218</v>
      </c>
      <c r="CQ23" t="s">
        <v>218</v>
      </c>
      <c r="CR23" t="s">
        <v>190</v>
      </c>
      <c r="CS23" t="s">
        <v>190</v>
      </c>
      <c r="CT23" t="s">
        <v>190</v>
      </c>
      <c r="CU23" t="s">
        <v>190</v>
      </c>
      <c r="CV23" t="s">
        <v>190</v>
      </c>
      <c r="CW23" t="s">
        <v>59</v>
      </c>
      <c r="CX23" t="s">
        <v>59</v>
      </c>
      <c r="CY23" t="s">
        <v>190</v>
      </c>
      <c r="CZ23" t="s">
        <v>190</v>
      </c>
      <c r="DA23" t="s">
        <v>59</v>
      </c>
      <c r="DB23" t="s">
        <v>59</v>
      </c>
      <c r="DC23" t="s">
        <v>59</v>
      </c>
      <c r="DD23" t="s">
        <v>59</v>
      </c>
      <c r="DE23" t="s">
        <v>59</v>
      </c>
      <c r="DF23" t="s">
        <v>59</v>
      </c>
      <c r="DG23" t="s">
        <v>59</v>
      </c>
      <c r="DH23" t="s">
        <v>59</v>
      </c>
      <c r="DI23" t="s">
        <v>59</v>
      </c>
      <c r="DJ23" t="s">
        <v>59</v>
      </c>
      <c r="DK23" t="s">
        <v>59</v>
      </c>
      <c r="DL23" t="s">
        <v>59</v>
      </c>
      <c r="DM23" t="s">
        <v>59</v>
      </c>
      <c r="DN23" t="s">
        <v>59</v>
      </c>
      <c r="DO23" t="s">
        <v>59</v>
      </c>
      <c r="DP23" t="s">
        <v>59</v>
      </c>
      <c r="DQ23" t="s">
        <v>218</v>
      </c>
      <c r="DR23" t="s">
        <v>218</v>
      </c>
      <c r="DS23" t="s">
        <v>218</v>
      </c>
      <c r="DT23" t="s">
        <v>218</v>
      </c>
      <c r="DU23" t="s">
        <v>218</v>
      </c>
      <c r="DV23" t="s">
        <v>218</v>
      </c>
      <c r="DW23" t="s">
        <v>218</v>
      </c>
      <c r="DX23" t="s">
        <v>218</v>
      </c>
      <c r="DY23" t="s">
        <v>218</v>
      </c>
      <c r="DZ23" t="s">
        <v>218</v>
      </c>
      <c r="EA23" t="s">
        <v>218</v>
      </c>
      <c r="EB23" t="s">
        <v>218</v>
      </c>
      <c r="EC23" t="s">
        <v>218</v>
      </c>
      <c r="ED23" t="s">
        <v>218</v>
      </c>
      <c r="EE23" t="s">
        <v>60</v>
      </c>
      <c r="EF23" t="s">
        <v>60</v>
      </c>
      <c r="EG23" t="s">
        <v>60</v>
      </c>
      <c r="EH23" t="s">
        <v>60</v>
      </c>
      <c r="EI23" t="s">
        <v>60</v>
      </c>
      <c r="EJ23" t="s">
        <v>60</v>
      </c>
      <c r="EK23" t="s">
        <v>60</v>
      </c>
      <c r="EL23" t="s">
        <v>60</v>
      </c>
      <c r="EM23" t="s">
        <v>60</v>
      </c>
      <c r="EN23" t="s">
        <v>60</v>
      </c>
      <c r="EO23" t="s">
        <v>59</v>
      </c>
      <c r="EP23" t="s">
        <v>59</v>
      </c>
      <c r="EQ23" t="s">
        <v>59</v>
      </c>
      <c r="ER23" t="s">
        <v>59</v>
      </c>
      <c r="ES23" t="s">
        <v>59</v>
      </c>
      <c r="ET23" t="s">
        <v>59</v>
      </c>
      <c r="EU23" t="s">
        <v>59</v>
      </c>
      <c r="EV23" t="s">
        <v>59</v>
      </c>
      <c r="EW23" t="s">
        <v>59</v>
      </c>
      <c r="EX23" t="s">
        <v>59</v>
      </c>
      <c r="EY23" t="s">
        <v>59</v>
      </c>
      <c r="EZ23" t="s">
        <v>59</v>
      </c>
      <c r="FA23" t="s">
        <v>59</v>
      </c>
      <c r="FB23" t="s">
        <v>218</v>
      </c>
      <c r="FC23" t="s">
        <v>218</v>
      </c>
      <c r="FD23" t="s">
        <v>218</v>
      </c>
      <c r="FE23" t="s">
        <v>218</v>
      </c>
      <c r="FF23" t="s">
        <v>218</v>
      </c>
      <c r="FG23" t="s">
        <v>218</v>
      </c>
      <c r="FH23" t="s">
        <v>60</v>
      </c>
      <c r="FI23" t="s">
        <v>60</v>
      </c>
      <c r="FJ23" t="s">
        <v>60</v>
      </c>
      <c r="FK23" t="s">
        <v>60</v>
      </c>
      <c r="FL23" t="s">
        <v>190</v>
      </c>
      <c r="FM23" t="s">
        <v>190</v>
      </c>
      <c r="FN23" t="s">
        <v>190</v>
      </c>
      <c r="FO23" t="s">
        <v>190</v>
      </c>
      <c r="FP23" t="s">
        <v>190</v>
      </c>
      <c r="FQ23" t="s">
        <v>190</v>
      </c>
      <c r="FR23" t="s">
        <v>190</v>
      </c>
      <c r="FS23" t="s">
        <v>190</v>
      </c>
      <c r="FT23" t="s">
        <v>190</v>
      </c>
      <c r="FU23" t="s">
        <v>59</v>
      </c>
      <c r="FV23" t="s">
        <v>190</v>
      </c>
      <c r="FW23" t="s">
        <v>190</v>
      </c>
      <c r="FX23" t="s">
        <v>190</v>
      </c>
      <c r="FY23" t="s">
        <v>190</v>
      </c>
      <c r="FZ23" t="s">
        <v>190</v>
      </c>
      <c r="GA23" t="s">
        <v>190</v>
      </c>
      <c r="GB23" t="s">
        <v>190</v>
      </c>
      <c r="GC23" t="s">
        <v>190</v>
      </c>
      <c r="GD23" t="s">
        <v>190</v>
      </c>
      <c r="GE23" t="s">
        <v>190</v>
      </c>
      <c r="GF23" t="s">
        <v>190</v>
      </c>
      <c r="GG23" t="s">
        <v>190</v>
      </c>
      <c r="GH23" t="s">
        <v>190</v>
      </c>
      <c r="GI23" t="s">
        <v>190</v>
      </c>
      <c r="GJ23" t="s">
        <v>190</v>
      </c>
      <c r="GK23" t="s">
        <v>218</v>
      </c>
      <c r="GL23" t="s">
        <v>190</v>
      </c>
      <c r="GM23" t="s">
        <v>190</v>
      </c>
      <c r="GN23" t="s">
        <v>190</v>
      </c>
      <c r="GO23" t="s">
        <v>59</v>
      </c>
      <c r="GP23" t="s">
        <v>190</v>
      </c>
      <c r="GQ23" t="s">
        <v>190</v>
      </c>
      <c r="GR23" t="s">
        <v>190</v>
      </c>
      <c r="GS23" t="s">
        <v>190</v>
      </c>
      <c r="GT23" t="s">
        <v>190</v>
      </c>
      <c r="GU23" t="s">
        <v>190</v>
      </c>
      <c r="GV23" t="s">
        <v>190</v>
      </c>
      <c r="GW23" t="s">
        <v>190</v>
      </c>
      <c r="GX23" t="s">
        <v>190</v>
      </c>
      <c r="GY23" t="s">
        <v>190</v>
      </c>
      <c r="GZ23" t="s">
        <v>190</v>
      </c>
      <c r="HA23" t="s">
        <v>190</v>
      </c>
      <c r="HB23" t="s">
        <v>190</v>
      </c>
      <c r="HC23" t="s">
        <v>190</v>
      </c>
      <c r="HD23" t="s">
        <v>190</v>
      </c>
      <c r="HE23" t="s">
        <v>190</v>
      </c>
      <c r="HF23" t="s">
        <v>190</v>
      </c>
      <c r="HG23" t="s">
        <v>190</v>
      </c>
      <c r="HH23" t="s">
        <v>190</v>
      </c>
      <c r="HI23" t="s">
        <v>190</v>
      </c>
      <c r="HJ23" t="s">
        <v>190</v>
      </c>
      <c r="HK23" t="s">
        <v>190</v>
      </c>
      <c r="HL23" t="s">
        <v>190</v>
      </c>
      <c r="HM23" t="s">
        <v>190</v>
      </c>
      <c r="HN23" t="s">
        <v>190</v>
      </c>
      <c r="HO23" t="s">
        <v>190</v>
      </c>
      <c r="HP23" t="s">
        <v>190</v>
      </c>
      <c r="HQ23" t="s">
        <v>190</v>
      </c>
      <c r="HR23" t="s">
        <v>190</v>
      </c>
      <c r="HS23" t="s">
        <v>190</v>
      </c>
      <c r="HT23" t="s">
        <v>190</v>
      </c>
      <c r="HU23" t="s">
        <v>190</v>
      </c>
      <c r="HV23" t="s">
        <v>190</v>
      </c>
      <c r="HW23" t="s">
        <v>190</v>
      </c>
      <c r="HX23" t="s">
        <v>190</v>
      </c>
      <c r="HY23" t="s">
        <v>190</v>
      </c>
      <c r="HZ23" t="s">
        <v>190</v>
      </c>
      <c r="IA23" t="s">
        <v>190</v>
      </c>
      <c r="IB23" t="s">
        <v>190</v>
      </c>
      <c r="IC23" t="s">
        <v>190</v>
      </c>
      <c r="ID23" t="s">
        <v>190</v>
      </c>
      <c r="IE23" t="s">
        <v>190</v>
      </c>
      <c r="IF23" t="s">
        <v>60</v>
      </c>
      <c r="IG23" t="s">
        <v>60</v>
      </c>
      <c r="IH23" t="s">
        <v>60</v>
      </c>
      <c r="II23" t="s">
        <v>60</v>
      </c>
      <c r="IJ23" t="s">
        <v>128</v>
      </c>
      <c r="IK23" t="s">
        <v>129</v>
      </c>
      <c r="IL23" t="s">
        <v>128</v>
      </c>
      <c r="IM23" t="s">
        <v>199</v>
      </c>
      <c r="IN23">
        <v>1</v>
      </c>
      <c r="IO23" t="s">
        <v>2730</v>
      </c>
      <c r="IP23" t="s">
        <v>2730</v>
      </c>
      <c r="IQ23">
        <v>10</v>
      </c>
      <c r="IR23" t="s">
        <v>2730</v>
      </c>
      <c r="IS23" t="s">
        <v>2730</v>
      </c>
      <c r="IT23" t="s">
        <v>2730</v>
      </c>
      <c r="IU23">
        <v>2</v>
      </c>
      <c r="IV23">
        <v>6</v>
      </c>
      <c r="IW23" t="s">
        <v>2730</v>
      </c>
      <c r="IX23" t="s">
        <v>2730</v>
      </c>
      <c r="IY23">
        <v>3</v>
      </c>
      <c r="IZ23">
        <v>25</v>
      </c>
      <c r="JA23" t="s">
        <v>2730</v>
      </c>
      <c r="JB23" t="s">
        <v>2730</v>
      </c>
      <c r="JC23">
        <v>14</v>
      </c>
      <c r="JD23">
        <v>1</v>
      </c>
      <c r="JE23" t="s">
        <v>2730</v>
      </c>
      <c r="JF23" t="s">
        <v>2730</v>
      </c>
      <c r="JG23" t="s">
        <v>2730</v>
      </c>
      <c r="JH23">
        <v>1</v>
      </c>
      <c r="JI23" t="s">
        <v>2730</v>
      </c>
      <c r="JJ23" t="s">
        <v>2730</v>
      </c>
      <c r="JK23" t="s">
        <v>2730</v>
      </c>
      <c r="JL23" t="s">
        <v>2730</v>
      </c>
      <c r="JM23" t="s">
        <v>2730</v>
      </c>
      <c r="JN23" t="s">
        <v>2730</v>
      </c>
      <c r="JO23" t="s">
        <v>2730</v>
      </c>
      <c r="JP23" t="s">
        <v>2730</v>
      </c>
      <c r="JQ23">
        <v>4</v>
      </c>
    </row>
    <row r="24" spans="1:277">
      <c r="A24" s="171" t="str">
        <f>HYPERLINK("http://www.ofsted.gov.uk/inspection-reports/find-inspection-report/provider/ELS/131356 ","Ofsted School Webpage")</f>
        <v>Ofsted School Webpage</v>
      </c>
      <c r="B24">
        <v>1132583</v>
      </c>
      <c r="C24">
        <v>131356</v>
      </c>
      <c r="D24">
        <v>8466043</v>
      </c>
      <c r="E24" t="s">
        <v>430</v>
      </c>
      <c r="F24" t="s">
        <v>38</v>
      </c>
      <c r="G24" t="s">
        <v>180</v>
      </c>
      <c r="H24" t="s">
        <v>181</v>
      </c>
      <c r="I24" t="s">
        <v>181</v>
      </c>
      <c r="J24" t="s">
        <v>409</v>
      </c>
      <c r="K24" t="s">
        <v>431</v>
      </c>
      <c r="L24" t="s">
        <v>184</v>
      </c>
      <c r="M24" t="s">
        <v>185</v>
      </c>
      <c r="N24" t="s">
        <v>184</v>
      </c>
      <c r="O24" t="s">
        <v>2730</v>
      </c>
      <c r="P24" t="s">
        <v>186</v>
      </c>
      <c r="Q24">
        <v>10040672</v>
      </c>
      <c r="R24" s="120">
        <v>42991</v>
      </c>
      <c r="S24" s="120">
        <v>42991</v>
      </c>
      <c r="T24" s="120">
        <v>43012</v>
      </c>
      <c r="U24" t="s">
        <v>2730</v>
      </c>
      <c r="V24" t="s">
        <v>187</v>
      </c>
      <c r="W24" t="s">
        <v>2730</v>
      </c>
      <c r="X24" t="s">
        <v>188</v>
      </c>
      <c r="Y24" t="s">
        <v>2730</v>
      </c>
      <c r="Z24" t="s">
        <v>2730</v>
      </c>
      <c r="AA24" t="s">
        <v>2730</v>
      </c>
      <c r="AB24" t="s">
        <v>2730</v>
      </c>
      <c r="AC24" t="s">
        <v>2730</v>
      </c>
      <c r="AD24" t="s">
        <v>2730</v>
      </c>
      <c r="AE24" t="s">
        <v>2730</v>
      </c>
      <c r="AF24" t="s">
        <v>2730</v>
      </c>
      <c r="AG24" t="s">
        <v>189</v>
      </c>
      <c r="AH24" t="s">
        <v>2730</v>
      </c>
      <c r="AI24" t="s">
        <v>190</v>
      </c>
      <c r="AJ24" t="s">
        <v>190</v>
      </c>
      <c r="AK24" t="s">
        <v>59</v>
      </c>
      <c r="AL24" t="s">
        <v>59</v>
      </c>
      <c r="AM24" t="s">
        <v>190</v>
      </c>
      <c r="AN24" t="s">
        <v>59</v>
      </c>
      <c r="AO24" t="s">
        <v>190</v>
      </c>
      <c r="AP24" t="s">
        <v>59</v>
      </c>
      <c r="AQ24" t="s">
        <v>190</v>
      </c>
      <c r="AR24" t="s">
        <v>190</v>
      </c>
      <c r="AS24" t="s">
        <v>190</v>
      </c>
      <c r="AT24" t="s">
        <v>190</v>
      </c>
      <c r="AU24" t="s">
        <v>190</v>
      </c>
      <c r="AV24" t="s">
        <v>190</v>
      </c>
      <c r="AW24" t="s">
        <v>190</v>
      </c>
      <c r="AX24" t="s">
        <v>190</v>
      </c>
      <c r="AY24" t="s">
        <v>190</v>
      </c>
      <c r="AZ24" t="s">
        <v>190</v>
      </c>
      <c r="BA24" t="s">
        <v>190</v>
      </c>
      <c r="BB24" t="s">
        <v>190</v>
      </c>
      <c r="BC24" t="s">
        <v>190</v>
      </c>
      <c r="BD24" t="s">
        <v>190</v>
      </c>
      <c r="BE24" t="s">
        <v>190</v>
      </c>
      <c r="BF24" t="s">
        <v>190</v>
      </c>
      <c r="BG24" t="s">
        <v>190</v>
      </c>
      <c r="BH24" t="s">
        <v>190</v>
      </c>
      <c r="BI24" t="s">
        <v>190</v>
      </c>
      <c r="BJ24" t="s">
        <v>190</v>
      </c>
      <c r="BK24" t="s">
        <v>190</v>
      </c>
      <c r="BL24" t="s">
        <v>190</v>
      </c>
      <c r="BM24" t="s">
        <v>190</v>
      </c>
      <c r="BN24" t="s">
        <v>190</v>
      </c>
      <c r="BO24" t="s">
        <v>190</v>
      </c>
      <c r="BP24" t="s">
        <v>190</v>
      </c>
      <c r="BQ24" t="s">
        <v>190</v>
      </c>
      <c r="BR24" t="s">
        <v>190</v>
      </c>
      <c r="BS24" t="s">
        <v>190</v>
      </c>
      <c r="BT24" t="s">
        <v>190</v>
      </c>
      <c r="BU24" t="s">
        <v>190</v>
      </c>
      <c r="BV24" t="s">
        <v>190</v>
      </c>
      <c r="BW24" t="s">
        <v>190</v>
      </c>
      <c r="BX24" t="s">
        <v>190</v>
      </c>
      <c r="BY24" t="s">
        <v>190</v>
      </c>
      <c r="BZ24" t="s">
        <v>190</v>
      </c>
      <c r="CA24" t="s">
        <v>190</v>
      </c>
      <c r="CB24" t="s">
        <v>190</v>
      </c>
      <c r="CC24" t="s">
        <v>190</v>
      </c>
      <c r="CD24" t="s">
        <v>190</v>
      </c>
      <c r="CE24" t="s">
        <v>190</v>
      </c>
      <c r="CF24" t="s">
        <v>190</v>
      </c>
      <c r="CG24" t="s">
        <v>190</v>
      </c>
      <c r="CH24" t="s">
        <v>190</v>
      </c>
      <c r="CI24" t="s">
        <v>190</v>
      </c>
      <c r="CJ24" t="s">
        <v>190</v>
      </c>
      <c r="CK24" t="s">
        <v>190</v>
      </c>
      <c r="CL24" t="s">
        <v>59</v>
      </c>
      <c r="CM24" t="s">
        <v>59</v>
      </c>
      <c r="CN24" t="s">
        <v>59</v>
      </c>
      <c r="CO24" t="s">
        <v>190</v>
      </c>
      <c r="CP24" t="s">
        <v>190</v>
      </c>
      <c r="CQ24" t="s">
        <v>190</v>
      </c>
      <c r="CR24" t="s">
        <v>190</v>
      </c>
      <c r="CS24" t="s">
        <v>190</v>
      </c>
      <c r="CT24" t="s">
        <v>190</v>
      </c>
      <c r="CU24" t="s">
        <v>190</v>
      </c>
      <c r="CV24" t="s">
        <v>190</v>
      </c>
      <c r="CW24" t="s">
        <v>190</v>
      </c>
      <c r="CX24" t="s">
        <v>190</v>
      </c>
      <c r="CY24" t="s">
        <v>190</v>
      </c>
      <c r="CZ24" t="s">
        <v>190</v>
      </c>
      <c r="DA24" t="s">
        <v>190</v>
      </c>
      <c r="DB24" t="s">
        <v>190</v>
      </c>
      <c r="DC24" t="s">
        <v>190</v>
      </c>
      <c r="DD24" t="s">
        <v>190</v>
      </c>
      <c r="DE24" t="s">
        <v>59</v>
      </c>
      <c r="DF24" t="s">
        <v>190</v>
      </c>
      <c r="DG24" t="s">
        <v>59</v>
      </c>
      <c r="DH24" t="s">
        <v>190</v>
      </c>
      <c r="DI24" t="s">
        <v>190</v>
      </c>
      <c r="DJ24" t="s">
        <v>190</v>
      </c>
      <c r="DK24" t="s">
        <v>190</v>
      </c>
      <c r="DL24" t="s">
        <v>190</v>
      </c>
      <c r="DM24" t="s">
        <v>190</v>
      </c>
      <c r="DN24" t="s">
        <v>190</v>
      </c>
      <c r="DO24" t="s">
        <v>190</v>
      </c>
      <c r="DP24" t="s">
        <v>190</v>
      </c>
      <c r="DQ24" t="s">
        <v>190</v>
      </c>
      <c r="DR24" t="s">
        <v>190</v>
      </c>
      <c r="DS24" t="s">
        <v>190</v>
      </c>
      <c r="DT24" t="s">
        <v>190</v>
      </c>
      <c r="DU24" t="s">
        <v>190</v>
      </c>
      <c r="DV24" t="s">
        <v>190</v>
      </c>
      <c r="DW24" t="s">
        <v>190</v>
      </c>
      <c r="DX24" t="s">
        <v>190</v>
      </c>
      <c r="DY24" t="s">
        <v>190</v>
      </c>
      <c r="DZ24" t="s">
        <v>190</v>
      </c>
      <c r="EA24" t="s">
        <v>190</v>
      </c>
      <c r="EB24" t="s">
        <v>190</v>
      </c>
      <c r="EC24" t="s">
        <v>190</v>
      </c>
      <c r="ED24" t="s">
        <v>190</v>
      </c>
      <c r="EE24" t="s">
        <v>190</v>
      </c>
      <c r="EF24" t="s">
        <v>190</v>
      </c>
      <c r="EG24" t="s">
        <v>190</v>
      </c>
      <c r="EH24" t="s">
        <v>190</v>
      </c>
      <c r="EI24" t="s">
        <v>190</v>
      </c>
      <c r="EJ24" t="s">
        <v>190</v>
      </c>
      <c r="EK24" t="s">
        <v>190</v>
      </c>
      <c r="EL24" t="s">
        <v>190</v>
      </c>
      <c r="EM24" t="s">
        <v>190</v>
      </c>
      <c r="EN24" t="s">
        <v>59</v>
      </c>
      <c r="EO24" t="s">
        <v>190</v>
      </c>
      <c r="EP24" t="s">
        <v>59</v>
      </c>
      <c r="EQ24" t="s">
        <v>59</v>
      </c>
      <c r="ER24" t="s">
        <v>190</v>
      </c>
      <c r="ES24" t="s">
        <v>59</v>
      </c>
      <c r="ET24" t="s">
        <v>190</v>
      </c>
      <c r="EU24" t="s">
        <v>190</v>
      </c>
      <c r="EV24" t="s">
        <v>190</v>
      </c>
      <c r="EW24" t="s">
        <v>190</v>
      </c>
      <c r="EX24" t="s">
        <v>190</v>
      </c>
      <c r="EY24" t="s">
        <v>190</v>
      </c>
      <c r="EZ24" t="s">
        <v>59</v>
      </c>
      <c r="FA24" t="s">
        <v>190</v>
      </c>
      <c r="FB24" t="s">
        <v>190</v>
      </c>
      <c r="FC24" t="s">
        <v>190</v>
      </c>
      <c r="FD24" t="s">
        <v>190</v>
      </c>
      <c r="FE24" t="s">
        <v>190</v>
      </c>
      <c r="FF24" t="s">
        <v>190</v>
      </c>
      <c r="FG24" t="s">
        <v>190</v>
      </c>
      <c r="FH24" t="s">
        <v>190</v>
      </c>
      <c r="FI24" t="s">
        <v>190</v>
      </c>
      <c r="FJ24" t="s">
        <v>190</v>
      </c>
      <c r="FK24" t="s">
        <v>190</v>
      </c>
      <c r="FL24" t="s">
        <v>190</v>
      </c>
      <c r="FM24" t="s">
        <v>190</v>
      </c>
      <c r="FN24" t="s">
        <v>190</v>
      </c>
      <c r="FO24" t="s">
        <v>190</v>
      </c>
      <c r="FP24" t="s">
        <v>190</v>
      </c>
      <c r="FQ24" t="s">
        <v>190</v>
      </c>
      <c r="FR24" t="s">
        <v>190</v>
      </c>
      <c r="FS24" t="s">
        <v>190</v>
      </c>
      <c r="FT24" t="s">
        <v>190</v>
      </c>
      <c r="FU24" t="s">
        <v>190</v>
      </c>
      <c r="FV24" t="s">
        <v>190</v>
      </c>
      <c r="FW24" t="s">
        <v>190</v>
      </c>
      <c r="FX24" t="s">
        <v>190</v>
      </c>
      <c r="FY24" t="s">
        <v>190</v>
      </c>
      <c r="FZ24" t="s">
        <v>190</v>
      </c>
      <c r="GA24" t="s">
        <v>190</v>
      </c>
      <c r="GB24" t="s">
        <v>190</v>
      </c>
      <c r="GC24" t="s">
        <v>190</v>
      </c>
      <c r="GD24" t="s">
        <v>190</v>
      </c>
      <c r="GE24" t="s">
        <v>190</v>
      </c>
      <c r="GF24" t="s">
        <v>190</v>
      </c>
      <c r="GG24" t="s">
        <v>190</v>
      </c>
      <c r="GH24" t="s">
        <v>190</v>
      </c>
      <c r="GI24" t="s">
        <v>190</v>
      </c>
      <c r="GJ24" t="s">
        <v>190</v>
      </c>
      <c r="GK24" t="s">
        <v>190</v>
      </c>
      <c r="GL24" t="s">
        <v>59</v>
      </c>
      <c r="GM24" t="s">
        <v>190</v>
      </c>
      <c r="GN24" t="s">
        <v>190</v>
      </c>
      <c r="GO24" t="s">
        <v>59</v>
      </c>
      <c r="GP24" t="s">
        <v>190</v>
      </c>
      <c r="GQ24" t="s">
        <v>190</v>
      </c>
      <c r="GR24" t="s">
        <v>190</v>
      </c>
      <c r="GS24" t="s">
        <v>190</v>
      </c>
      <c r="GT24" t="s">
        <v>190</v>
      </c>
      <c r="GU24" t="s">
        <v>190</v>
      </c>
      <c r="GV24" t="s">
        <v>190</v>
      </c>
      <c r="GW24" t="s">
        <v>190</v>
      </c>
      <c r="GX24" t="s">
        <v>190</v>
      </c>
      <c r="GY24" t="s">
        <v>190</v>
      </c>
      <c r="GZ24" t="s">
        <v>190</v>
      </c>
      <c r="HA24" t="s">
        <v>190</v>
      </c>
      <c r="HB24" t="s">
        <v>190</v>
      </c>
      <c r="HC24" t="s">
        <v>190</v>
      </c>
      <c r="HD24" t="s">
        <v>190</v>
      </c>
      <c r="HE24" t="s">
        <v>190</v>
      </c>
      <c r="HF24" t="s">
        <v>190</v>
      </c>
      <c r="HG24" t="s">
        <v>190</v>
      </c>
      <c r="HH24" t="s">
        <v>190</v>
      </c>
      <c r="HI24" t="s">
        <v>190</v>
      </c>
      <c r="HJ24" t="s">
        <v>190</v>
      </c>
      <c r="HK24" t="s">
        <v>190</v>
      </c>
      <c r="HL24" t="s">
        <v>190</v>
      </c>
      <c r="HM24" t="s">
        <v>190</v>
      </c>
      <c r="HN24" t="s">
        <v>190</v>
      </c>
      <c r="HO24" t="s">
        <v>190</v>
      </c>
      <c r="HP24" t="s">
        <v>190</v>
      </c>
      <c r="HQ24" t="s">
        <v>190</v>
      </c>
      <c r="HR24" t="s">
        <v>190</v>
      </c>
      <c r="HS24" t="s">
        <v>190</v>
      </c>
      <c r="HT24" t="s">
        <v>190</v>
      </c>
      <c r="HU24" t="s">
        <v>190</v>
      </c>
      <c r="HV24" t="s">
        <v>190</v>
      </c>
      <c r="HW24" t="s">
        <v>190</v>
      </c>
      <c r="HX24" t="s">
        <v>190</v>
      </c>
      <c r="HY24" t="s">
        <v>190</v>
      </c>
      <c r="HZ24" t="s">
        <v>190</v>
      </c>
      <c r="IA24" t="s">
        <v>190</v>
      </c>
      <c r="IB24" t="s">
        <v>190</v>
      </c>
      <c r="IC24" t="s">
        <v>190</v>
      </c>
      <c r="ID24" t="s">
        <v>190</v>
      </c>
      <c r="IE24" t="s">
        <v>190</v>
      </c>
      <c r="IF24" t="s">
        <v>59</v>
      </c>
      <c r="IG24" t="s">
        <v>59</v>
      </c>
      <c r="IH24" t="s">
        <v>59</v>
      </c>
      <c r="II24" t="s">
        <v>59</v>
      </c>
      <c r="IJ24" t="s">
        <v>129</v>
      </c>
      <c r="IK24" t="s">
        <v>191</v>
      </c>
      <c r="IL24" t="s">
        <v>128</v>
      </c>
      <c r="IM24" t="s">
        <v>199</v>
      </c>
      <c r="IN24" t="s">
        <v>2730</v>
      </c>
      <c r="IO24" t="s">
        <v>2730</v>
      </c>
      <c r="IP24" t="s">
        <v>2730</v>
      </c>
      <c r="IQ24" t="s">
        <v>2730</v>
      </c>
      <c r="IR24" t="s">
        <v>2730</v>
      </c>
      <c r="IS24" t="s">
        <v>2730</v>
      </c>
      <c r="IT24" t="s">
        <v>2730</v>
      </c>
      <c r="IU24" t="s">
        <v>2730</v>
      </c>
      <c r="IV24">
        <v>3</v>
      </c>
      <c r="IW24" t="s">
        <v>2730</v>
      </c>
      <c r="IX24" t="s">
        <v>2730</v>
      </c>
      <c r="IY24" t="s">
        <v>2730</v>
      </c>
      <c r="IZ24">
        <v>7</v>
      </c>
      <c r="JA24" t="s">
        <v>2730</v>
      </c>
      <c r="JB24" t="s">
        <v>2730</v>
      </c>
      <c r="JC24" t="s">
        <v>2730</v>
      </c>
      <c r="JD24" t="s">
        <v>2730</v>
      </c>
      <c r="JE24" t="s">
        <v>2730</v>
      </c>
      <c r="JF24" t="s">
        <v>2730</v>
      </c>
      <c r="JG24" t="s">
        <v>2730</v>
      </c>
      <c r="JH24">
        <v>2</v>
      </c>
      <c r="JI24" t="s">
        <v>2730</v>
      </c>
      <c r="JJ24" t="s">
        <v>2730</v>
      </c>
      <c r="JK24" t="s">
        <v>2730</v>
      </c>
      <c r="JL24" t="s">
        <v>2730</v>
      </c>
      <c r="JM24" t="s">
        <v>2730</v>
      </c>
      <c r="JN24" t="s">
        <v>2730</v>
      </c>
      <c r="JO24">
        <v>4</v>
      </c>
      <c r="JP24" t="s">
        <v>2730</v>
      </c>
      <c r="JQ24" t="s">
        <v>2730</v>
      </c>
    </row>
    <row r="25" spans="1:277">
      <c r="A25" s="171" t="str">
        <f>HYPERLINK("http://www.ofsted.gov.uk/inspection-reports/find-inspection-report/provider/ELS/131810 ","Ofsted School Webpage")</f>
        <v>Ofsted School Webpage</v>
      </c>
      <c r="B25">
        <v>1132297</v>
      </c>
      <c r="C25">
        <v>131810</v>
      </c>
      <c r="D25">
        <v>8866085</v>
      </c>
      <c r="E25" t="s">
        <v>179</v>
      </c>
      <c r="F25" t="s">
        <v>38</v>
      </c>
      <c r="G25" t="s">
        <v>180</v>
      </c>
      <c r="H25" t="s">
        <v>181</v>
      </c>
      <c r="I25" t="s">
        <v>181</v>
      </c>
      <c r="J25" t="s">
        <v>182</v>
      </c>
      <c r="K25" t="s">
        <v>183</v>
      </c>
      <c r="L25" t="s">
        <v>184</v>
      </c>
      <c r="M25" t="s">
        <v>185</v>
      </c>
      <c r="N25" t="s">
        <v>184</v>
      </c>
      <c r="O25" t="s">
        <v>2730</v>
      </c>
      <c r="P25" t="s">
        <v>186</v>
      </c>
      <c r="Q25">
        <v>10040602</v>
      </c>
      <c r="R25" s="120">
        <v>43020</v>
      </c>
      <c r="S25" s="120">
        <v>43020</v>
      </c>
      <c r="T25" s="120">
        <v>43053</v>
      </c>
      <c r="U25" t="s">
        <v>2730</v>
      </c>
      <c r="V25" t="s">
        <v>187</v>
      </c>
      <c r="W25" t="s">
        <v>2730</v>
      </c>
      <c r="X25" t="s">
        <v>188</v>
      </c>
      <c r="Y25" t="s">
        <v>2730</v>
      </c>
      <c r="Z25" t="s">
        <v>2730</v>
      </c>
      <c r="AA25" t="s">
        <v>2730</v>
      </c>
      <c r="AB25" t="s">
        <v>2730</v>
      </c>
      <c r="AC25" t="s">
        <v>2730</v>
      </c>
      <c r="AD25" t="s">
        <v>2730</v>
      </c>
      <c r="AE25" t="s">
        <v>2730</v>
      </c>
      <c r="AF25" t="s">
        <v>2730</v>
      </c>
      <c r="AG25" t="s">
        <v>189</v>
      </c>
      <c r="AH25" t="s">
        <v>2730</v>
      </c>
      <c r="AI25" t="s">
        <v>190</v>
      </c>
      <c r="AJ25" t="s">
        <v>190</v>
      </c>
      <c r="AK25" t="s">
        <v>59</v>
      </c>
      <c r="AL25" t="s">
        <v>190</v>
      </c>
      <c r="AM25" t="s">
        <v>190</v>
      </c>
      <c r="AN25" t="s">
        <v>59</v>
      </c>
      <c r="AO25" t="s">
        <v>190</v>
      </c>
      <c r="AP25" t="s">
        <v>59</v>
      </c>
      <c r="AQ25" t="s">
        <v>190</v>
      </c>
      <c r="AR25" t="s">
        <v>190</v>
      </c>
      <c r="AS25" t="s">
        <v>190</v>
      </c>
      <c r="AT25" t="s">
        <v>190</v>
      </c>
      <c r="AU25" t="s">
        <v>190</v>
      </c>
      <c r="AV25" t="s">
        <v>190</v>
      </c>
      <c r="AW25" t="s">
        <v>190</v>
      </c>
      <c r="AX25" t="s">
        <v>190</v>
      </c>
      <c r="AY25" t="s">
        <v>190</v>
      </c>
      <c r="AZ25" t="s">
        <v>190</v>
      </c>
      <c r="BA25" t="s">
        <v>190</v>
      </c>
      <c r="BB25" t="s">
        <v>190</v>
      </c>
      <c r="BC25" t="s">
        <v>190</v>
      </c>
      <c r="BD25" t="s">
        <v>190</v>
      </c>
      <c r="BE25" t="s">
        <v>190</v>
      </c>
      <c r="BF25" t="s">
        <v>190</v>
      </c>
      <c r="BG25" t="s">
        <v>190</v>
      </c>
      <c r="BH25" t="s">
        <v>190</v>
      </c>
      <c r="BI25" t="s">
        <v>190</v>
      </c>
      <c r="BJ25" t="s">
        <v>190</v>
      </c>
      <c r="BK25" t="s">
        <v>190</v>
      </c>
      <c r="BL25" t="s">
        <v>190</v>
      </c>
      <c r="BM25" t="s">
        <v>190</v>
      </c>
      <c r="BN25" t="s">
        <v>190</v>
      </c>
      <c r="BO25" t="s">
        <v>190</v>
      </c>
      <c r="BP25" t="s">
        <v>190</v>
      </c>
      <c r="BQ25" t="s">
        <v>190</v>
      </c>
      <c r="BR25" t="s">
        <v>190</v>
      </c>
      <c r="BS25" t="s">
        <v>190</v>
      </c>
      <c r="BT25" t="s">
        <v>190</v>
      </c>
      <c r="BU25" t="s">
        <v>190</v>
      </c>
      <c r="BV25" t="s">
        <v>190</v>
      </c>
      <c r="BW25" t="s">
        <v>190</v>
      </c>
      <c r="BX25" t="s">
        <v>190</v>
      </c>
      <c r="BY25" t="s">
        <v>190</v>
      </c>
      <c r="BZ25" t="s">
        <v>190</v>
      </c>
      <c r="CA25" t="s">
        <v>190</v>
      </c>
      <c r="CB25" t="s">
        <v>190</v>
      </c>
      <c r="CC25" t="s">
        <v>190</v>
      </c>
      <c r="CD25" t="s">
        <v>190</v>
      </c>
      <c r="CE25" t="s">
        <v>190</v>
      </c>
      <c r="CF25" t="s">
        <v>190</v>
      </c>
      <c r="CG25" t="s">
        <v>190</v>
      </c>
      <c r="CH25" t="s">
        <v>190</v>
      </c>
      <c r="CI25" t="s">
        <v>190</v>
      </c>
      <c r="CJ25" t="s">
        <v>190</v>
      </c>
      <c r="CK25" t="s">
        <v>190</v>
      </c>
      <c r="CL25" t="s">
        <v>59</v>
      </c>
      <c r="CM25" t="s">
        <v>59</v>
      </c>
      <c r="CN25" t="s">
        <v>59</v>
      </c>
      <c r="CO25" t="s">
        <v>190</v>
      </c>
      <c r="CP25" t="s">
        <v>190</v>
      </c>
      <c r="CQ25" t="s">
        <v>190</v>
      </c>
      <c r="CR25" t="s">
        <v>190</v>
      </c>
      <c r="CS25" t="s">
        <v>190</v>
      </c>
      <c r="CT25" t="s">
        <v>190</v>
      </c>
      <c r="CU25" t="s">
        <v>190</v>
      </c>
      <c r="CV25" t="s">
        <v>190</v>
      </c>
      <c r="CW25" t="s">
        <v>190</v>
      </c>
      <c r="CX25" t="s">
        <v>190</v>
      </c>
      <c r="CY25" t="s">
        <v>190</v>
      </c>
      <c r="CZ25" t="s">
        <v>190</v>
      </c>
      <c r="DA25" t="s">
        <v>190</v>
      </c>
      <c r="DB25" t="s">
        <v>190</v>
      </c>
      <c r="DC25" t="s">
        <v>190</v>
      </c>
      <c r="DD25" t="s">
        <v>190</v>
      </c>
      <c r="DE25" t="s">
        <v>190</v>
      </c>
      <c r="DF25" t="s">
        <v>190</v>
      </c>
      <c r="DG25" t="s">
        <v>190</v>
      </c>
      <c r="DH25" t="s">
        <v>190</v>
      </c>
      <c r="DI25" t="s">
        <v>190</v>
      </c>
      <c r="DJ25" t="s">
        <v>190</v>
      </c>
      <c r="DK25" t="s">
        <v>190</v>
      </c>
      <c r="DL25" t="s">
        <v>190</v>
      </c>
      <c r="DM25" t="s">
        <v>190</v>
      </c>
      <c r="DN25" t="s">
        <v>190</v>
      </c>
      <c r="DO25" t="s">
        <v>190</v>
      </c>
      <c r="DP25" t="s">
        <v>190</v>
      </c>
      <c r="DQ25" t="s">
        <v>190</v>
      </c>
      <c r="DR25" t="s">
        <v>190</v>
      </c>
      <c r="DS25" t="s">
        <v>190</v>
      </c>
      <c r="DT25" t="s">
        <v>190</v>
      </c>
      <c r="DU25" t="s">
        <v>190</v>
      </c>
      <c r="DV25" t="s">
        <v>190</v>
      </c>
      <c r="DW25" t="s">
        <v>190</v>
      </c>
      <c r="DX25" t="s">
        <v>190</v>
      </c>
      <c r="DY25" t="s">
        <v>190</v>
      </c>
      <c r="DZ25" t="s">
        <v>190</v>
      </c>
      <c r="EA25" t="s">
        <v>190</v>
      </c>
      <c r="EB25" t="s">
        <v>190</v>
      </c>
      <c r="EC25" t="s">
        <v>190</v>
      </c>
      <c r="ED25" t="s">
        <v>190</v>
      </c>
      <c r="EE25" t="s">
        <v>190</v>
      </c>
      <c r="EF25" t="s">
        <v>190</v>
      </c>
      <c r="EG25" t="s">
        <v>190</v>
      </c>
      <c r="EH25" t="s">
        <v>190</v>
      </c>
      <c r="EI25" t="s">
        <v>190</v>
      </c>
      <c r="EJ25" t="s">
        <v>190</v>
      </c>
      <c r="EK25" t="s">
        <v>190</v>
      </c>
      <c r="EL25" t="s">
        <v>190</v>
      </c>
      <c r="EM25" t="s">
        <v>190</v>
      </c>
      <c r="EN25" t="s">
        <v>190</v>
      </c>
      <c r="EO25" t="s">
        <v>190</v>
      </c>
      <c r="EP25" t="s">
        <v>190</v>
      </c>
      <c r="EQ25" t="s">
        <v>190</v>
      </c>
      <c r="ER25" t="s">
        <v>190</v>
      </c>
      <c r="ES25" t="s">
        <v>190</v>
      </c>
      <c r="ET25" t="s">
        <v>190</v>
      </c>
      <c r="EU25" t="s">
        <v>190</v>
      </c>
      <c r="EV25" t="s">
        <v>190</v>
      </c>
      <c r="EW25" t="s">
        <v>190</v>
      </c>
      <c r="EX25" t="s">
        <v>190</v>
      </c>
      <c r="EY25" t="s">
        <v>190</v>
      </c>
      <c r="EZ25" t="s">
        <v>190</v>
      </c>
      <c r="FA25" t="s">
        <v>190</v>
      </c>
      <c r="FB25" t="s">
        <v>190</v>
      </c>
      <c r="FC25" t="s">
        <v>190</v>
      </c>
      <c r="FD25" t="s">
        <v>190</v>
      </c>
      <c r="FE25" t="s">
        <v>190</v>
      </c>
      <c r="FF25" t="s">
        <v>190</v>
      </c>
      <c r="FG25" t="s">
        <v>190</v>
      </c>
      <c r="FH25" t="s">
        <v>190</v>
      </c>
      <c r="FI25" t="s">
        <v>190</v>
      </c>
      <c r="FJ25" t="s">
        <v>190</v>
      </c>
      <c r="FK25" t="s">
        <v>190</v>
      </c>
      <c r="FL25" t="s">
        <v>190</v>
      </c>
      <c r="FM25" t="s">
        <v>190</v>
      </c>
      <c r="FN25" t="s">
        <v>190</v>
      </c>
      <c r="FO25" t="s">
        <v>190</v>
      </c>
      <c r="FP25" t="s">
        <v>190</v>
      </c>
      <c r="FQ25" t="s">
        <v>190</v>
      </c>
      <c r="FR25" t="s">
        <v>190</v>
      </c>
      <c r="FS25" t="s">
        <v>190</v>
      </c>
      <c r="FT25" t="s">
        <v>190</v>
      </c>
      <c r="FU25" t="s">
        <v>190</v>
      </c>
      <c r="FV25" t="s">
        <v>190</v>
      </c>
      <c r="FW25" t="s">
        <v>190</v>
      </c>
      <c r="FX25" t="s">
        <v>190</v>
      </c>
      <c r="FY25" t="s">
        <v>190</v>
      </c>
      <c r="FZ25" t="s">
        <v>190</v>
      </c>
      <c r="GA25" t="s">
        <v>190</v>
      </c>
      <c r="GB25" t="s">
        <v>190</v>
      </c>
      <c r="GC25" t="s">
        <v>190</v>
      </c>
      <c r="GD25" t="s">
        <v>190</v>
      </c>
      <c r="GE25" t="s">
        <v>190</v>
      </c>
      <c r="GF25" t="s">
        <v>190</v>
      </c>
      <c r="GG25" t="s">
        <v>190</v>
      </c>
      <c r="GH25" t="s">
        <v>190</v>
      </c>
      <c r="GI25" t="s">
        <v>190</v>
      </c>
      <c r="GJ25" t="s">
        <v>190</v>
      </c>
      <c r="GK25" t="s">
        <v>190</v>
      </c>
      <c r="GL25" t="s">
        <v>59</v>
      </c>
      <c r="GM25" t="s">
        <v>190</v>
      </c>
      <c r="GN25" t="s">
        <v>190</v>
      </c>
      <c r="GO25" t="s">
        <v>59</v>
      </c>
      <c r="GP25" t="s">
        <v>190</v>
      </c>
      <c r="GQ25" t="s">
        <v>190</v>
      </c>
      <c r="GR25" t="s">
        <v>190</v>
      </c>
      <c r="GS25" t="s">
        <v>190</v>
      </c>
      <c r="GT25" t="s">
        <v>190</v>
      </c>
      <c r="GU25" t="s">
        <v>190</v>
      </c>
      <c r="GV25" t="s">
        <v>190</v>
      </c>
      <c r="GW25" t="s">
        <v>190</v>
      </c>
      <c r="GX25" t="s">
        <v>190</v>
      </c>
      <c r="GY25" t="s">
        <v>190</v>
      </c>
      <c r="GZ25" t="s">
        <v>190</v>
      </c>
      <c r="HA25" t="s">
        <v>190</v>
      </c>
      <c r="HB25" t="s">
        <v>190</v>
      </c>
      <c r="HC25" t="s">
        <v>190</v>
      </c>
      <c r="HD25" t="s">
        <v>190</v>
      </c>
      <c r="HE25" t="s">
        <v>190</v>
      </c>
      <c r="HF25" t="s">
        <v>190</v>
      </c>
      <c r="HG25" t="s">
        <v>190</v>
      </c>
      <c r="HH25" t="s">
        <v>190</v>
      </c>
      <c r="HI25" t="s">
        <v>190</v>
      </c>
      <c r="HJ25" t="s">
        <v>190</v>
      </c>
      <c r="HK25" t="s">
        <v>190</v>
      </c>
      <c r="HL25" t="s">
        <v>190</v>
      </c>
      <c r="HM25" t="s">
        <v>190</v>
      </c>
      <c r="HN25" t="s">
        <v>190</v>
      </c>
      <c r="HO25" t="s">
        <v>190</v>
      </c>
      <c r="HP25" t="s">
        <v>190</v>
      </c>
      <c r="HQ25" t="s">
        <v>190</v>
      </c>
      <c r="HR25" t="s">
        <v>190</v>
      </c>
      <c r="HS25" t="s">
        <v>190</v>
      </c>
      <c r="HT25" t="s">
        <v>190</v>
      </c>
      <c r="HU25" t="s">
        <v>190</v>
      </c>
      <c r="HV25" t="s">
        <v>190</v>
      </c>
      <c r="HW25" t="s">
        <v>190</v>
      </c>
      <c r="HX25" t="s">
        <v>190</v>
      </c>
      <c r="HY25" t="s">
        <v>190</v>
      </c>
      <c r="HZ25" t="s">
        <v>190</v>
      </c>
      <c r="IA25" t="s">
        <v>190</v>
      </c>
      <c r="IB25" t="s">
        <v>190</v>
      </c>
      <c r="IC25" t="s">
        <v>190</v>
      </c>
      <c r="ID25" t="s">
        <v>190</v>
      </c>
      <c r="IE25" t="s">
        <v>190</v>
      </c>
      <c r="IF25" t="s">
        <v>59</v>
      </c>
      <c r="IG25" t="s">
        <v>59</v>
      </c>
      <c r="IH25" t="s">
        <v>59</v>
      </c>
      <c r="II25" t="s">
        <v>59</v>
      </c>
      <c r="IJ25" t="s">
        <v>129</v>
      </c>
      <c r="IK25" t="s">
        <v>191</v>
      </c>
      <c r="IL25" t="s">
        <v>128</v>
      </c>
      <c r="IM25" t="s">
        <v>2730</v>
      </c>
      <c r="IN25" t="s">
        <v>2730</v>
      </c>
      <c r="IO25" t="s">
        <v>2730</v>
      </c>
      <c r="IP25" t="s">
        <v>2730</v>
      </c>
      <c r="IQ25" t="s">
        <v>2730</v>
      </c>
      <c r="IR25" t="s">
        <v>2730</v>
      </c>
      <c r="IS25" t="s">
        <v>2730</v>
      </c>
      <c r="IT25" t="s">
        <v>2730</v>
      </c>
      <c r="IU25" t="s">
        <v>2730</v>
      </c>
      <c r="IV25">
        <v>3</v>
      </c>
      <c r="IW25" t="s">
        <v>2730</v>
      </c>
      <c r="IX25" t="s">
        <v>2730</v>
      </c>
      <c r="IY25" t="s">
        <v>2730</v>
      </c>
      <c r="IZ25" t="s">
        <v>2730</v>
      </c>
      <c r="JA25" t="s">
        <v>2730</v>
      </c>
      <c r="JB25" t="s">
        <v>2730</v>
      </c>
      <c r="JC25" t="s">
        <v>2730</v>
      </c>
      <c r="JD25" t="s">
        <v>2730</v>
      </c>
      <c r="JE25" t="s">
        <v>2730</v>
      </c>
      <c r="JF25" t="s">
        <v>2730</v>
      </c>
      <c r="JG25" t="s">
        <v>2730</v>
      </c>
      <c r="JH25">
        <v>2</v>
      </c>
      <c r="JI25" t="s">
        <v>2730</v>
      </c>
      <c r="JJ25" t="s">
        <v>2730</v>
      </c>
      <c r="JK25" t="s">
        <v>2730</v>
      </c>
      <c r="JL25" t="s">
        <v>2730</v>
      </c>
      <c r="JM25" t="s">
        <v>2730</v>
      </c>
      <c r="JN25" t="s">
        <v>2730</v>
      </c>
      <c r="JO25">
        <v>4</v>
      </c>
      <c r="JP25" t="s">
        <v>2730</v>
      </c>
      <c r="JQ25" t="s">
        <v>2730</v>
      </c>
    </row>
    <row r="26" spans="1:277">
      <c r="A26" s="171" t="str">
        <f>HYPERLINK("http://www.ofsted.gov.uk/inspection-reports/find-inspection-report/provider/ELS/138877 ","Ofsted School Webpage")</f>
        <v>Ofsted School Webpage</v>
      </c>
      <c r="B26">
        <v>1134166</v>
      </c>
      <c r="C26">
        <v>138877</v>
      </c>
      <c r="D26">
        <v>9356002</v>
      </c>
      <c r="E26" t="s">
        <v>2046</v>
      </c>
      <c r="F26" t="s">
        <v>37</v>
      </c>
      <c r="G26" t="s">
        <v>209</v>
      </c>
      <c r="H26" t="s">
        <v>220</v>
      </c>
      <c r="I26" t="s">
        <v>220</v>
      </c>
      <c r="J26" t="s">
        <v>297</v>
      </c>
      <c r="K26" t="s">
        <v>2047</v>
      </c>
      <c r="L26" t="s">
        <v>184</v>
      </c>
      <c r="M26" t="s">
        <v>185</v>
      </c>
      <c r="N26" t="s">
        <v>184</v>
      </c>
      <c r="O26" t="s">
        <v>2730</v>
      </c>
      <c r="P26" t="s">
        <v>186</v>
      </c>
      <c r="Q26">
        <v>10041239</v>
      </c>
      <c r="R26" s="120">
        <v>43011</v>
      </c>
      <c r="S26" s="120">
        <v>43012</v>
      </c>
      <c r="T26" s="120">
        <v>43070</v>
      </c>
      <c r="U26" t="s">
        <v>2730</v>
      </c>
      <c r="V26" t="s">
        <v>187</v>
      </c>
      <c r="W26" t="s">
        <v>2730</v>
      </c>
      <c r="X26" t="s">
        <v>188</v>
      </c>
      <c r="Y26" t="s">
        <v>2730</v>
      </c>
      <c r="Z26" t="s">
        <v>2730</v>
      </c>
      <c r="AA26" t="s">
        <v>2730</v>
      </c>
      <c r="AB26" t="s">
        <v>2730</v>
      </c>
      <c r="AC26" t="s">
        <v>2730</v>
      </c>
      <c r="AD26" t="s">
        <v>2730</v>
      </c>
      <c r="AE26" t="s">
        <v>2730</v>
      </c>
      <c r="AF26" t="s">
        <v>2730</v>
      </c>
      <c r="AG26" t="s">
        <v>189</v>
      </c>
      <c r="AH26" t="s">
        <v>2730</v>
      </c>
      <c r="AI26" t="s">
        <v>190</v>
      </c>
      <c r="AJ26" t="s">
        <v>190</v>
      </c>
      <c r="AK26" t="s">
        <v>59</v>
      </c>
      <c r="AL26" t="s">
        <v>59</v>
      </c>
      <c r="AM26" t="s">
        <v>59</v>
      </c>
      <c r="AN26" t="s">
        <v>59</v>
      </c>
      <c r="AO26" t="s">
        <v>190</v>
      </c>
      <c r="AP26" t="s">
        <v>59</v>
      </c>
      <c r="AQ26" t="s">
        <v>190</v>
      </c>
      <c r="AR26" t="s">
        <v>190</v>
      </c>
      <c r="AS26" t="s">
        <v>190</v>
      </c>
      <c r="AT26" t="s">
        <v>190</v>
      </c>
      <c r="AU26" t="s">
        <v>190</v>
      </c>
      <c r="AV26" t="s">
        <v>190</v>
      </c>
      <c r="AW26" t="s">
        <v>190</v>
      </c>
      <c r="AX26" t="s">
        <v>190</v>
      </c>
      <c r="AY26" t="s">
        <v>218</v>
      </c>
      <c r="AZ26" t="s">
        <v>190</v>
      </c>
      <c r="BA26" t="s">
        <v>190</v>
      </c>
      <c r="BB26" t="s">
        <v>190</v>
      </c>
      <c r="BC26" t="s">
        <v>218</v>
      </c>
      <c r="BD26" t="s">
        <v>218</v>
      </c>
      <c r="BE26" t="s">
        <v>218</v>
      </c>
      <c r="BF26" t="s">
        <v>218</v>
      </c>
      <c r="BG26" t="s">
        <v>218</v>
      </c>
      <c r="BH26" t="s">
        <v>218</v>
      </c>
      <c r="BI26" t="s">
        <v>190</v>
      </c>
      <c r="BJ26" t="s">
        <v>190</v>
      </c>
      <c r="BK26" t="s">
        <v>59</v>
      </c>
      <c r="BL26" t="s">
        <v>59</v>
      </c>
      <c r="BM26" t="s">
        <v>190</v>
      </c>
      <c r="BN26" t="s">
        <v>59</v>
      </c>
      <c r="BO26" t="s">
        <v>59</v>
      </c>
      <c r="BP26" t="s">
        <v>190</v>
      </c>
      <c r="BQ26" t="s">
        <v>190</v>
      </c>
      <c r="BR26" t="s">
        <v>59</v>
      </c>
      <c r="BS26" t="s">
        <v>190</v>
      </c>
      <c r="BT26" t="s">
        <v>190</v>
      </c>
      <c r="BU26" t="s">
        <v>190</v>
      </c>
      <c r="BV26" t="s">
        <v>190</v>
      </c>
      <c r="BW26" t="s">
        <v>190</v>
      </c>
      <c r="BX26" t="s">
        <v>190</v>
      </c>
      <c r="BY26" t="s">
        <v>190</v>
      </c>
      <c r="BZ26" t="s">
        <v>190</v>
      </c>
      <c r="CA26" t="s">
        <v>190</v>
      </c>
      <c r="CB26" t="s">
        <v>190</v>
      </c>
      <c r="CC26" t="s">
        <v>190</v>
      </c>
      <c r="CD26" t="s">
        <v>190</v>
      </c>
      <c r="CE26" t="s">
        <v>190</v>
      </c>
      <c r="CF26" t="s">
        <v>190</v>
      </c>
      <c r="CG26" t="s">
        <v>190</v>
      </c>
      <c r="CH26" t="s">
        <v>190</v>
      </c>
      <c r="CI26" t="s">
        <v>190</v>
      </c>
      <c r="CJ26" t="s">
        <v>190</v>
      </c>
      <c r="CK26" t="s">
        <v>190</v>
      </c>
      <c r="CL26" t="s">
        <v>59</v>
      </c>
      <c r="CM26" t="s">
        <v>59</v>
      </c>
      <c r="CN26" t="s">
        <v>59</v>
      </c>
      <c r="CO26" t="s">
        <v>190</v>
      </c>
      <c r="CP26" t="s">
        <v>190</v>
      </c>
      <c r="CQ26" t="s">
        <v>190</v>
      </c>
      <c r="CR26" t="s">
        <v>190</v>
      </c>
      <c r="CS26" t="s">
        <v>190</v>
      </c>
      <c r="CT26" t="s">
        <v>190</v>
      </c>
      <c r="CU26" t="s">
        <v>190</v>
      </c>
      <c r="CV26" t="s">
        <v>190</v>
      </c>
      <c r="CW26" t="s">
        <v>59</v>
      </c>
      <c r="CX26" t="s">
        <v>59</v>
      </c>
      <c r="CY26" t="s">
        <v>190</v>
      </c>
      <c r="CZ26" t="s">
        <v>59</v>
      </c>
      <c r="DA26" t="s">
        <v>190</v>
      </c>
      <c r="DB26" t="s">
        <v>59</v>
      </c>
      <c r="DC26" t="s">
        <v>59</v>
      </c>
      <c r="DD26" t="s">
        <v>59</v>
      </c>
      <c r="DE26" t="s">
        <v>59</v>
      </c>
      <c r="DF26" t="s">
        <v>59</v>
      </c>
      <c r="DG26" t="s">
        <v>59</v>
      </c>
      <c r="DH26" t="s">
        <v>59</v>
      </c>
      <c r="DI26" t="s">
        <v>59</v>
      </c>
      <c r="DJ26" t="s">
        <v>59</v>
      </c>
      <c r="DK26" t="s">
        <v>59</v>
      </c>
      <c r="DL26" t="s">
        <v>59</v>
      </c>
      <c r="DM26" t="s">
        <v>59</v>
      </c>
      <c r="DN26" t="s">
        <v>59</v>
      </c>
      <c r="DO26" t="s">
        <v>218</v>
      </c>
      <c r="DP26" t="s">
        <v>59</v>
      </c>
      <c r="DQ26" t="s">
        <v>59</v>
      </c>
      <c r="DR26" t="s">
        <v>59</v>
      </c>
      <c r="DS26" t="s">
        <v>59</v>
      </c>
      <c r="DT26" t="s">
        <v>59</v>
      </c>
      <c r="DU26" t="s">
        <v>59</v>
      </c>
      <c r="DV26" t="s">
        <v>59</v>
      </c>
      <c r="DW26" t="s">
        <v>59</v>
      </c>
      <c r="DX26" t="s">
        <v>59</v>
      </c>
      <c r="DY26" t="s">
        <v>59</v>
      </c>
      <c r="DZ26" t="s">
        <v>59</v>
      </c>
      <c r="EA26" t="s">
        <v>59</v>
      </c>
      <c r="EB26" t="s">
        <v>59</v>
      </c>
      <c r="EC26" t="s">
        <v>218</v>
      </c>
      <c r="ED26" t="s">
        <v>59</v>
      </c>
      <c r="EE26" t="s">
        <v>59</v>
      </c>
      <c r="EF26" t="s">
        <v>59</v>
      </c>
      <c r="EG26" t="s">
        <v>59</v>
      </c>
      <c r="EH26" t="s">
        <v>59</v>
      </c>
      <c r="EI26" t="s">
        <v>59</v>
      </c>
      <c r="EJ26" t="s">
        <v>59</v>
      </c>
      <c r="EK26" t="s">
        <v>59</v>
      </c>
      <c r="EL26" t="s">
        <v>59</v>
      </c>
      <c r="EM26" t="s">
        <v>59</v>
      </c>
      <c r="EN26" t="s">
        <v>59</v>
      </c>
      <c r="EO26" t="s">
        <v>59</v>
      </c>
      <c r="EP26" t="s">
        <v>59</v>
      </c>
      <c r="EQ26" t="s">
        <v>59</v>
      </c>
      <c r="ER26" t="s">
        <v>59</v>
      </c>
      <c r="ES26" t="s">
        <v>59</v>
      </c>
      <c r="ET26" t="s">
        <v>59</v>
      </c>
      <c r="EU26" t="s">
        <v>59</v>
      </c>
      <c r="EV26" t="s">
        <v>59</v>
      </c>
      <c r="EW26" t="s">
        <v>59</v>
      </c>
      <c r="EX26" t="s">
        <v>59</v>
      </c>
      <c r="EY26" t="s">
        <v>59</v>
      </c>
      <c r="EZ26" t="s">
        <v>59</v>
      </c>
      <c r="FA26" t="s">
        <v>59</v>
      </c>
      <c r="FB26" t="s">
        <v>59</v>
      </c>
      <c r="FC26" t="s">
        <v>59</v>
      </c>
      <c r="FD26" t="s">
        <v>59</v>
      </c>
      <c r="FE26" t="s">
        <v>59</v>
      </c>
      <c r="FF26" t="s">
        <v>59</v>
      </c>
      <c r="FG26" t="s">
        <v>59</v>
      </c>
      <c r="FH26" t="s">
        <v>59</v>
      </c>
      <c r="FI26" t="s">
        <v>59</v>
      </c>
      <c r="FJ26" t="s">
        <v>59</v>
      </c>
      <c r="FK26" t="s">
        <v>59</v>
      </c>
      <c r="FL26" t="s">
        <v>59</v>
      </c>
      <c r="FM26" t="s">
        <v>59</v>
      </c>
      <c r="FN26" t="s">
        <v>59</v>
      </c>
      <c r="FO26" t="s">
        <v>218</v>
      </c>
      <c r="FP26" t="s">
        <v>59</v>
      </c>
      <c r="FQ26" t="s">
        <v>59</v>
      </c>
      <c r="FR26" t="s">
        <v>59</v>
      </c>
      <c r="FS26" t="s">
        <v>218</v>
      </c>
      <c r="FT26" t="s">
        <v>59</v>
      </c>
      <c r="FU26" t="s">
        <v>59</v>
      </c>
      <c r="FV26" t="s">
        <v>59</v>
      </c>
      <c r="FW26" t="s">
        <v>59</v>
      </c>
      <c r="FX26" t="s">
        <v>59</v>
      </c>
      <c r="FY26" t="s">
        <v>59</v>
      </c>
      <c r="FZ26" t="s">
        <v>59</v>
      </c>
      <c r="GA26" t="s">
        <v>59</v>
      </c>
      <c r="GB26" t="s">
        <v>59</v>
      </c>
      <c r="GC26" t="s">
        <v>59</v>
      </c>
      <c r="GD26" t="s">
        <v>59</v>
      </c>
      <c r="GE26" t="s">
        <v>59</v>
      </c>
      <c r="GF26" t="s">
        <v>59</v>
      </c>
      <c r="GG26" t="s">
        <v>59</v>
      </c>
      <c r="GH26" t="s">
        <v>59</v>
      </c>
      <c r="GI26" t="s">
        <v>59</v>
      </c>
      <c r="GJ26" t="s">
        <v>59</v>
      </c>
      <c r="GK26" t="s">
        <v>218</v>
      </c>
      <c r="GL26" t="s">
        <v>59</v>
      </c>
      <c r="GM26" t="s">
        <v>190</v>
      </c>
      <c r="GN26" t="s">
        <v>190</v>
      </c>
      <c r="GO26" t="s">
        <v>59</v>
      </c>
      <c r="GP26" t="s">
        <v>190</v>
      </c>
      <c r="GQ26" t="s">
        <v>190</v>
      </c>
      <c r="GR26" t="s">
        <v>190</v>
      </c>
      <c r="GS26" t="s">
        <v>190</v>
      </c>
      <c r="GT26" t="s">
        <v>190</v>
      </c>
      <c r="GU26" t="s">
        <v>190</v>
      </c>
      <c r="GV26" t="s">
        <v>190</v>
      </c>
      <c r="GW26" t="s">
        <v>190</v>
      </c>
      <c r="GX26" t="s">
        <v>190</v>
      </c>
      <c r="GY26" t="s">
        <v>190</v>
      </c>
      <c r="GZ26" t="s">
        <v>190</v>
      </c>
      <c r="HA26" t="s">
        <v>190</v>
      </c>
      <c r="HB26" t="s">
        <v>190</v>
      </c>
      <c r="HC26" t="s">
        <v>190</v>
      </c>
      <c r="HD26" t="s">
        <v>190</v>
      </c>
      <c r="HE26" t="s">
        <v>190</v>
      </c>
      <c r="HF26" t="s">
        <v>190</v>
      </c>
      <c r="HG26" t="s">
        <v>190</v>
      </c>
      <c r="HH26" t="s">
        <v>190</v>
      </c>
      <c r="HI26" t="s">
        <v>190</v>
      </c>
      <c r="HJ26" t="s">
        <v>190</v>
      </c>
      <c r="HK26" t="s">
        <v>190</v>
      </c>
      <c r="HL26" t="s">
        <v>190</v>
      </c>
      <c r="HM26" t="s">
        <v>190</v>
      </c>
      <c r="HN26" t="s">
        <v>190</v>
      </c>
      <c r="HO26" t="s">
        <v>190</v>
      </c>
      <c r="HP26" t="s">
        <v>190</v>
      </c>
      <c r="HQ26" t="s">
        <v>190</v>
      </c>
      <c r="HR26" t="s">
        <v>190</v>
      </c>
      <c r="HS26" t="s">
        <v>190</v>
      </c>
      <c r="HT26" t="s">
        <v>190</v>
      </c>
      <c r="HU26" t="s">
        <v>190</v>
      </c>
      <c r="HV26" t="s">
        <v>190</v>
      </c>
      <c r="HW26" t="s">
        <v>190</v>
      </c>
      <c r="HX26" t="s">
        <v>190</v>
      </c>
      <c r="HY26" t="s">
        <v>190</v>
      </c>
      <c r="HZ26" t="s">
        <v>190</v>
      </c>
      <c r="IA26" t="s">
        <v>190</v>
      </c>
      <c r="IB26" t="s">
        <v>190</v>
      </c>
      <c r="IC26" t="s">
        <v>190</v>
      </c>
      <c r="ID26" t="s">
        <v>190</v>
      </c>
      <c r="IE26" t="s">
        <v>190</v>
      </c>
      <c r="IF26" t="s">
        <v>59</v>
      </c>
      <c r="IG26" t="s">
        <v>59</v>
      </c>
      <c r="IH26" t="s">
        <v>59</v>
      </c>
      <c r="II26" t="s">
        <v>59</v>
      </c>
      <c r="IJ26" t="s">
        <v>129</v>
      </c>
      <c r="IK26" t="s">
        <v>191</v>
      </c>
      <c r="IL26" t="s">
        <v>128</v>
      </c>
      <c r="IM26" t="s">
        <v>199</v>
      </c>
      <c r="IN26">
        <v>5</v>
      </c>
      <c r="IO26" t="s">
        <v>2730</v>
      </c>
      <c r="IP26" t="s">
        <v>2730</v>
      </c>
      <c r="IQ26" t="s">
        <v>2730</v>
      </c>
      <c r="IR26" t="s">
        <v>2730</v>
      </c>
      <c r="IS26" t="s">
        <v>2730</v>
      </c>
      <c r="IT26" t="s">
        <v>2730</v>
      </c>
      <c r="IU26" t="s">
        <v>2730</v>
      </c>
      <c r="IV26">
        <v>9</v>
      </c>
      <c r="IW26" t="s">
        <v>2730</v>
      </c>
      <c r="IX26" t="s">
        <v>2730</v>
      </c>
      <c r="IY26" t="s">
        <v>2730</v>
      </c>
      <c r="IZ26">
        <v>57</v>
      </c>
      <c r="JA26" t="s">
        <v>2730</v>
      </c>
      <c r="JB26" t="s">
        <v>2730</v>
      </c>
      <c r="JC26" t="s">
        <v>2730</v>
      </c>
      <c r="JD26">
        <v>23</v>
      </c>
      <c r="JE26" t="s">
        <v>2730</v>
      </c>
      <c r="JF26" t="s">
        <v>2730</v>
      </c>
      <c r="JG26" t="s">
        <v>2730</v>
      </c>
      <c r="JH26">
        <v>2</v>
      </c>
      <c r="JI26" t="s">
        <v>2730</v>
      </c>
      <c r="JJ26" t="s">
        <v>2730</v>
      </c>
      <c r="JK26" t="s">
        <v>2730</v>
      </c>
      <c r="JL26" t="s">
        <v>2730</v>
      </c>
      <c r="JM26" t="s">
        <v>2730</v>
      </c>
      <c r="JN26" t="s">
        <v>2730</v>
      </c>
      <c r="JO26">
        <v>4</v>
      </c>
      <c r="JP26" t="s">
        <v>2730</v>
      </c>
      <c r="JQ26" t="s">
        <v>2730</v>
      </c>
    </row>
    <row r="27" spans="1:277">
      <c r="A27" s="171" t="str">
        <f>HYPERLINK("http://www.ofsted.gov.uk/inspection-reports/find-inspection-report/provider/ELS/131825 ","Ofsted School Webpage")</f>
        <v>Ofsted School Webpage</v>
      </c>
      <c r="B27">
        <v>1134838</v>
      </c>
      <c r="C27">
        <v>131825</v>
      </c>
      <c r="D27">
        <v>8216004</v>
      </c>
      <c r="E27" t="s">
        <v>1562</v>
      </c>
      <c r="F27" t="s">
        <v>37</v>
      </c>
      <c r="G27" t="s">
        <v>209</v>
      </c>
      <c r="H27" t="s">
        <v>220</v>
      </c>
      <c r="I27" t="s">
        <v>220</v>
      </c>
      <c r="J27" t="s">
        <v>221</v>
      </c>
      <c r="K27" t="s">
        <v>1563</v>
      </c>
      <c r="L27" t="s">
        <v>184</v>
      </c>
      <c r="M27" t="s">
        <v>185</v>
      </c>
      <c r="N27" t="s">
        <v>223</v>
      </c>
      <c r="O27" t="s">
        <v>2730</v>
      </c>
      <c r="P27" t="s">
        <v>186</v>
      </c>
      <c r="Q27">
        <v>10043891</v>
      </c>
      <c r="R27" s="120">
        <v>43047</v>
      </c>
      <c r="S27" s="120">
        <v>43048</v>
      </c>
      <c r="T27" s="120">
        <v>43089</v>
      </c>
      <c r="U27" t="s">
        <v>2730</v>
      </c>
      <c r="V27" t="s">
        <v>187</v>
      </c>
      <c r="W27" t="s">
        <v>2730</v>
      </c>
      <c r="X27" t="s">
        <v>188</v>
      </c>
      <c r="Y27" t="s">
        <v>2730</v>
      </c>
      <c r="Z27" t="s">
        <v>2730</v>
      </c>
      <c r="AA27" t="s">
        <v>2730</v>
      </c>
      <c r="AB27" t="s">
        <v>2730</v>
      </c>
      <c r="AC27" t="s">
        <v>2730</v>
      </c>
      <c r="AD27" t="s">
        <v>2730</v>
      </c>
      <c r="AE27" t="s">
        <v>2730</v>
      </c>
      <c r="AF27" t="s">
        <v>2730</v>
      </c>
      <c r="AG27" t="s">
        <v>217</v>
      </c>
      <c r="AH27" t="s">
        <v>2730</v>
      </c>
      <c r="AI27" t="s">
        <v>60</v>
      </c>
      <c r="AJ27" t="s">
        <v>60</v>
      </c>
      <c r="AK27" t="s">
        <v>60</v>
      </c>
      <c r="AL27" t="s">
        <v>60</v>
      </c>
      <c r="AM27" t="s">
        <v>190</v>
      </c>
      <c r="AN27" t="s">
        <v>60</v>
      </c>
      <c r="AO27" t="s">
        <v>190</v>
      </c>
      <c r="AP27" t="s">
        <v>60</v>
      </c>
      <c r="AQ27" t="s">
        <v>60</v>
      </c>
      <c r="AR27" t="s">
        <v>60</v>
      </c>
      <c r="AS27" t="s">
        <v>60</v>
      </c>
      <c r="AT27" t="s">
        <v>60</v>
      </c>
      <c r="AU27" t="s">
        <v>59</v>
      </c>
      <c r="AV27" t="s">
        <v>60</v>
      </c>
      <c r="AW27" t="s">
        <v>59</v>
      </c>
      <c r="AX27" t="s">
        <v>59</v>
      </c>
      <c r="AY27" t="s">
        <v>218</v>
      </c>
      <c r="AZ27" t="s">
        <v>60</v>
      </c>
      <c r="BA27" t="s">
        <v>59</v>
      </c>
      <c r="BB27" t="s">
        <v>60</v>
      </c>
      <c r="BC27" t="s">
        <v>218</v>
      </c>
      <c r="BD27" t="s">
        <v>218</v>
      </c>
      <c r="BE27" t="s">
        <v>218</v>
      </c>
      <c r="BF27" t="s">
        <v>218</v>
      </c>
      <c r="BG27" t="s">
        <v>218</v>
      </c>
      <c r="BH27" t="s">
        <v>218</v>
      </c>
      <c r="BI27" t="s">
        <v>59</v>
      </c>
      <c r="BJ27" t="s">
        <v>60</v>
      </c>
      <c r="BK27" t="s">
        <v>60</v>
      </c>
      <c r="BL27" t="s">
        <v>60</v>
      </c>
      <c r="BM27" t="s">
        <v>59</v>
      </c>
      <c r="BN27" t="s">
        <v>60</v>
      </c>
      <c r="BO27" t="s">
        <v>60</v>
      </c>
      <c r="BP27" t="s">
        <v>60</v>
      </c>
      <c r="BQ27" t="s">
        <v>60</v>
      </c>
      <c r="BR27" t="s">
        <v>60</v>
      </c>
      <c r="BS27" t="s">
        <v>59</v>
      </c>
      <c r="BT27" t="s">
        <v>59</v>
      </c>
      <c r="BU27" t="s">
        <v>59</v>
      </c>
      <c r="BV27" t="s">
        <v>59</v>
      </c>
      <c r="BW27" t="s">
        <v>60</v>
      </c>
      <c r="BX27" t="s">
        <v>60</v>
      </c>
      <c r="BY27" t="s">
        <v>60</v>
      </c>
      <c r="BZ27" t="s">
        <v>59</v>
      </c>
      <c r="CA27" t="s">
        <v>59</v>
      </c>
      <c r="CB27" t="s">
        <v>59</v>
      </c>
      <c r="CC27" t="s">
        <v>59</v>
      </c>
      <c r="CD27" t="s">
        <v>59</v>
      </c>
      <c r="CE27" t="s">
        <v>60</v>
      </c>
      <c r="CF27" t="s">
        <v>60</v>
      </c>
      <c r="CG27" t="s">
        <v>60</v>
      </c>
      <c r="CH27" t="s">
        <v>60</v>
      </c>
      <c r="CI27" t="s">
        <v>60</v>
      </c>
      <c r="CJ27" t="s">
        <v>59</v>
      </c>
      <c r="CK27" t="s">
        <v>59</v>
      </c>
      <c r="CL27" t="s">
        <v>60</v>
      </c>
      <c r="CM27" t="s">
        <v>60</v>
      </c>
      <c r="CN27" t="s">
        <v>60</v>
      </c>
      <c r="CO27" t="s">
        <v>218</v>
      </c>
      <c r="CP27" t="s">
        <v>218</v>
      </c>
      <c r="CQ27" t="s">
        <v>218</v>
      </c>
      <c r="CR27" t="s">
        <v>190</v>
      </c>
      <c r="CS27" t="s">
        <v>190</v>
      </c>
      <c r="CT27" t="s">
        <v>190</v>
      </c>
      <c r="CU27" t="s">
        <v>190</v>
      </c>
      <c r="CV27" t="s">
        <v>190</v>
      </c>
      <c r="CW27" t="s">
        <v>60</v>
      </c>
      <c r="CX27" t="s">
        <v>60</v>
      </c>
      <c r="CY27" t="s">
        <v>60</v>
      </c>
      <c r="CZ27" t="s">
        <v>59</v>
      </c>
      <c r="DA27" t="s">
        <v>60</v>
      </c>
      <c r="DB27" t="s">
        <v>60</v>
      </c>
      <c r="DC27" t="s">
        <v>60</v>
      </c>
      <c r="DD27" t="s">
        <v>60</v>
      </c>
      <c r="DE27" t="s">
        <v>60</v>
      </c>
      <c r="DF27" t="s">
        <v>59</v>
      </c>
      <c r="DG27" t="s">
        <v>59</v>
      </c>
      <c r="DH27" t="s">
        <v>60</v>
      </c>
      <c r="DI27" t="s">
        <v>60</v>
      </c>
      <c r="DJ27" t="s">
        <v>59</v>
      </c>
      <c r="DK27" t="s">
        <v>59</v>
      </c>
      <c r="DL27" t="s">
        <v>59</v>
      </c>
      <c r="DM27" t="s">
        <v>59</v>
      </c>
      <c r="DN27" t="s">
        <v>59</v>
      </c>
      <c r="DO27" t="s">
        <v>218</v>
      </c>
      <c r="DP27" t="s">
        <v>59</v>
      </c>
      <c r="DQ27" t="s">
        <v>218</v>
      </c>
      <c r="DR27" t="s">
        <v>218</v>
      </c>
      <c r="DS27" t="s">
        <v>218</v>
      </c>
      <c r="DT27" t="s">
        <v>218</v>
      </c>
      <c r="DU27" t="s">
        <v>218</v>
      </c>
      <c r="DV27" t="s">
        <v>218</v>
      </c>
      <c r="DW27" t="s">
        <v>218</v>
      </c>
      <c r="DX27" t="s">
        <v>218</v>
      </c>
      <c r="DY27" t="s">
        <v>218</v>
      </c>
      <c r="DZ27" t="s">
        <v>218</v>
      </c>
      <c r="EA27" t="s">
        <v>218</v>
      </c>
      <c r="EB27" t="s">
        <v>218</v>
      </c>
      <c r="EC27" t="s">
        <v>218</v>
      </c>
      <c r="ED27" t="s">
        <v>218</v>
      </c>
      <c r="EE27" t="s">
        <v>59</v>
      </c>
      <c r="EF27" t="s">
        <v>59</v>
      </c>
      <c r="EG27" t="s">
        <v>59</v>
      </c>
      <c r="EH27" t="s">
        <v>59</v>
      </c>
      <c r="EI27" t="s">
        <v>59</v>
      </c>
      <c r="EJ27" t="s">
        <v>59</v>
      </c>
      <c r="EK27" t="s">
        <v>59</v>
      </c>
      <c r="EL27" t="s">
        <v>59</v>
      </c>
      <c r="EM27" t="s">
        <v>59</v>
      </c>
      <c r="EN27" t="s">
        <v>59</v>
      </c>
      <c r="EO27" t="s">
        <v>59</v>
      </c>
      <c r="EP27" t="s">
        <v>59</v>
      </c>
      <c r="EQ27" t="s">
        <v>59</v>
      </c>
      <c r="ER27" t="s">
        <v>59</v>
      </c>
      <c r="ES27" t="s">
        <v>59</v>
      </c>
      <c r="ET27" t="s">
        <v>59</v>
      </c>
      <c r="EU27" t="s">
        <v>59</v>
      </c>
      <c r="EV27" t="s">
        <v>59</v>
      </c>
      <c r="EW27" t="s">
        <v>59</v>
      </c>
      <c r="EX27" t="s">
        <v>59</v>
      </c>
      <c r="EY27" t="s">
        <v>59</v>
      </c>
      <c r="EZ27" t="s">
        <v>59</v>
      </c>
      <c r="FA27" t="s">
        <v>59</v>
      </c>
      <c r="FB27" t="s">
        <v>218</v>
      </c>
      <c r="FC27" t="s">
        <v>218</v>
      </c>
      <c r="FD27" t="s">
        <v>218</v>
      </c>
      <c r="FE27" t="s">
        <v>218</v>
      </c>
      <c r="FF27" t="s">
        <v>218</v>
      </c>
      <c r="FG27" t="s">
        <v>218</v>
      </c>
      <c r="FH27" t="s">
        <v>59</v>
      </c>
      <c r="FI27" t="s">
        <v>59</v>
      </c>
      <c r="FJ27" t="s">
        <v>59</v>
      </c>
      <c r="FK27" t="s">
        <v>59</v>
      </c>
      <c r="FL27" t="s">
        <v>190</v>
      </c>
      <c r="FM27" t="s">
        <v>190</v>
      </c>
      <c r="FN27" t="s">
        <v>190</v>
      </c>
      <c r="FO27" t="s">
        <v>218</v>
      </c>
      <c r="FP27" t="s">
        <v>60</v>
      </c>
      <c r="FQ27" t="s">
        <v>60</v>
      </c>
      <c r="FR27" t="s">
        <v>60</v>
      </c>
      <c r="FS27" t="s">
        <v>218</v>
      </c>
      <c r="FT27" t="s">
        <v>59</v>
      </c>
      <c r="FU27" t="s">
        <v>60</v>
      </c>
      <c r="FV27" t="s">
        <v>190</v>
      </c>
      <c r="FW27" t="s">
        <v>190</v>
      </c>
      <c r="FX27" t="s">
        <v>190</v>
      </c>
      <c r="FY27" t="s">
        <v>190</v>
      </c>
      <c r="FZ27" t="s">
        <v>60</v>
      </c>
      <c r="GA27" t="s">
        <v>59</v>
      </c>
      <c r="GB27" t="s">
        <v>60</v>
      </c>
      <c r="GC27" t="s">
        <v>59</v>
      </c>
      <c r="GD27" t="s">
        <v>59</v>
      </c>
      <c r="GE27" t="s">
        <v>59</v>
      </c>
      <c r="GF27" t="s">
        <v>59</v>
      </c>
      <c r="GG27" t="s">
        <v>59</v>
      </c>
      <c r="GH27" t="s">
        <v>60</v>
      </c>
      <c r="GI27" t="s">
        <v>60</v>
      </c>
      <c r="GJ27" t="s">
        <v>59</v>
      </c>
      <c r="GK27" t="s">
        <v>218</v>
      </c>
      <c r="GL27" t="s">
        <v>60</v>
      </c>
      <c r="GM27" t="s">
        <v>59</v>
      </c>
      <c r="GN27" t="s">
        <v>59</v>
      </c>
      <c r="GO27" t="s">
        <v>59</v>
      </c>
      <c r="GP27" t="s">
        <v>59</v>
      </c>
      <c r="GQ27" t="s">
        <v>59</v>
      </c>
      <c r="GR27" t="s">
        <v>59</v>
      </c>
      <c r="GS27" t="s">
        <v>59</v>
      </c>
      <c r="GT27" t="s">
        <v>218</v>
      </c>
      <c r="GU27" t="s">
        <v>218</v>
      </c>
      <c r="GV27" t="s">
        <v>60</v>
      </c>
      <c r="GW27" t="s">
        <v>59</v>
      </c>
      <c r="GX27" t="s">
        <v>59</v>
      </c>
      <c r="GY27" t="s">
        <v>59</v>
      </c>
      <c r="GZ27" t="s">
        <v>218</v>
      </c>
      <c r="HA27" t="s">
        <v>59</v>
      </c>
      <c r="HB27" t="s">
        <v>59</v>
      </c>
      <c r="HC27" t="s">
        <v>59</v>
      </c>
      <c r="HD27" t="s">
        <v>59</v>
      </c>
      <c r="HE27" t="s">
        <v>59</v>
      </c>
      <c r="HF27" t="s">
        <v>59</v>
      </c>
      <c r="HG27" t="s">
        <v>59</v>
      </c>
      <c r="HH27" t="s">
        <v>59</v>
      </c>
      <c r="HI27" t="s">
        <v>59</v>
      </c>
      <c r="HJ27" t="s">
        <v>59</v>
      </c>
      <c r="HK27" t="s">
        <v>59</v>
      </c>
      <c r="HL27" t="s">
        <v>60</v>
      </c>
      <c r="HM27" t="s">
        <v>59</v>
      </c>
      <c r="HN27" t="s">
        <v>60</v>
      </c>
      <c r="HO27" t="s">
        <v>218</v>
      </c>
      <c r="HP27" t="s">
        <v>190</v>
      </c>
      <c r="HQ27" t="s">
        <v>190</v>
      </c>
      <c r="HR27" t="s">
        <v>190</v>
      </c>
      <c r="HS27" t="s">
        <v>190</v>
      </c>
      <c r="HT27" t="s">
        <v>190</v>
      </c>
      <c r="HU27" t="s">
        <v>190</v>
      </c>
      <c r="HV27" t="s">
        <v>190</v>
      </c>
      <c r="HW27" t="s">
        <v>190</v>
      </c>
      <c r="HX27" t="s">
        <v>190</v>
      </c>
      <c r="HY27" t="s">
        <v>190</v>
      </c>
      <c r="HZ27" t="s">
        <v>190</v>
      </c>
      <c r="IA27" t="s">
        <v>190</v>
      </c>
      <c r="IB27" t="s">
        <v>190</v>
      </c>
      <c r="IC27" t="s">
        <v>190</v>
      </c>
      <c r="ID27" t="s">
        <v>190</v>
      </c>
      <c r="IE27" t="s">
        <v>190</v>
      </c>
      <c r="IF27" t="s">
        <v>60</v>
      </c>
      <c r="IG27" t="s">
        <v>60</v>
      </c>
      <c r="IH27" t="s">
        <v>60</v>
      </c>
      <c r="II27" t="s">
        <v>60</v>
      </c>
      <c r="IJ27" t="s">
        <v>128</v>
      </c>
      <c r="IK27" t="s">
        <v>128</v>
      </c>
      <c r="IL27" t="s">
        <v>128</v>
      </c>
      <c r="IM27" t="s">
        <v>2730</v>
      </c>
      <c r="IN27">
        <v>10</v>
      </c>
      <c r="IO27" t="s">
        <v>2730</v>
      </c>
      <c r="IP27" t="s">
        <v>2730</v>
      </c>
      <c r="IQ27">
        <v>15</v>
      </c>
      <c r="IR27">
        <v>7</v>
      </c>
      <c r="IS27" t="s">
        <v>2730</v>
      </c>
      <c r="IT27" t="s">
        <v>2730</v>
      </c>
      <c r="IU27">
        <v>8</v>
      </c>
      <c r="IV27">
        <v>1</v>
      </c>
      <c r="IW27" t="s">
        <v>2730</v>
      </c>
      <c r="IX27" t="s">
        <v>2730</v>
      </c>
      <c r="IY27">
        <v>10</v>
      </c>
      <c r="IZ27">
        <v>35</v>
      </c>
      <c r="JA27" t="s">
        <v>2730</v>
      </c>
      <c r="JB27" t="s">
        <v>2730</v>
      </c>
      <c r="JC27">
        <v>3</v>
      </c>
      <c r="JD27">
        <v>8</v>
      </c>
      <c r="JE27" t="s">
        <v>2730</v>
      </c>
      <c r="JF27" t="s">
        <v>2730</v>
      </c>
      <c r="JG27">
        <v>8</v>
      </c>
      <c r="JH27">
        <v>22</v>
      </c>
      <c r="JI27" t="s">
        <v>2730</v>
      </c>
      <c r="JJ27" t="s">
        <v>2730</v>
      </c>
      <c r="JK27">
        <v>4</v>
      </c>
      <c r="JL27" t="s">
        <v>2730</v>
      </c>
      <c r="JM27" t="s">
        <v>2730</v>
      </c>
      <c r="JN27" t="s">
        <v>2730</v>
      </c>
      <c r="JO27" t="s">
        <v>2730</v>
      </c>
      <c r="JP27" t="s">
        <v>2730</v>
      </c>
      <c r="JQ27">
        <v>4</v>
      </c>
    </row>
    <row r="28" spans="1:277">
      <c r="A28" s="171" t="str">
        <f>HYPERLINK("http://www.ofsted.gov.uk/inspection-reports/find-inspection-report/provider/ELS/138801 ","Ofsted School Webpage")</f>
        <v>Ofsted School Webpage</v>
      </c>
      <c r="B28">
        <v>1133935</v>
      </c>
      <c r="C28">
        <v>138801</v>
      </c>
      <c r="D28">
        <v>3166002</v>
      </c>
      <c r="E28" t="s">
        <v>518</v>
      </c>
      <c r="F28" t="s">
        <v>37</v>
      </c>
      <c r="G28" t="s">
        <v>209</v>
      </c>
      <c r="H28" t="s">
        <v>232</v>
      </c>
      <c r="I28" t="s">
        <v>232</v>
      </c>
      <c r="J28" t="s">
        <v>505</v>
      </c>
      <c r="K28" t="s">
        <v>519</v>
      </c>
      <c r="L28" t="s">
        <v>184</v>
      </c>
      <c r="M28" t="s">
        <v>185</v>
      </c>
      <c r="N28" t="s">
        <v>223</v>
      </c>
      <c r="O28" t="s">
        <v>2730</v>
      </c>
      <c r="P28" t="s">
        <v>186</v>
      </c>
      <c r="Q28">
        <v>10037571</v>
      </c>
      <c r="R28" s="120">
        <v>43010</v>
      </c>
      <c r="S28" s="120">
        <v>43010</v>
      </c>
      <c r="T28" s="120">
        <v>43047</v>
      </c>
      <c r="U28" t="s">
        <v>2730</v>
      </c>
      <c r="V28" t="s">
        <v>187</v>
      </c>
      <c r="W28" t="s">
        <v>2730</v>
      </c>
      <c r="X28" t="s">
        <v>188</v>
      </c>
      <c r="Y28" t="s">
        <v>2730</v>
      </c>
      <c r="Z28" t="s">
        <v>2730</v>
      </c>
      <c r="AA28" t="s">
        <v>2730</v>
      </c>
      <c r="AB28" t="s">
        <v>2730</v>
      </c>
      <c r="AC28" t="s">
        <v>2730</v>
      </c>
      <c r="AD28" t="s">
        <v>2730</v>
      </c>
      <c r="AE28" t="s">
        <v>2730</v>
      </c>
      <c r="AF28" t="s">
        <v>2730</v>
      </c>
      <c r="AG28" t="s">
        <v>189</v>
      </c>
      <c r="AH28" t="s">
        <v>2730</v>
      </c>
      <c r="AI28" t="s">
        <v>203</v>
      </c>
      <c r="AJ28" t="s">
        <v>203</v>
      </c>
      <c r="AK28" t="s">
        <v>59</v>
      </c>
      <c r="AL28" t="s">
        <v>59</v>
      </c>
      <c r="AM28" t="s">
        <v>203</v>
      </c>
      <c r="AN28" t="s">
        <v>59</v>
      </c>
      <c r="AO28" t="s">
        <v>59</v>
      </c>
      <c r="AP28" t="s">
        <v>59</v>
      </c>
      <c r="AQ28" t="s">
        <v>203</v>
      </c>
      <c r="AR28" t="s">
        <v>203</v>
      </c>
      <c r="AS28" t="s">
        <v>203</v>
      </c>
      <c r="AT28" t="s">
        <v>203</v>
      </c>
      <c r="AU28" t="s">
        <v>203</v>
      </c>
      <c r="AV28" t="s">
        <v>59</v>
      </c>
      <c r="AW28" t="s">
        <v>59</v>
      </c>
      <c r="AX28" t="s">
        <v>203</v>
      </c>
      <c r="AY28" t="s">
        <v>203</v>
      </c>
      <c r="AZ28" t="s">
        <v>203</v>
      </c>
      <c r="BA28" t="s">
        <v>203</v>
      </c>
      <c r="BB28" t="s">
        <v>203</v>
      </c>
      <c r="BC28" t="s">
        <v>203</v>
      </c>
      <c r="BD28" t="s">
        <v>203</v>
      </c>
      <c r="BE28" t="s">
        <v>203</v>
      </c>
      <c r="BF28" t="s">
        <v>203</v>
      </c>
      <c r="BG28" t="s">
        <v>191</v>
      </c>
      <c r="BH28" t="s">
        <v>191</v>
      </c>
      <c r="BI28" t="s">
        <v>203</v>
      </c>
      <c r="BJ28" t="s">
        <v>203</v>
      </c>
      <c r="BK28" t="s">
        <v>59</v>
      </c>
      <c r="BL28" t="s">
        <v>203</v>
      </c>
      <c r="BM28" t="s">
        <v>203</v>
      </c>
      <c r="BN28" t="s">
        <v>203</v>
      </c>
      <c r="BO28" t="s">
        <v>59</v>
      </c>
      <c r="BP28" t="s">
        <v>203</v>
      </c>
      <c r="BQ28" t="s">
        <v>203</v>
      </c>
      <c r="BR28" t="s">
        <v>59</v>
      </c>
      <c r="BS28" t="s">
        <v>203</v>
      </c>
      <c r="BT28" t="s">
        <v>203</v>
      </c>
      <c r="BU28" t="s">
        <v>203</v>
      </c>
      <c r="BV28" t="s">
        <v>59</v>
      </c>
      <c r="BW28" t="s">
        <v>203</v>
      </c>
      <c r="BX28" t="s">
        <v>203</v>
      </c>
      <c r="BY28" t="s">
        <v>203</v>
      </c>
      <c r="BZ28" t="s">
        <v>203</v>
      </c>
      <c r="CA28" t="s">
        <v>203</v>
      </c>
      <c r="CB28" t="s">
        <v>203</v>
      </c>
      <c r="CC28" t="s">
        <v>203</v>
      </c>
      <c r="CD28" t="s">
        <v>203</v>
      </c>
      <c r="CE28" t="s">
        <v>203</v>
      </c>
      <c r="CF28" t="s">
        <v>203</v>
      </c>
      <c r="CG28" t="s">
        <v>203</v>
      </c>
      <c r="CH28" t="s">
        <v>203</v>
      </c>
      <c r="CI28" t="s">
        <v>203</v>
      </c>
      <c r="CJ28" t="s">
        <v>203</v>
      </c>
      <c r="CK28" t="s">
        <v>203</v>
      </c>
      <c r="CL28" t="s">
        <v>59</v>
      </c>
      <c r="CM28" t="s">
        <v>59</v>
      </c>
      <c r="CN28" t="s">
        <v>59</v>
      </c>
      <c r="CO28" t="s">
        <v>203</v>
      </c>
      <c r="CP28" t="s">
        <v>191</v>
      </c>
      <c r="CQ28" t="s">
        <v>191</v>
      </c>
      <c r="CR28" t="s">
        <v>203</v>
      </c>
      <c r="CS28" t="s">
        <v>203</v>
      </c>
      <c r="CT28" t="s">
        <v>203</v>
      </c>
      <c r="CU28" t="s">
        <v>203</v>
      </c>
      <c r="CV28" t="s">
        <v>203</v>
      </c>
      <c r="CW28" t="s">
        <v>59</v>
      </c>
      <c r="CX28" t="s">
        <v>59</v>
      </c>
      <c r="CY28" t="s">
        <v>203</v>
      </c>
      <c r="CZ28" t="s">
        <v>203</v>
      </c>
      <c r="DA28" t="s">
        <v>203</v>
      </c>
      <c r="DB28" t="s">
        <v>203</v>
      </c>
      <c r="DC28" t="s">
        <v>203</v>
      </c>
      <c r="DD28" t="s">
        <v>203</v>
      </c>
      <c r="DE28" t="s">
        <v>59</v>
      </c>
      <c r="DF28" t="s">
        <v>203</v>
      </c>
      <c r="DG28" t="s">
        <v>203</v>
      </c>
      <c r="DH28" t="s">
        <v>59</v>
      </c>
      <c r="DI28" t="s">
        <v>203</v>
      </c>
      <c r="DJ28" t="s">
        <v>203</v>
      </c>
      <c r="DK28" t="s">
        <v>203</v>
      </c>
      <c r="DL28" t="s">
        <v>203</v>
      </c>
      <c r="DM28" t="s">
        <v>203</v>
      </c>
      <c r="DN28" t="s">
        <v>203</v>
      </c>
      <c r="DO28" t="s">
        <v>203</v>
      </c>
      <c r="DP28" t="s">
        <v>59</v>
      </c>
      <c r="DQ28" t="s">
        <v>203</v>
      </c>
      <c r="DR28" t="s">
        <v>203</v>
      </c>
      <c r="DS28" t="s">
        <v>203</v>
      </c>
      <c r="DT28" t="s">
        <v>203</v>
      </c>
      <c r="DU28" t="s">
        <v>203</v>
      </c>
      <c r="DV28" t="s">
        <v>203</v>
      </c>
      <c r="DW28" t="s">
        <v>203</v>
      </c>
      <c r="DX28" t="s">
        <v>203</v>
      </c>
      <c r="DY28" t="s">
        <v>203</v>
      </c>
      <c r="DZ28" t="s">
        <v>203</v>
      </c>
      <c r="EA28" t="s">
        <v>203</v>
      </c>
      <c r="EB28" t="s">
        <v>203</v>
      </c>
      <c r="EC28" t="s">
        <v>203</v>
      </c>
      <c r="ED28" t="s">
        <v>203</v>
      </c>
      <c r="EE28" t="s">
        <v>203</v>
      </c>
      <c r="EF28" t="s">
        <v>203</v>
      </c>
      <c r="EG28" t="s">
        <v>203</v>
      </c>
      <c r="EH28" t="s">
        <v>203</v>
      </c>
      <c r="EI28" t="s">
        <v>203</v>
      </c>
      <c r="EJ28" t="s">
        <v>203</v>
      </c>
      <c r="EK28" t="s">
        <v>203</v>
      </c>
      <c r="EL28" t="s">
        <v>203</v>
      </c>
      <c r="EM28" t="s">
        <v>203</v>
      </c>
      <c r="EN28" t="s">
        <v>203</v>
      </c>
      <c r="EO28" t="s">
        <v>203</v>
      </c>
      <c r="EP28" t="s">
        <v>203</v>
      </c>
      <c r="EQ28" t="s">
        <v>203</v>
      </c>
      <c r="ER28" t="s">
        <v>203</v>
      </c>
      <c r="ES28" t="s">
        <v>203</v>
      </c>
      <c r="ET28" t="s">
        <v>203</v>
      </c>
      <c r="EU28" t="s">
        <v>203</v>
      </c>
      <c r="EV28" t="s">
        <v>203</v>
      </c>
      <c r="EW28" t="s">
        <v>203</v>
      </c>
      <c r="EX28" t="s">
        <v>203</v>
      </c>
      <c r="EY28" t="s">
        <v>203</v>
      </c>
      <c r="EZ28" t="s">
        <v>203</v>
      </c>
      <c r="FA28" t="s">
        <v>203</v>
      </c>
      <c r="FB28" t="s">
        <v>203</v>
      </c>
      <c r="FC28" t="s">
        <v>203</v>
      </c>
      <c r="FD28" t="s">
        <v>203</v>
      </c>
      <c r="FE28" t="s">
        <v>203</v>
      </c>
      <c r="FF28" t="s">
        <v>203</v>
      </c>
      <c r="FG28" t="s">
        <v>203</v>
      </c>
      <c r="FH28" t="s">
        <v>203</v>
      </c>
      <c r="FI28" t="s">
        <v>203</v>
      </c>
      <c r="FJ28" t="s">
        <v>203</v>
      </c>
      <c r="FK28" t="s">
        <v>203</v>
      </c>
      <c r="FL28" t="s">
        <v>203</v>
      </c>
      <c r="FM28" t="s">
        <v>203</v>
      </c>
      <c r="FN28" t="s">
        <v>203</v>
      </c>
      <c r="FO28" t="s">
        <v>203</v>
      </c>
      <c r="FP28" t="s">
        <v>203</v>
      </c>
      <c r="FQ28" t="s">
        <v>203</v>
      </c>
      <c r="FR28" t="s">
        <v>203</v>
      </c>
      <c r="FS28" t="s">
        <v>203</v>
      </c>
      <c r="FT28" t="s">
        <v>203</v>
      </c>
      <c r="FU28" t="s">
        <v>59</v>
      </c>
      <c r="FV28" t="s">
        <v>203</v>
      </c>
      <c r="FW28" t="s">
        <v>203</v>
      </c>
      <c r="FX28" t="s">
        <v>203</v>
      </c>
      <c r="FY28" t="s">
        <v>203</v>
      </c>
      <c r="FZ28" t="s">
        <v>203</v>
      </c>
      <c r="GA28" t="s">
        <v>203</v>
      </c>
      <c r="GB28" t="s">
        <v>203</v>
      </c>
      <c r="GC28" t="s">
        <v>203</v>
      </c>
      <c r="GD28" t="s">
        <v>203</v>
      </c>
      <c r="GE28" t="s">
        <v>203</v>
      </c>
      <c r="GF28" t="s">
        <v>203</v>
      </c>
      <c r="GG28" t="s">
        <v>203</v>
      </c>
      <c r="GH28" t="s">
        <v>203</v>
      </c>
      <c r="GI28" t="s">
        <v>203</v>
      </c>
      <c r="GJ28" t="s">
        <v>203</v>
      </c>
      <c r="GK28" t="s">
        <v>203</v>
      </c>
      <c r="GL28" t="s">
        <v>59</v>
      </c>
      <c r="GM28" t="s">
        <v>203</v>
      </c>
      <c r="GN28" t="s">
        <v>203</v>
      </c>
      <c r="GO28" t="s">
        <v>59</v>
      </c>
      <c r="GP28" t="s">
        <v>203</v>
      </c>
      <c r="GQ28" t="s">
        <v>203</v>
      </c>
      <c r="GR28" t="s">
        <v>203</v>
      </c>
      <c r="GS28" t="s">
        <v>203</v>
      </c>
      <c r="GT28" t="s">
        <v>203</v>
      </c>
      <c r="GU28" t="s">
        <v>203</v>
      </c>
      <c r="GV28" t="s">
        <v>59</v>
      </c>
      <c r="GW28" t="s">
        <v>59</v>
      </c>
      <c r="GX28" t="s">
        <v>203</v>
      </c>
      <c r="GY28" t="s">
        <v>59</v>
      </c>
      <c r="GZ28" t="s">
        <v>191</v>
      </c>
      <c r="HA28" t="s">
        <v>59</v>
      </c>
      <c r="HB28" t="s">
        <v>59</v>
      </c>
      <c r="HC28" t="s">
        <v>203</v>
      </c>
      <c r="HD28" t="s">
        <v>203</v>
      </c>
      <c r="HE28" t="s">
        <v>203</v>
      </c>
      <c r="HF28" t="s">
        <v>203</v>
      </c>
      <c r="HG28" t="s">
        <v>203</v>
      </c>
      <c r="HH28" t="s">
        <v>203</v>
      </c>
      <c r="HI28" t="s">
        <v>203</v>
      </c>
      <c r="HJ28" t="s">
        <v>203</v>
      </c>
      <c r="HK28" t="s">
        <v>203</v>
      </c>
      <c r="HL28" t="s">
        <v>203</v>
      </c>
      <c r="HM28" t="s">
        <v>203</v>
      </c>
      <c r="HN28" t="s">
        <v>203</v>
      </c>
      <c r="HO28" t="s">
        <v>203</v>
      </c>
      <c r="HP28" t="s">
        <v>59</v>
      </c>
      <c r="HQ28" t="s">
        <v>59</v>
      </c>
      <c r="HR28" t="s">
        <v>59</v>
      </c>
      <c r="HS28" t="s">
        <v>59</v>
      </c>
      <c r="HT28" t="s">
        <v>59</v>
      </c>
      <c r="HU28" t="s">
        <v>59</v>
      </c>
      <c r="HV28" t="s">
        <v>59</v>
      </c>
      <c r="HW28" t="s">
        <v>59</v>
      </c>
      <c r="HX28" t="s">
        <v>59</v>
      </c>
      <c r="HY28" t="s">
        <v>59</v>
      </c>
      <c r="HZ28" t="s">
        <v>59</v>
      </c>
      <c r="IA28" t="s">
        <v>59</v>
      </c>
      <c r="IB28" t="s">
        <v>59</v>
      </c>
      <c r="IC28" t="s">
        <v>59</v>
      </c>
      <c r="ID28" t="s">
        <v>59</v>
      </c>
      <c r="IE28" t="s">
        <v>59</v>
      </c>
      <c r="IF28" t="s">
        <v>59</v>
      </c>
      <c r="IG28" t="s">
        <v>59</v>
      </c>
      <c r="IH28" t="s">
        <v>59</v>
      </c>
      <c r="II28" t="s">
        <v>59</v>
      </c>
      <c r="IJ28" t="s">
        <v>129</v>
      </c>
      <c r="IK28" t="s">
        <v>198</v>
      </c>
      <c r="IL28" t="s">
        <v>128</v>
      </c>
      <c r="IM28" t="s">
        <v>199</v>
      </c>
      <c r="IN28">
        <v>6</v>
      </c>
      <c r="IO28">
        <v>24</v>
      </c>
      <c r="IP28">
        <v>2</v>
      </c>
      <c r="IQ28" t="s">
        <v>2730</v>
      </c>
      <c r="IR28" t="s">
        <v>2730</v>
      </c>
      <c r="IS28">
        <v>15</v>
      </c>
      <c r="IT28" t="s">
        <v>2730</v>
      </c>
      <c r="IU28" t="s">
        <v>2730</v>
      </c>
      <c r="IV28">
        <v>5</v>
      </c>
      <c r="IW28">
        <v>12</v>
      </c>
      <c r="IX28">
        <v>2</v>
      </c>
      <c r="IY28" t="s">
        <v>2730</v>
      </c>
      <c r="IZ28">
        <v>3</v>
      </c>
      <c r="JA28">
        <v>56</v>
      </c>
      <c r="JB28" t="s">
        <v>2730</v>
      </c>
      <c r="JC28" t="s">
        <v>2730</v>
      </c>
      <c r="JD28">
        <v>1</v>
      </c>
      <c r="JE28">
        <v>25</v>
      </c>
      <c r="JF28" t="s">
        <v>2730</v>
      </c>
      <c r="JG28" t="s">
        <v>2730</v>
      </c>
      <c r="JH28">
        <v>7</v>
      </c>
      <c r="JI28">
        <v>22</v>
      </c>
      <c r="JJ28">
        <v>1</v>
      </c>
      <c r="JK28" t="s">
        <v>2730</v>
      </c>
      <c r="JL28">
        <v>16</v>
      </c>
      <c r="JM28" t="s">
        <v>2730</v>
      </c>
      <c r="JN28" t="s">
        <v>2730</v>
      </c>
      <c r="JO28">
        <v>4</v>
      </c>
      <c r="JP28" t="s">
        <v>2730</v>
      </c>
      <c r="JQ28" t="s">
        <v>2730</v>
      </c>
    </row>
    <row r="29" spans="1:277">
      <c r="A29" s="171" t="str">
        <f>HYPERLINK("http://www.ofsted.gov.uk/inspection-reports/find-inspection-report/provider/ELS/117631 ","Ofsted School Webpage")</f>
        <v>Ofsted School Webpage</v>
      </c>
      <c r="B29">
        <v>1135143</v>
      </c>
      <c r="C29">
        <v>117631</v>
      </c>
      <c r="D29">
        <v>9196109</v>
      </c>
      <c r="E29" t="s">
        <v>2754</v>
      </c>
      <c r="F29" t="s">
        <v>37</v>
      </c>
      <c r="G29" t="s">
        <v>209</v>
      </c>
      <c r="H29" t="s">
        <v>220</v>
      </c>
      <c r="I29" t="s">
        <v>220</v>
      </c>
      <c r="J29" t="s">
        <v>822</v>
      </c>
      <c r="K29" t="s">
        <v>2755</v>
      </c>
      <c r="L29" t="s">
        <v>184</v>
      </c>
      <c r="M29" t="s">
        <v>185</v>
      </c>
      <c r="N29" t="s">
        <v>184</v>
      </c>
      <c r="O29" t="s">
        <v>2730</v>
      </c>
      <c r="P29" t="s">
        <v>2756</v>
      </c>
      <c r="Q29">
        <v>10043403</v>
      </c>
      <c r="R29" s="120">
        <v>43060</v>
      </c>
      <c r="S29" s="120">
        <v>43061</v>
      </c>
      <c r="T29" s="120">
        <v>43084</v>
      </c>
      <c r="U29" t="s">
        <v>2730</v>
      </c>
      <c r="V29" t="s">
        <v>187</v>
      </c>
      <c r="W29" t="s">
        <v>2730</v>
      </c>
      <c r="X29" t="s">
        <v>188</v>
      </c>
      <c r="Y29" t="s">
        <v>2730</v>
      </c>
      <c r="Z29" t="s">
        <v>2730</v>
      </c>
      <c r="AA29" t="s">
        <v>2730</v>
      </c>
      <c r="AB29" t="s">
        <v>2730</v>
      </c>
      <c r="AC29" t="s">
        <v>2730</v>
      </c>
      <c r="AD29" t="s">
        <v>2730</v>
      </c>
      <c r="AE29" t="s">
        <v>2730</v>
      </c>
      <c r="AF29" t="s">
        <v>2730</v>
      </c>
      <c r="AG29" t="s">
        <v>217</v>
      </c>
      <c r="AH29" t="s">
        <v>2730</v>
      </c>
      <c r="AI29" t="s">
        <v>190</v>
      </c>
      <c r="AJ29" t="s">
        <v>190</v>
      </c>
      <c r="AK29" t="s">
        <v>59</v>
      </c>
      <c r="AL29" t="s">
        <v>190</v>
      </c>
      <c r="AM29" t="s">
        <v>190</v>
      </c>
      <c r="AN29" t="s">
        <v>190</v>
      </c>
      <c r="AO29" t="s">
        <v>59</v>
      </c>
      <c r="AP29" t="s">
        <v>60</v>
      </c>
      <c r="AQ29" t="s">
        <v>190</v>
      </c>
      <c r="AR29" t="s">
        <v>190</v>
      </c>
      <c r="AS29" t="s">
        <v>190</v>
      </c>
      <c r="AT29" t="s">
        <v>190</v>
      </c>
      <c r="AU29" t="s">
        <v>190</v>
      </c>
      <c r="AV29" t="s">
        <v>190</v>
      </c>
      <c r="AW29" t="s">
        <v>190</v>
      </c>
      <c r="AX29" t="s">
        <v>190</v>
      </c>
      <c r="AY29" t="s">
        <v>190</v>
      </c>
      <c r="AZ29" t="s">
        <v>190</v>
      </c>
      <c r="BA29" t="s">
        <v>190</v>
      </c>
      <c r="BB29" t="s">
        <v>190</v>
      </c>
      <c r="BC29" t="s">
        <v>190</v>
      </c>
      <c r="BD29" t="s">
        <v>190</v>
      </c>
      <c r="BE29" t="s">
        <v>190</v>
      </c>
      <c r="BF29" t="s">
        <v>190</v>
      </c>
      <c r="BG29" t="s">
        <v>190</v>
      </c>
      <c r="BH29" t="s">
        <v>190</v>
      </c>
      <c r="BI29" t="s">
        <v>190</v>
      </c>
      <c r="BJ29" t="s">
        <v>190</v>
      </c>
      <c r="BK29" t="s">
        <v>60</v>
      </c>
      <c r="BL29" t="s">
        <v>60</v>
      </c>
      <c r="BM29" t="s">
        <v>190</v>
      </c>
      <c r="BN29" t="s">
        <v>60</v>
      </c>
      <c r="BO29" t="s">
        <v>60</v>
      </c>
      <c r="BP29" t="s">
        <v>60</v>
      </c>
      <c r="BQ29" t="s">
        <v>190</v>
      </c>
      <c r="BR29" t="s">
        <v>60</v>
      </c>
      <c r="BS29" t="s">
        <v>59</v>
      </c>
      <c r="BT29" t="s">
        <v>190</v>
      </c>
      <c r="BU29" t="s">
        <v>190</v>
      </c>
      <c r="BV29" t="s">
        <v>190</v>
      </c>
      <c r="BW29" t="s">
        <v>190</v>
      </c>
      <c r="BX29" t="s">
        <v>190</v>
      </c>
      <c r="BY29" t="s">
        <v>190</v>
      </c>
      <c r="BZ29" t="s">
        <v>190</v>
      </c>
      <c r="CA29" t="s">
        <v>190</v>
      </c>
      <c r="CB29" t="s">
        <v>190</v>
      </c>
      <c r="CC29" t="s">
        <v>190</v>
      </c>
      <c r="CD29" t="s">
        <v>190</v>
      </c>
      <c r="CE29" t="s">
        <v>190</v>
      </c>
      <c r="CF29" t="s">
        <v>190</v>
      </c>
      <c r="CG29" t="s">
        <v>190</v>
      </c>
      <c r="CH29" t="s">
        <v>190</v>
      </c>
      <c r="CI29" t="s">
        <v>190</v>
      </c>
      <c r="CJ29" t="s">
        <v>190</v>
      </c>
      <c r="CK29" t="s">
        <v>190</v>
      </c>
      <c r="CL29" t="s">
        <v>59</v>
      </c>
      <c r="CM29" t="s">
        <v>59</v>
      </c>
      <c r="CN29" t="s">
        <v>59</v>
      </c>
      <c r="CO29" t="s">
        <v>190</v>
      </c>
      <c r="CP29" t="s">
        <v>190</v>
      </c>
      <c r="CQ29" t="s">
        <v>190</v>
      </c>
      <c r="CR29" t="s">
        <v>59</v>
      </c>
      <c r="CS29" t="s">
        <v>190</v>
      </c>
      <c r="CT29" t="s">
        <v>59</v>
      </c>
      <c r="CU29" t="s">
        <v>190</v>
      </c>
      <c r="CV29" t="s">
        <v>190</v>
      </c>
      <c r="CW29" t="s">
        <v>190</v>
      </c>
      <c r="CX29" t="s">
        <v>190</v>
      </c>
      <c r="CY29" t="s">
        <v>190</v>
      </c>
      <c r="CZ29" t="s">
        <v>190</v>
      </c>
      <c r="DA29" t="s">
        <v>190</v>
      </c>
      <c r="DB29" t="s">
        <v>59</v>
      </c>
      <c r="DC29" t="s">
        <v>59</v>
      </c>
      <c r="DD29" t="s">
        <v>59</v>
      </c>
      <c r="DE29" t="s">
        <v>190</v>
      </c>
      <c r="DF29" t="s">
        <v>190</v>
      </c>
      <c r="DG29" t="s">
        <v>190</v>
      </c>
      <c r="DH29" t="s">
        <v>190</v>
      </c>
      <c r="DI29" t="s">
        <v>190</v>
      </c>
      <c r="DJ29" t="s">
        <v>190</v>
      </c>
      <c r="DK29" t="s">
        <v>190</v>
      </c>
      <c r="DL29" t="s">
        <v>190</v>
      </c>
      <c r="DM29" t="s">
        <v>190</v>
      </c>
      <c r="DN29" t="s">
        <v>190</v>
      </c>
      <c r="DO29" t="s">
        <v>190</v>
      </c>
      <c r="DP29" t="s">
        <v>190</v>
      </c>
      <c r="DQ29" t="s">
        <v>190</v>
      </c>
      <c r="DR29" t="s">
        <v>190</v>
      </c>
      <c r="DS29" t="s">
        <v>190</v>
      </c>
      <c r="DT29" t="s">
        <v>190</v>
      </c>
      <c r="DU29" t="s">
        <v>190</v>
      </c>
      <c r="DV29" t="s">
        <v>190</v>
      </c>
      <c r="DW29" t="s">
        <v>190</v>
      </c>
      <c r="DX29" t="s">
        <v>190</v>
      </c>
      <c r="DY29" t="s">
        <v>190</v>
      </c>
      <c r="DZ29" t="s">
        <v>190</v>
      </c>
      <c r="EA29" t="s">
        <v>190</v>
      </c>
      <c r="EB29" t="s">
        <v>190</v>
      </c>
      <c r="EC29" t="s">
        <v>190</v>
      </c>
      <c r="ED29" t="s">
        <v>190</v>
      </c>
      <c r="EE29" t="s">
        <v>190</v>
      </c>
      <c r="EF29" t="s">
        <v>190</v>
      </c>
      <c r="EG29" t="s">
        <v>190</v>
      </c>
      <c r="EH29" t="s">
        <v>190</v>
      </c>
      <c r="EI29" t="s">
        <v>190</v>
      </c>
      <c r="EJ29" t="s">
        <v>190</v>
      </c>
      <c r="EK29" t="s">
        <v>190</v>
      </c>
      <c r="EL29" t="s">
        <v>190</v>
      </c>
      <c r="EM29" t="s">
        <v>190</v>
      </c>
      <c r="EN29" t="s">
        <v>190</v>
      </c>
      <c r="EO29" t="s">
        <v>190</v>
      </c>
      <c r="EP29" t="s">
        <v>190</v>
      </c>
      <c r="EQ29" t="s">
        <v>190</v>
      </c>
      <c r="ER29" t="s">
        <v>190</v>
      </c>
      <c r="ES29" t="s">
        <v>190</v>
      </c>
      <c r="ET29" t="s">
        <v>190</v>
      </c>
      <c r="EU29" t="s">
        <v>190</v>
      </c>
      <c r="EV29" t="s">
        <v>190</v>
      </c>
      <c r="EW29" t="s">
        <v>190</v>
      </c>
      <c r="EX29" t="s">
        <v>190</v>
      </c>
      <c r="EY29" t="s">
        <v>190</v>
      </c>
      <c r="EZ29" t="s">
        <v>190</v>
      </c>
      <c r="FA29" t="s">
        <v>190</v>
      </c>
      <c r="FB29" t="s">
        <v>190</v>
      </c>
      <c r="FC29" t="s">
        <v>190</v>
      </c>
      <c r="FD29" t="s">
        <v>190</v>
      </c>
      <c r="FE29" t="s">
        <v>190</v>
      </c>
      <c r="FF29" t="s">
        <v>190</v>
      </c>
      <c r="FG29" t="s">
        <v>190</v>
      </c>
      <c r="FH29" t="s">
        <v>190</v>
      </c>
      <c r="FI29" t="s">
        <v>190</v>
      </c>
      <c r="FJ29" t="s">
        <v>190</v>
      </c>
      <c r="FK29" t="s">
        <v>190</v>
      </c>
      <c r="FL29" t="s">
        <v>190</v>
      </c>
      <c r="FM29" t="s">
        <v>190</v>
      </c>
      <c r="FN29" t="s">
        <v>190</v>
      </c>
      <c r="FO29" t="s">
        <v>190</v>
      </c>
      <c r="FP29" t="s">
        <v>190</v>
      </c>
      <c r="FQ29" t="s">
        <v>190</v>
      </c>
      <c r="FR29" t="s">
        <v>190</v>
      </c>
      <c r="FS29" t="s">
        <v>190</v>
      </c>
      <c r="FT29" t="s">
        <v>190</v>
      </c>
      <c r="FU29" t="s">
        <v>190</v>
      </c>
      <c r="FV29" t="s">
        <v>190</v>
      </c>
      <c r="FW29" t="s">
        <v>190</v>
      </c>
      <c r="FX29" t="s">
        <v>190</v>
      </c>
      <c r="FY29" t="s">
        <v>190</v>
      </c>
      <c r="FZ29" t="s">
        <v>190</v>
      </c>
      <c r="GA29" t="s">
        <v>190</v>
      </c>
      <c r="GB29" t="s">
        <v>190</v>
      </c>
      <c r="GC29" t="s">
        <v>190</v>
      </c>
      <c r="GD29" t="s">
        <v>190</v>
      </c>
      <c r="GE29" t="s">
        <v>190</v>
      </c>
      <c r="GF29" t="s">
        <v>190</v>
      </c>
      <c r="GG29" t="s">
        <v>190</v>
      </c>
      <c r="GH29" t="s">
        <v>190</v>
      </c>
      <c r="GI29" t="s">
        <v>190</v>
      </c>
      <c r="GJ29" t="s">
        <v>190</v>
      </c>
      <c r="GK29" t="s">
        <v>190</v>
      </c>
      <c r="GL29" t="s">
        <v>190</v>
      </c>
      <c r="GM29" t="s">
        <v>190</v>
      </c>
      <c r="GN29" t="s">
        <v>190</v>
      </c>
      <c r="GO29" t="s">
        <v>190</v>
      </c>
      <c r="GP29" t="s">
        <v>190</v>
      </c>
      <c r="GQ29" t="s">
        <v>190</v>
      </c>
      <c r="GR29" t="s">
        <v>190</v>
      </c>
      <c r="GS29" t="s">
        <v>190</v>
      </c>
      <c r="GT29" t="s">
        <v>190</v>
      </c>
      <c r="GU29" t="s">
        <v>190</v>
      </c>
      <c r="GV29" t="s">
        <v>190</v>
      </c>
      <c r="GW29" t="s">
        <v>190</v>
      </c>
      <c r="GX29" t="s">
        <v>190</v>
      </c>
      <c r="GY29" t="s">
        <v>190</v>
      </c>
      <c r="GZ29" t="s">
        <v>190</v>
      </c>
      <c r="HA29" t="s">
        <v>190</v>
      </c>
      <c r="HB29" t="s">
        <v>190</v>
      </c>
      <c r="HC29" t="s">
        <v>190</v>
      </c>
      <c r="HD29" t="s">
        <v>190</v>
      </c>
      <c r="HE29" t="s">
        <v>190</v>
      </c>
      <c r="HF29" t="s">
        <v>190</v>
      </c>
      <c r="HG29" t="s">
        <v>190</v>
      </c>
      <c r="HH29" t="s">
        <v>190</v>
      </c>
      <c r="HI29" t="s">
        <v>190</v>
      </c>
      <c r="HJ29" t="s">
        <v>190</v>
      </c>
      <c r="HK29" t="s">
        <v>190</v>
      </c>
      <c r="HL29" t="s">
        <v>190</v>
      </c>
      <c r="HM29" t="s">
        <v>190</v>
      </c>
      <c r="HN29" t="s">
        <v>190</v>
      </c>
      <c r="HO29" t="s">
        <v>190</v>
      </c>
      <c r="HP29" t="s">
        <v>59</v>
      </c>
      <c r="HQ29" t="s">
        <v>190</v>
      </c>
      <c r="HR29" t="s">
        <v>190</v>
      </c>
      <c r="HS29" t="s">
        <v>190</v>
      </c>
      <c r="HT29" t="s">
        <v>190</v>
      </c>
      <c r="HU29" t="s">
        <v>190</v>
      </c>
      <c r="HV29" t="s">
        <v>190</v>
      </c>
      <c r="HW29" t="s">
        <v>190</v>
      </c>
      <c r="HX29" t="s">
        <v>190</v>
      </c>
      <c r="HY29" t="s">
        <v>190</v>
      </c>
      <c r="HZ29" t="s">
        <v>190</v>
      </c>
      <c r="IA29" t="s">
        <v>190</v>
      </c>
      <c r="IB29" t="s">
        <v>190</v>
      </c>
      <c r="IC29" t="s">
        <v>190</v>
      </c>
      <c r="ID29" t="s">
        <v>190</v>
      </c>
      <c r="IE29" t="s">
        <v>190</v>
      </c>
      <c r="IF29" t="s">
        <v>60</v>
      </c>
      <c r="IG29" t="s">
        <v>60</v>
      </c>
      <c r="IH29" t="s">
        <v>60</v>
      </c>
      <c r="II29" t="s">
        <v>59</v>
      </c>
      <c r="IJ29" t="s">
        <v>129</v>
      </c>
      <c r="IK29" t="s">
        <v>191</v>
      </c>
      <c r="IL29" t="s">
        <v>128</v>
      </c>
      <c r="IM29" t="s">
        <v>199</v>
      </c>
      <c r="IN29">
        <v>1</v>
      </c>
      <c r="IO29" t="s">
        <v>2730</v>
      </c>
      <c r="IP29" t="s">
        <v>2730</v>
      </c>
      <c r="IQ29">
        <v>6</v>
      </c>
      <c r="IR29" t="s">
        <v>2730</v>
      </c>
      <c r="IS29" t="s">
        <v>2730</v>
      </c>
      <c r="IT29" t="s">
        <v>2730</v>
      </c>
      <c r="IU29" t="s">
        <v>2730</v>
      </c>
      <c r="IV29">
        <v>8</v>
      </c>
      <c r="IW29" t="s">
        <v>2730</v>
      </c>
      <c r="IX29" t="s">
        <v>2730</v>
      </c>
      <c r="IY29" t="s">
        <v>2730</v>
      </c>
      <c r="IZ29" t="s">
        <v>2730</v>
      </c>
      <c r="JA29" t="s">
        <v>2730</v>
      </c>
      <c r="JB29" t="s">
        <v>2730</v>
      </c>
      <c r="JC29" t="s">
        <v>2730</v>
      </c>
      <c r="JD29" t="s">
        <v>2730</v>
      </c>
      <c r="JE29" t="s">
        <v>2730</v>
      </c>
      <c r="JF29" t="s">
        <v>2730</v>
      </c>
      <c r="JG29" t="s">
        <v>2730</v>
      </c>
      <c r="JH29" t="s">
        <v>2730</v>
      </c>
      <c r="JI29" t="s">
        <v>2730</v>
      </c>
      <c r="JJ29" t="s">
        <v>2730</v>
      </c>
      <c r="JK29" t="s">
        <v>2730</v>
      </c>
      <c r="JL29">
        <v>1</v>
      </c>
      <c r="JM29" t="s">
        <v>2730</v>
      </c>
      <c r="JN29" t="s">
        <v>2730</v>
      </c>
      <c r="JO29">
        <v>1</v>
      </c>
      <c r="JP29" t="s">
        <v>2730</v>
      </c>
      <c r="JQ29">
        <v>3</v>
      </c>
    </row>
    <row r="30" spans="1:277">
      <c r="A30" s="171" t="str">
        <f>HYPERLINK("http://www.ofsted.gov.uk/inspection-reports/find-inspection-report/provider/ELS/105997 ","Ofsted School Webpage")</f>
        <v>Ofsted School Webpage</v>
      </c>
      <c r="B30">
        <v>1134963</v>
      </c>
      <c r="C30">
        <v>105997</v>
      </c>
      <c r="D30">
        <v>3516012</v>
      </c>
      <c r="E30" t="s">
        <v>2198</v>
      </c>
      <c r="F30" t="s">
        <v>37</v>
      </c>
      <c r="G30" t="s">
        <v>209</v>
      </c>
      <c r="H30" t="s">
        <v>205</v>
      </c>
      <c r="I30" t="s">
        <v>205</v>
      </c>
      <c r="J30" t="s">
        <v>453</v>
      </c>
      <c r="K30" t="s">
        <v>2199</v>
      </c>
      <c r="L30" t="s">
        <v>184</v>
      </c>
      <c r="M30" t="s">
        <v>185</v>
      </c>
      <c r="N30" t="s">
        <v>184</v>
      </c>
      <c r="O30" t="s">
        <v>2730</v>
      </c>
      <c r="P30" t="s">
        <v>186</v>
      </c>
      <c r="Q30">
        <v>10043701</v>
      </c>
      <c r="R30" s="120">
        <v>43047</v>
      </c>
      <c r="S30" s="120">
        <v>43047</v>
      </c>
      <c r="T30" s="120">
        <v>43073</v>
      </c>
      <c r="U30" t="s">
        <v>2730</v>
      </c>
      <c r="V30" t="s">
        <v>187</v>
      </c>
      <c r="W30" t="s">
        <v>2730</v>
      </c>
      <c r="X30" t="s">
        <v>188</v>
      </c>
      <c r="Y30" t="s">
        <v>2730</v>
      </c>
      <c r="Z30" t="s">
        <v>2730</v>
      </c>
      <c r="AA30" t="s">
        <v>2730</v>
      </c>
      <c r="AB30" t="s">
        <v>2730</v>
      </c>
      <c r="AC30" t="s">
        <v>2730</v>
      </c>
      <c r="AD30" t="s">
        <v>2730</v>
      </c>
      <c r="AE30" t="s">
        <v>2730</v>
      </c>
      <c r="AF30" t="s">
        <v>2730</v>
      </c>
      <c r="AG30" t="s">
        <v>217</v>
      </c>
      <c r="AH30" t="s">
        <v>2730</v>
      </c>
      <c r="AI30" t="s">
        <v>190</v>
      </c>
      <c r="AJ30" t="s">
        <v>190</v>
      </c>
      <c r="AK30" t="s">
        <v>190</v>
      </c>
      <c r="AL30" t="s">
        <v>190</v>
      </c>
      <c r="AM30" t="s">
        <v>190</v>
      </c>
      <c r="AN30" t="s">
        <v>190</v>
      </c>
      <c r="AO30" t="s">
        <v>190</v>
      </c>
      <c r="AP30" t="s">
        <v>60</v>
      </c>
      <c r="AQ30" t="s">
        <v>190</v>
      </c>
      <c r="AR30" t="s">
        <v>190</v>
      </c>
      <c r="AS30" t="s">
        <v>190</v>
      </c>
      <c r="AT30" t="s">
        <v>190</v>
      </c>
      <c r="AU30" t="s">
        <v>190</v>
      </c>
      <c r="AV30" t="s">
        <v>190</v>
      </c>
      <c r="AW30" t="s">
        <v>190</v>
      </c>
      <c r="AX30" t="s">
        <v>190</v>
      </c>
      <c r="AY30" t="s">
        <v>190</v>
      </c>
      <c r="AZ30" t="s">
        <v>190</v>
      </c>
      <c r="BA30" t="s">
        <v>190</v>
      </c>
      <c r="BB30" t="s">
        <v>190</v>
      </c>
      <c r="BC30" t="s">
        <v>190</v>
      </c>
      <c r="BD30" t="s">
        <v>190</v>
      </c>
      <c r="BE30" t="s">
        <v>190</v>
      </c>
      <c r="BF30" t="s">
        <v>190</v>
      </c>
      <c r="BG30" t="s">
        <v>190</v>
      </c>
      <c r="BH30" t="s">
        <v>190</v>
      </c>
      <c r="BI30" t="s">
        <v>190</v>
      </c>
      <c r="BJ30" t="s">
        <v>190</v>
      </c>
      <c r="BK30" t="s">
        <v>60</v>
      </c>
      <c r="BL30" t="s">
        <v>190</v>
      </c>
      <c r="BM30" t="s">
        <v>190</v>
      </c>
      <c r="BN30" t="s">
        <v>190</v>
      </c>
      <c r="BO30" t="s">
        <v>190</v>
      </c>
      <c r="BP30" t="s">
        <v>190</v>
      </c>
      <c r="BQ30" t="s">
        <v>190</v>
      </c>
      <c r="BR30" t="s">
        <v>60</v>
      </c>
      <c r="BS30" t="s">
        <v>190</v>
      </c>
      <c r="BT30" t="s">
        <v>190</v>
      </c>
      <c r="BU30" t="s">
        <v>190</v>
      </c>
      <c r="BV30" t="s">
        <v>190</v>
      </c>
      <c r="BW30" t="s">
        <v>190</v>
      </c>
      <c r="BX30" t="s">
        <v>190</v>
      </c>
      <c r="BY30" t="s">
        <v>190</v>
      </c>
      <c r="BZ30" t="s">
        <v>190</v>
      </c>
      <c r="CA30" t="s">
        <v>190</v>
      </c>
      <c r="CB30" t="s">
        <v>190</v>
      </c>
      <c r="CC30" t="s">
        <v>190</v>
      </c>
      <c r="CD30" t="s">
        <v>190</v>
      </c>
      <c r="CE30" t="s">
        <v>190</v>
      </c>
      <c r="CF30" t="s">
        <v>190</v>
      </c>
      <c r="CG30" t="s">
        <v>190</v>
      </c>
      <c r="CH30" t="s">
        <v>190</v>
      </c>
      <c r="CI30" t="s">
        <v>190</v>
      </c>
      <c r="CJ30" t="s">
        <v>190</v>
      </c>
      <c r="CK30" t="s">
        <v>190</v>
      </c>
      <c r="CL30" t="s">
        <v>190</v>
      </c>
      <c r="CM30" t="s">
        <v>190</v>
      </c>
      <c r="CN30" t="s">
        <v>190</v>
      </c>
      <c r="CO30" t="s">
        <v>190</v>
      </c>
      <c r="CP30" t="s">
        <v>190</v>
      </c>
      <c r="CQ30" t="s">
        <v>190</v>
      </c>
      <c r="CR30" t="s">
        <v>190</v>
      </c>
      <c r="CS30" t="s">
        <v>190</v>
      </c>
      <c r="CT30" t="s">
        <v>190</v>
      </c>
      <c r="CU30" t="s">
        <v>190</v>
      </c>
      <c r="CV30" t="s">
        <v>190</v>
      </c>
      <c r="CW30" t="s">
        <v>190</v>
      </c>
      <c r="CX30" t="s">
        <v>190</v>
      </c>
      <c r="CY30" t="s">
        <v>190</v>
      </c>
      <c r="CZ30" t="s">
        <v>190</v>
      </c>
      <c r="DA30" t="s">
        <v>190</v>
      </c>
      <c r="DB30" t="s">
        <v>190</v>
      </c>
      <c r="DC30" t="s">
        <v>190</v>
      </c>
      <c r="DD30" t="s">
        <v>190</v>
      </c>
      <c r="DE30" t="s">
        <v>190</v>
      </c>
      <c r="DF30" t="s">
        <v>190</v>
      </c>
      <c r="DG30" t="s">
        <v>190</v>
      </c>
      <c r="DH30" t="s">
        <v>190</v>
      </c>
      <c r="DI30" t="s">
        <v>190</v>
      </c>
      <c r="DJ30" t="s">
        <v>190</v>
      </c>
      <c r="DK30" t="s">
        <v>190</v>
      </c>
      <c r="DL30" t="s">
        <v>190</v>
      </c>
      <c r="DM30" t="s">
        <v>190</v>
      </c>
      <c r="DN30" t="s">
        <v>190</v>
      </c>
      <c r="DO30" t="s">
        <v>190</v>
      </c>
      <c r="DP30" t="s">
        <v>190</v>
      </c>
      <c r="DQ30" t="s">
        <v>190</v>
      </c>
      <c r="DR30" t="s">
        <v>190</v>
      </c>
      <c r="DS30" t="s">
        <v>190</v>
      </c>
      <c r="DT30" t="s">
        <v>190</v>
      </c>
      <c r="DU30" t="s">
        <v>190</v>
      </c>
      <c r="DV30" t="s">
        <v>190</v>
      </c>
      <c r="DW30" t="s">
        <v>190</v>
      </c>
      <c r="DX30" t="s">
        <v>190</v>
      </c>
      <c r="DY30" t="s">
        <v>190</v>
      </c>
      <c r="DZ30" t="s">
        <v>190</v>
      </c>
      <c r="EA30" t="s">
        <v>190</v>
      </c>
      <c r="EB30" t="s">
        <v>190</v>
      </c>
      <c r="EC30" t="s">
        <v>190</v>
      </c>
      <c r="ED30" t="s">
        <v>190</v>
      </c>
      <c r="EE30" t="s">
        <v>190</v>
      </c>
      <c r="EF30" t="s">
        <v>190</v>
      </c>
      <c r="EG30" t="s">
        <v>190</v>
      </c>
      <c r="EH30" t="s">
        <v>190</v>
      </c>
      <c r="EI30" t="s">
        <v>190</v>
      </c>
      <c r="EJ30" t="s">
        <v>190</v>
      </c>
      <c r="EK30" t="s">
        <v>190</v>
      </c>
      <c r="EL30" t="s">
        <v>190</v>
      </c>
      <c r="EM30" t="s">
        <v>190</v>
      </c>
      <c r="EN30" t="s">
        <v>190</v>
      </c>
      <c r="EO30" t="s">
        <v>190</v>
      </c>
      <c r="EP30" t="s">
        <v>190</v>
      </c>
      <c r="EQ30" t="s">
        <v>190</v>
      </c>
      <c r="ER30" t="s">
        <v>190</v>
      </c>
      <c r="ES30" t="s">
        <v>190</v>
      </c>
      <c r="ET30" t="s">
        <v>190</v>
      </c>
      <c r="EU30" t="s">
        <v>190</v>
      </c>
      <c r="EV30" t="s">
        <v>190</v>
      </c>
      <c r="EW30" t="s">
        <v>190</v>
      </c>
      <c r="EX30" t="s">
        <v>190</v>
      </c>
      <c r="EY30" t="s">
        <v>190</v>
      </c>
      <c r="EZ30" t="s">
        <v>190</v>
      </c>
      <c r="FA30" t="s">
        <v>190</v>
      </c>
      <c r="FB30" t="s">
        <v>190</v>
      </c>
      <c r="FC30" t="s">
        <v>190</v>
      </c>
      <c r="FD30" t="s">
        <v>190</v>
      </c>
      <c r="FE30" t="s">
        <v>190</v>
      </c>
      <c r="FF30" t="s">
        <v>190</v>
      </c>
      <c r="FG30" t="s">
        <v>190</v>
      </c>
      <c r="FH30" t="s">
        <v>190</v>
      </c>
      <c r="FI30" t="s">
        <v>190</v>
      </c>
      <c r="FJ30" t="s">
        <v>190</v>
      </c>
      <c r="FK30" t="s">
        <v>190</v>
      </c>
      <c r="FL30" t="s">
        <v>190</v>
      </c>
      <c r="FM30" t="s">
        <v>190</v>
      </c>
      <c r="FN30" t="s">
        <v>190</v>
      </c>
      <c r="FO30" t="s">
        <v>190</v>
      </c>
      <c r="FP30" t="s">
        <v>59</v>
      </c>
      <c r="FQ30" t="s">
        <v>190</v>
      </c>
      <c r="FR30" t="s">
        <v>59</v>
      </c>
      <c r="FS30" t="s">
        <v>190</v>
      </c>
      <c r="FT30" t="s">
        <v>190</v>
      </c>
      <c r="FU30" t="s">
        <v>190</v>
      </c>
      <c r="FV30" t="s">
        <v>190</v>
      </c>
      <c r="FW30" t="s">
        <v>190</v>
      </c>
      <c r="FX30" t="s">
        <v>190</v>
      </c>
      <c r="FY30" t="s">
        <v>190</v>
      </c>
      <c r="FZ30" t="s">
        <v>190</v>
      </c>
      <c r="GA30" t="s">
        <v>190</v>
      </c>
      <c r="GB30" t="s">
        <v>190</v>
      </c>
      <c r="GC30" t="s">
        <v>190</v>
      </c>
      <c r="GD30" t="s">
        <v>190</v>
      </c>
      <c r="GE30" t="s">
        <v>190</v>
      </c>
      <c r="GF30" t="s">
        <v>190</v>
      </c>
      <c r="GG30" t="s">
        <v>190</v>
      </c>
      <c r="GH30" t="s">
        <v>190</v>
      </c>
      <c r="GI30" t="s">
        <v>190</v>
      </c>
      <c r="GJ30" t="s">
        <v>190</v>
      </c>
      <c r="GK30" t="s">
        <v>190</v>
      </c>
      <c r="GL30" t="s">
        <v>190</v>
      </c>
      <c r="GM30" t="s">
        <v>190</v>
      </c>
      <c r="GN30" t="s">
        <v>190</v>
      </c>
      <c r="GO30" t="s">
        <v>190</v>
      </c>
      <c r="GP30" t="s">
        <v>190</v>
      </c>
      <c r="GQ30" t="s">
        <v>190</v>
      </c>
      <c r="GR30" t="s">
        <v>190</v>
      </c>
      <c r="GS30" t="s">
        <v>190</v>
      </c>
      <c r="GT30" t="s">
        <v>190</v>
      </c>
      <c r="GU30" t="s">
        <v>190</v>
      </c>
      <c r="GV30" t="s">
        <v>190</v>
      </c>
      <c r="GW30" t="s">
        <v>190</v>
      </c>
      <c r="GX30" t="s">
        <v>190</v>
      </c>
      <c r="GY30" t="s">
        <v>190</v>
      </c>
      <c r="GZ30" t="s">
        <v>190</v>
      </c>
      <c r="HA30" t="s">
        <v>190</v>
      </c>
      <c r="HB30" t="s">
        <v>190</v>
      </c>
      <c r="HC30" t="s">
        <v>190</v>
      </c>
      <c r="HD30" t="s">
        <v>190</v>
      </c>
      <c r="HE30" t="s">
        <v>190</v>
      </c>
      <c r="HF30" t="s">
        <v>190</v>
      </c>
      <c r="HG30" t="s">
        <v>190</v>
      </c>
      <c r="HH30" t="s">
        <v>190</v>
      </c>
      <c r="HI30" t="s">
        <v>190</v>
      </c>
      <c r="HJ30" t="s">
        <v>190</v>
      </c>
      <c r="HK30" t="s">
        <v>190</v>
      </c>
      <c r="HL30" t="s">
        <v>190</v>
      </c>
      <c r="HM30" t="s">
        <v>190</v>
      </c>
      <c r="HN30" t="s">
        <v>190</v>
      </c>
      <c r="HO30" t="s">
        <v>190</v>
      </c>
      <c r="HP30" t="s">
        <v>190</v>
      </c>
      <c r="HQ30" t="s">
        <v>190</v>
      </c>
      <c r="HR30" t="s">
        <v>190</v>
      </c>
      <c r="HS30" t="s">
        <v>190</v>
      </c>
      <c r="HT30" t="s">
        <v>190</v>
      </c>
      <c r="HU30" t="s">
        <v>190</v>
      </c>
      <c r="HV30" t="s">
        <v>190</v>
      </c>
      <c r="HW30" t="s">
        <v>190</v>
      </c>
      <c r="HX30" t="s">
        <v>190</v>
      </c>
      <c r="HY30" t="s">
        <v>190</v>
      </c>
      <c r="HZ30" t="s">
        <v>190</v>
      </c>
      <c r="IA30" t="s">
        <v>190</v>
      </c>
      <c r="IB30" t="s">
        <v>190</v>
      </c>
      <c r="IC30" t="s">
        <v>190</v>
      </c>
      <c r="ID30" t="s">
        <v>190</v>
      </c>
      <c r="IE30" t="s">
        <v>190</v>
      </c>
      <c r="IF30" t="s">
        <v>60</v>
      </c>
      <c r="IG30" t="s">
        <v>60</v>
      </c>
      <c r="IH30" t="s">
        <v>60</v>
      </c>
      <c r="II30" t="s">
        <v>59</v>
      </c>
      <c r="IJ30" t="s">
        <v>129</v>
      </c>
      <c r="IK30" t="s">
        <v>191</v>
      </c>
      <c r="IL30" t="s">
        <v>128</v>
      </c>
      <c r="IM30" t="s">
        <v>199</v>
      </c>
      <c r="IN30" t="s">
        <v>2730</v>
      </c>
      <c r="IO30" t="s">
        <v>2730</v>
      </c>
      <c r="IP30" t="s">
        <v>2730</v>
      </c>
      <c r="IQ30">
        <v>2</v>
      </c>
      <c r="IR30" t="s">
        <v>2730</v>
      </c>
      <c r="IS30" t="s">
        <v>2730</v>
      </c>
      <c r="IT30" t="s">
        <v>2730</v>
      </c>
      <c r="IU30" t="s">
        <v>2730</v>
      </c>
      <c r="IV30" t="s">
        <v>2730</v>
      </c>
      <c r="IW30" t="s">
        <v>2730</v>
      </c>
      <c r="IX30" t="s">
        <v>2730</v>
      </c>
      <c r="IY30" t="s">
        <v>2730</v>
      </c>
      <c r="IZ30" t="s">
        <v>2730</v>
      </c>
      <c r="JA30" t="s">
        <v>2730</v>
      </c>
      <c r="JB30" t="s">
        <v>2730</v>
      </c>
      <c r="JC30" t="s">
        <v>2730</v>
      </c>
      <c r="JD30">
        <v>2</v>
      </c>
      <c r="JE30" t="s">
        <v>2730</v>
      </c>
      <c r="JF30" t="s">
        <v>2730</v>
      </c>
      <c r="JG30" t="s">
        <v>2730</v>
      </c>
      <c r="JH30" t="s">
        <v>2730</v>
      </c>
      <c r="JI30" t="s">
        <v>2730</v>
      </c>
      <c r="JJ30" t="s">
        <v>2730</v>
      </c>
      <c r="JK30" t="s">
        <v>2730</v>
      </c>
      <c r="JL30" t="s">
        <v>2730</v>
      </c>
      <c r="JM30" t="s">
        <v>2730</v>
      </c>
      <c r="JN30" t="s">
        <v>2730</v>
      </c>
      <c r="JO30">
        <v>1</v>
      </c>
      <c r="JP30" t="s">
        <v>2730</v>
      </c>
      <c r="JQ30">
        <v>3</v>
      </c>
    </row>
    <row r="31" spans="1:277">
      <c r="A31" s="171" t="str">
        <f>HYPERLINK("http://www.ofsted.gov.uk/inspection-reports/find-inspection-report/provider/ELS/131791 ","Ofsted School Webpage")</f>
        <v>Ofsted School Webpage</v>
      </c>
      <c r="B31">
        <v>1133886</v>
      </c>
      <c r="C31">
        <v>131791</v>
      </c>
      <c r="D31">
        <v>8966027</v>
      </c>
      <c r="E31" t="s">
        <v>371</v>
      </c>
      <c r="F31" t="s">
        <v>37</v>
      </c>
      <c r="G31" t="s">
        <v>209</v>
      </c>
      <c r="H31" t="s">
        <v>205</v>
      </c>
      <c r="I31" t="s">
        <v>205</v>
      </c>
      <c r="J31" t="s">
        <v>372</v>
      </c>
      <c r="K31" t="s">
        <v>373</v>
      </c>
      <c r="L31" t="s">
        <v>212</v>
      </c>
      <c r="M31" t="s">
        <v>212</v>
      </c>
      <c r="N31" t="s">
        <v>212</v>
      </c>
      <c r="O31" t="s">
        <v>2730</v>
      </c>
      <c r="P31" t="s">
        <v>186</v>
      </c>
      <c r="Q31">
        <v>10040244</v>
      </c>
      <c r="R31" s="120">
        <v>43011</v>
      </c>
      <c r="S31" s="120">
        <v>43011</v>
      </c>
      <c r="T31" s="120">
        <v>43048</v>
      </c>
      <c r="U31" t="s">
        <v>2730</v>
      </c>
      <c r="V31" t="s">
        <v>187</v>
      </c>
      <c r="W31" t="s">
        <v>2730</v>
      </c>
      <c r="X31" t="s">
        <v>188</v>
      </c>
      <c r="Y31" t="s">
        <v>2730</v>
      </c>
      <c r="Z31" t="s">
        <v>2730</v>
      </c>
      <c r="AA31" t="s">
        <v>2730</v>
      </c>
      <c r="AB31" t="s">
        <v>2730</v>
      </c>
      <c r="AC31" t="s">
        <v>2730</v>
      </c>
      <c r="AD31" t="s">
        <v>2730</v>
      </c>
      <c r="AE31" t="s">
        <v>2730</v>
      </c>
      <c r="AF31" t="s">
        <v>2730</v>
      </c>
      <c r="AG31" t="s">
        <v>217</v>
      </c>
      <c r="AH31" t="s">
        <v>2730</v>
      </c>
      <c r="AI31" t="s">
        <v>190</v>
      </c>
      <c r="AJ31" t="s">
        <v>190</v>
      </c>
      <c r="AK31" t="s">
        <v>59</v>
      </c>
      <c r="AL31" t="s">
        <v>190</v>
      </c>
      <c r="AM31" t="s">
        <v>60</v>
      </c>
      <c r="AN31" t="s">
        <v>190</v>
      </c>
      <c r="AO31" t="s">
        <v>190</v>
      </c>
      <c r="AP31" t="s">
        <v>60</v>
      </c>
      <c r="AQ31" t="s">
        <v>190</v>
      </c>
      <c r="AR31" t="s">
        <v>190</v>
      </c>
      <c r="AS31" t="s">
        <v>190</v>
      </c>
      <c r="AT31" t="s">
        <v>190</v>
      </c>
      <c r="AU31" t="s">
        <v>190</v>
      </c>
      <c r="AV31" t="s">
        <v>190</v>
      </c>
      <c r="AW31" t="s">
        <v>190</v>
      </c>
      <c r="AX31" t="s">
        <v>190</v>
      </c>
      <c r="AY31" t="s">
        <v>190</v>
      </c>
      <c r="AZ31" t="s">
        <v>190</v>
      </c>
      <c r="BA31" t="s">
        <v>190</v>
      </c>
      <c r="BB31" t="s">
        <v>190</v>
      </c>
      <c r="BC31" t="s">
        <v>190</v>
      </c>
      <c r="BD31" t="s">
        <v>190</v>
      </c>
      <c r="BE31" t="s">
        <v>190</v>
      </c>
      <c r="BF31" t="s">
        <v>190</v>
      </c>
      <c r="BG31" t="s">
        <v>190</v>
      </c>
      <c r="BH31" t="s">
        <v>190</v>
      </c>
      <c r="BI31" t="s">
        <v>190</v>
      </c>
      <c r="BJ31" t="s">
        <v>190</v>
      </c>
      <c r="BK31" t="s">
        <v>190</v>
      </c>
      <c r="BL31" t="s">
        <v>190</v>
      </c>
      <c r="BM31" t="s">
        <v>190</v>
      </c>
      <c r="BN31" t="s">
        <v>190</v>
      </c>
      <c r="BO31" t="s">
        <v>190</v>
      </c>
      <c r="BP31" t="s">
        <v>190</v>
      </c>
      <c r="BQ31" t="s">
        <v>190</v>
      </c>
      <c r="BR31" t="s">
        <v>190</v>
      </c>
      <c r="BS31" t="s">
        <v>190</v>
      </c>
      <c r="BT31" t="s">
        <v>190</v>
      </c>
      <c r="BU31" t="s">
        <v>190</v>
      </c>
      <c r="BV31" t="s">
        <v>190</v>
      </c>
      <c r="BW31" t="s">
        <v>190</v>
      </c>
      <c r="BX31" t="s">
        <v>190</v>
      </c>
      <c r="BY31" t="s">
        <v>190</v>
      </c>
      <c r="BZ31" t="s">
        <v>190</v>
      </c>
      <c r="CA31" t="s">
        <v>190</v>
      </c>
      <c r="CB31" t="s">
        <v>190</v>
      </c>
      <c r="CC31" t="s">
        <v>190</v>
      </c>
      <c r="CD31" t="s">
        <v>190</v>
      </c>
      <c r="CE31" t="s">
        <v>190</v>
      </c>
      <c r="CF31" t="s">
        <v>190</v>
      </c>
      <c r="CG31" t="s">
        <v>190</v>
      </c>
      <c r="CH31" t="s">
        <v>190</v>
      </c>
      <c r="CI31" t="s">
        <v>190</v>
      </c>
      <c r="CJ31" t="s">
        <v>190</v>
      </c>
      <c r="CK31" t="s">
        <v>190</v>
      </c>
      <c r="CL31" t="s">
        <v>59</v>
      </c>
      <c r="CM31" t="s">
        <v>59</v>
      </c>
      <c r="CN31" t="s">
        <v>59</v>
      </c>
      <c r="CO31" t="s">
        <v>190</v>
      </c>
      <c r="CP31" t="s">
        <v>190</v>
      </c>
      <c r="CQ31" t="s">
        <v>190</v>
      </c>
      <c r="CR31" t="s">
        <v>190</v>
      </c>
      <c r="CS31" t="s">
        <v>190</v>
      </c>
      <c r="CT31" t="s">
        <v>190</v>
      </c>
      <c r="CU31" t="s">
        <v>190</v>
      </c>
      <c r="CV31" t="s">
        <v>190</v>
      </c>
      <c r="CW31" t="s">
        <v>59</v>
      </c>
      <c r="CX31" t="s">
        <v>190</v>
      </c>
      <c r="CY31" t="s">
        <v>190</v>
      </c>
      <c r="CZ31" t="s">
        <v>190</v>
      </c>
      <c r="DA31" t="s">
        <v>190</v>
      </c>
      <c r="DB31" t="s">
        <v>60</v>
      </c>
      <c r="DC31" t="s">
        <v>60</v>
      </c>
      <c r="DD31" t="s">
        <v>59</v>
      </c>
      <c r="DE31" t="s">
        <v>190</v>
      </c>
      <c r="DF31" t="s">
        <v>190</v>
      </c>
      <c r="DG31" t="s">
        <v>190</v>
      </c>
      <c r="DH31" t="s">
        <v>190</v>
      </c>
      <c r="DI31" t="s">
        <v>190</v>
      </c>
      <c r="DJ31" t="s">
        <v>190</v>
      </c>
      <c r="DK31" t="s">
        <v>190</v>
      </c>
      <c r="DL31" t="s">
        <v>190</v>
      </c>
      <c r="DM31" t="s">
        <v>190</v>
      </c>
      <c r="DN31" t="s">
        <v>190</v>
      </c>
      <c r="DO31" t="s">
        <v>190</v>
      </c>
      <c r="DP31" t="s">
        <v>190</v>
      </c>
      <c r="DQ31" t="s">
        <v>190</v>
      </c>
      <c r="DR31" t="s">
        <v>190</v>
      </c>
      <c r="DS31" t="s">
        <v>190</v>
      </c>
      <c r="DT31" t="s">
        <v>190</v>
      </c>
      <c r="DU31" t="s">
        <v>190</v>
      </c>
      <c r="DV31" t="s">
        <v>190</v>
      </c>
      <c r="DW31" t="s">
        <v>190</v>
      </c>
      <c r="DX31" t="s">
        <v>190</v>
      </c>
      <c r="DY31" t="s">
        <v>190</v>
      </c>
      <c r="DZ31" t="s">
        <v>190</v>
      </c>
      <c r="EA31" t="s">
        <v>190</v>
      </c>
      <c r="EB31" t="s">
        <v>190</v>
      </c>
      <c r="EC31" t="s">
        <v>190</v>
      </c>
      <c r="ED31" t="s">
        <v>190</v>
      </c>
      <c r="EE31" t="s">
        <v>190</v>
      </c>
      <c r="EF31" t="s">
        <v>190</v>
      </c>
      <c r="EG31" t="s">
        <v>190</v>
      </c>
      <c r="EH31" t="s">
        <v>190</v>
      </c>
      <c r="EI31" t="s">
        <v>190</v>
      </c>
      <c r="EJ31" t="s">
        <v>190</v>
      </c>
      <c r="EK31" t="s">
        <v>190</v>
      </c>
      <c r="EL31" t="s">
        <v>190</v>
      </c>
      <c r="EM31" t="s">
        <v>190</v>
      </c>
      <c r="EN31" t="s">
        <v>190</v>
      </c>
      <c r="EO31" t="s">
        <v>190</v>
      </c>
      <c r="EP31" t="s">
        <v>190</v>
      </c>
      <c r="EQ31" t="s">
        <v>190</v>
      </c>
      <c r="ER31" t="s">
        <v>190</v>
      </c>
      <c r="ES31" t="s">
        <v>190</v>
      </c>
      <c r="ET31" t="s">
        <v>190</v>
      </c>
      <c r="EU31" t="s">
        <v>190</v>
      </c>
      <c r="EV31" t="s">
        <v>190</v>
      </c>
      <c r="EW31" t="s">
        <v>190</v>
      </c>
      <c r="EX31" t="s">
        <v>190</v>
      </c>
      <c r="EY31" t="s">
        <v>190</v>
      </c>
      <c r="EZ31" t="s">
        <v>190</v>
      </c>
      <c r="FA31" t="s">
        <v>190</v>
      </c>
      <c r="FB31" t="s">
        <v>190</v>
      </c>
      <c r="FC31" t="s">
        <v>190</v>
      </c>
      <c r="FD31" t="s">
        <v>190</v>
      </c>
      <c r="FE31" t="s">
        <v>190</v>
      </c>
      <c r="FF31" t="s">
        <v>190</v>
      </c>
      <c r="FG31" t="s">
        <v>190</v>
      </c>
      <c r="FH31" t="s">
        <v>190</v>
      </c>
      <c r="FI31" t="s">
        <v>190</v>
      </c>
      <c r="FJ31" t="s">
        <v>190</v>
      </c>
      <c r="FK31" t="s">
        <v>190</v>
      </c>
      <c r="FL31" t="s">
        <v>60</v>
      </c>
      <c r="FM31" t="s">
        <v>190</v>
      </c>
      <c r="FN31" t="s">
        <v>190</v>
      </c>
      <c r="FO31" t="s">
        <v>60</v>
      </c>
      <c r="FP31" t="s">
        <v>59</v>
      </c>
      <c r="FQ31" t="s">
        <v>59</v>
      </c>
      <c r="FR31" t="s">
        <v>59</v>
      </c>
      <c r="FS31" t="s">
        <v>190</v>
      </c>
      <c r="FT31" t="s">
        <v>190</v>
      </c>
      <c r="FU31" t="s">
        <v>190</v>
      </c>
      <c r="FV31" t="s">
        <v>190</v>
      </c>
      <c r="FW31" t="s">
        <v>190</v>
      </c>
      <c r="FX31" t="s">
        <v>190</v>
      </c>
      <c r="FY31" t="s">
        <v>190</v>
      </c>
      <c r="FZ31" t="s">
        <v>190</v>
      </c>
      <c r="GA31" t="s">
        <v>190</v>
      </c>
      <c r="GB31" t="s">
        <v>190</v>
      </c>
      <c r="GC31" t="s">
        <v>190</v>
      </c>
      <c r="GD31" t="s">
        <v>190</v>
      </c>
      <c r="GE31" t="s">
        <v>190</v>
      </c>
      <c r="GF31" t="s">
        <v>190</v>
      </c>
      <c r="GG31" t="s">
        <v>190</v>
      </c>
      <c r="GH31" t="s">
        <v>59</v>
      </c>
      <c r="GI31" t="s">
        <v>190</v>
      </c>
      <c r="GJ31" t="s">
        <v>59</v>
      </c>
      <c r="GK31" t="s">
        <v>190</v>
      </c>
      <c r="GL31" t="s">
        <v>190</v>
      </c>
      <c r="GM31" t="s">
        <v>190</v>
      </c>
      <c r="GN31" t="s">
        <v>190</v>
      </c>
      <c r="GO31" t="s">
        <v>190</v>
      </c>
      <c r="GP31" t="s">
        <v>190</v>
      </c>
      <c r="GQ31" t="s">
        <v>190</v>
      </c>
      <c r="GR31" t="s">
        <v>190</v>
      </c>
      <c r="GS31" t="s">
        <v>190</v>
      </c>
      <c r="GT31" t="s">
        <v>190</v>
      </c>
      <c r="GU31" t="s">
        <v>190</v>
      </c>
      <c r="GV31" t="s">
        <v>190</v>
      </c>
      <c r="GW31" t="s">
        <v>190</v>
      </c>
      <c r="GX31" t="s">
        <v>190</v>
      </c>
      <c r="GY31" t="s">
        <v>190</v>
      </c>
      <c r="GZ31" t="s">
        <v>190</v>
      </c>
      <c r="HA31" t="s">
        <v>190</v>
      </c>
      <c r="HB31" t="s">
        <v>190</v>
      </c>
      <c r="HC31" t="s">
        <v>190</v>
      </c>
      <c r="HD31" t="s">
        <v>190</v>
      </c>
      <c r="HE31" t="s">
        <v>190</v>
      </c>
      <c r="HF31" t="s">
        <v>190</v>
      </c>
      <c r="HG31" t="s">
        <v>190</v>
      </c>
      <c r="HH31" t="s">
        <v>190</v>
      </c>
      <c r="HI31" t="s">
        <v>190</v>
      </c>
      <c r="HJ31" t="s">
        <v>190</v>
      </c>
      <c r="HK31" t="s">
        <v>190</v>
      </c>
      <c r="HL31" t="s">
        <v>190</v>
      </c>
      <c r="HM31" t="s">
        <v>190</v>
      </c>
      <c r="HN31" t="s">
        <v>190</v>
      </c>
      <c r="HO31" t="s">
        <v>190</v>
      </c>
      <c r="HP31" t="s">
        <v>190</v>
      </c>
      <c r="HQ31" t="s">
        <v>190</v>
      </c>
      <c r="HR31" t="s">
        <v>190</v>
      </c>
      <c r="HS31" t="s">
        <v>190</v>
      </c>
      <c r="HT31" t="s">
        <v>190</v>
      </c>
      <c r="HU31" t="s">
        <v>190</v>
      </c>
      <c r="HV31" t="s">
        <v>190</v>
      </c>
      <c r="HW31" t="s">
        <v>190</v>
      </c>
      <c r="HX31" t="s">
        <v>190</v>
      </c>
      <c r="HY31" t="s">
        <v>190</v>
      </c>
      <c r="HZ31" t="s">
        <v>190</v>
      </c>
      <c r="IA31" t="s">
        <v>190</v>
      </c>
      <c r="IB31" t="s">
        <v>190</v>
      </c>
      <c r="IC31" t="s">
        <v>190</v>
      </c>
      <c r="ID31" t="s">
        <v>190</v>
      </c>
      <c r="IE31" t="s">
        <v>190</v>
      </c>
      <c r="IF31" t="s">
        <v>60</v>
      </c>
      <c r="IG31" t="s">
        <v>60</v>
      </c>
      <c r="IH31" t="s">
        <v>60</v>
      </c>
      <c r="II31" t="s">
        <v>59</v>
      </c>
      <c r="IJ31" t="s">
        <v>129</v>
      </c>
      <c r="IK31" t="s">
        <v>191</v>
      </c>
      <c r="IL31" t="s">
        <v>203</v>
      </c>
      <c r="IM31" t="s">
        <v>199</v>
      </c>
      <c r="IN31" t="s">
        <v>2730</v>
      </c>
      <c r="IO31" t="s">
        <v>2730</v>
      </c>
      <c r="IP31" t="s">
        <v>2730</v>
      </c>
      <c r="IQ31" t="s">
        <v>2730</v>
      </c>
      <c r="IR31" t="s">
        <v>2730</v>
      </c>
      <c r="IS31" t="s">
        <v>2730</v>
      </c>
      <c r="IT31" t="s">
        <v>2730</v>
      </c>
      <c r="IU31" t="s">
        <v>2730</v>
      </c>
      <c r="IV31">
        <v>5</v>
      </c>
      <c r="IW31" t="s">
        <v>2730</v>
      </c>
      <c r="IX31" t="s">
        <v>2730</v>
      </c>
      <c r="IY31">
        <v>2</v>
      </c>
      <c r="IZ31" t="s">
        <v>2730</v>
      </c>
      <c r="JA31" t="s">
        <v>2730</v>
      </c>
      <c r="JB31" t="s">
        <v>2730</v>
      </c>
      <c r="JC31" t="s">
        <v>2730</v>
      </c>
      <c r="JD31">
        <v>5</v>
      </c>
      <c r="JE31" t="s">
        <v>2730</v>
      </c>
      <c r="JF31" t="s">
        <v>2730</v>
      </c>
      <c r="JG31">
        <v>2</v>
      </c>
      <c r="JH31" t="s">
        <v>2730</v>
      </c>
      <c r="JI31" t="s">
        <v>2730</v>
      </c>
      <c r="JJ31" t="s">
        <v>2730</v>
      </c>
      <c r="JK31" t="s">
        <v>2730</v>
      </c>
      <c r="JL31" t="s">
        <v>2730</v>
      </c>
      <c r="JM31" t="s">
        <v>2730</v>
      </c>
      <c r="JN31" t="s">
        <v>2730</v>
      </c>
      <c r="JO31">
        <v>1</v>
      </c>
      <c r="JP31" t="s">
        <v>2730</v>
      </c>
      <c r="JQ31">
        <v>3</v>
      </c>
    </row>
    <row r="32" spans="1:277">
      <c r="A32" s="171" t="str">
        <f>HYPERLINK("http://www.ofsted.gov.uk/inspection-reports/find-inspection-report/provider/ELS/134591 ","Ofsted School Webpage")</f>
        <v>Ofsted School Webpage</v>
      </c>
      <c r="B32">
        <v>1134230</v>
      </c>
      <c r="C32">
        <v>134591</v>
      </c>
      <c r="D32">
        <v>3166065</v>
      </c>
      <c r="E32" t="s">
        <v>504</v>
      </c>
      <c r="F32" t="s">
        <v>37</v>
      </c>
      <c r="G32" t="s">
        <v>209</v>
      </c>
      <c r="H32" t="s">
        <v>232</v>
      </c>
      <c r="I32" t="s">
        <v>232</v>
      </c>
      <c r="J32" t="s">
        <v>505</v>
      </c>
      <c r="K32" t="s">
        <v>506</v>
      </c>
      <c r="L32" t="s">
        <v>184</v>
      </c>
      <c r="M32" t="s">
        <v>185</v>
      </c>
      <c r="N32" t="s">
        <v>223</v>
      </c>
      <c r="O32" t="s">
        <v>2730</v>
      </c>
      <c r="P32" t="s">
        <v>186</v>
      </c>
      <c r="Q32">
        <v>10041234</v>
      </c>
      <c r="R32" s="120">
        <v>43024</v>
      </c>
      <c r="S32" s="120">
        <v>43024</v>
      </c>
      <c r="T32" s="120">
        <v>43066</v>
      </c>
      <c r="U32" t="s">
        <v>2730</v>
      </c>
      <c r="V32" t="s">
        <v>187</v>
      </c>
      <c r="W32" t="s">
        <v>2730</v>
      </c>
      <c r="X32" t="s">
        <v>188</v>
      </c>
      <c r="Y32" t="s">
        <v>2730</v>
      </c>
      <c r="Z32" t="s">
        <v>2730</v>
      </c>
      <c r="AA32" t="s">
        <v>2730</v>
      </c>
      <c r="AB32" t="s">
        <v>2730</v>
      </c>
      <c r="AC32" t="s">
        <v>2730</v>
      </c>
      <c r="AD32" t="s">
        <v>2730</v>
      </c>
      <c r="AE32" t="s">
        <v>2730</v>
      </c>
      <c r="AF32" t="s">
        <v>2730</v>
      </c>
      <c r="AG32" t="s">
        <v>189</v>
      </c>
      <c r="AH32" t="s">
        <v>2730</v>
      </c>
      <c r="AI32" t="s">
        <v>59</v>
      </c>
      <c r="AJ32" t="s">
        <v>59</v>
      </c>
      <c r="AK32" t="s">
        <v>59</v>
      </c>
      <c r="AL32" t="s">
        <v>59</v>
      </c>
      <c r="AM32" t="s">
        <v>190</v>
      </c>
      <c r="AN32" t="s">
        <v>59</v>
      </c>
      <c r="AO32" t="s">
        <v>190</v>
      </c>
      <c r="AP32" t="s">
        <v>59</v>
      </c>
      <c r="AQ32" t="s">
        <v>59</v>
      </c>
      <c r="AR32" t="s">
        <v>190</v>
      </c>
      <c r="AS32" t="s">
        <v>59</v>
      </c>
      <c r="AT32" t="s">
        <v>59</v>
      </c>
      <c r="AU32" t="s">
        <v>59</v>
      </c>
      <c r="AV32" t="s">
        <v>190</v>
      </c>
      <c r="AW32" t="s">
        <v>190</v>
      </c>
      <c r="AX32" t="s">
        <v>190</v>
      </c>
      <c r="AY32" t="s">
        <v>218</v>
      </c>
      <c r="AZ32" t="s">
        <v>190</v>
      </c>
      <c r="BA32" t="s">
        <v>190</v>
      </c>
      <c r="BB32" t="s">
        <v>190</v>
      </c>
      <c r="BC32" t="s">
        <v>218</v>
      </c>
      <c r="BD32" t="s">
        <v>218</v>
      </c>
      <c r="BE32" t="s">
        <v>218</v>
      </c>
      <c r="BF32" t="s">
        <v>218</v>
      </c>
      <c r="BG32" t="s">
        <v>190</v>
      </c>
      <c r="BH32" t="s">
        <v>218</v>
      </c>
      <c r="BI32" t="s">
        <v>190</v>
      </c>
      <c r="BJ32" t="s">
        <v>190</v>
      </c>
      <c r="BK32" t="s">
        <v>59</v>
      </c>
      <c r="BL32" t="s">
        <v>59</v>
      </c>
      <c r="BM32" t="s">
        <v>190</v>
      </c>
      <c r="BN32" t="s">
        <v>59</v>
      </c>
      <c r="BO32" t="s">
        <v>59</v>
      </c>
      <c r="BP32" t="s">
        <v>59</v>
      </c>
      <c r="BQ32" t="s">
        <v>190</v>
      </c>
      <c r="BR32" t="s">
        <v>59</v>
      </c>
      <c r="BS32" t="s">
        <v>190</v>
      </c>
      <c r="BT32" t="s">
        <v>59</v>
      </c>
      <c r="BU32" t="s">
        <v>190</v>
      </c>
      <c r="BV32" t="s">
        <v>59</v>
      </c>
      <c r="BW32" t="s">
        <v>59</v>
      </c>
      <c r="BX32" t="s">
        <v>59</v>
      </c>
      <c r="BY32" t="s">
        <v>59</v>
      </c>
      <c r="BZ32" t="s">
        <v>59</v>
      </c>
      <c r="CA32" t="s">
        <v>59</v>
      </c>
      <c r="CB32" t="s">
        <v>59</v>
      </c>
      <c r="CC32" t="s">
        <v>59</v>
      </c>
      <c r="CD32" t="s">
        <v>59</v>
      </c>
      <c r="CE32" t="s">
        <v>59</v>
      </c>
      <c r="CF32" t="s">
        <v>59</v>
      </c>
      <c r="CG32" t="s">
        <v>59</v>
      </c>
      <c r="CH32" t="s">
        <v>59</v>
      </c>
      <c r="CI32" t="s">
        <v>59</v>
      </c>
      <c r="CJ32" t="s">
        <v>59</v>
      </c>
      <c r="CK32" t="s">
        <v>59</v>
      </c>
      <c r="CL32" t="s">
        <v>59</v>
      </c>
      <c r="CM32" t="s">
        <v>59</v>
      </c>
      <c r="CN32" t="s">
        <v>59</v>
      </c>
      <c r="CO32" t="s">
        <v>218</v>
      </c>
      <c r="CP32" t="s">
        <v>218</v>
      </c>
      <c r="CQ32" t="s">
        <v>218</v>
      </c>
      <c r="CR32" t="s">
        <v>190</v>
      </c>
      <c r="CS32" t="s">
        <v>190</v>
      </c>
      <c r="CT32" t="s">
        <v>190</v>
      </c>
      <c r="CU32" t="s">
        <v>190</v>
      </c>
      <c r="CV32" t="s">
        <v>190</v>
      </c>
      <c r="CW32" t="s">
        <v>190</v>
      </c>
      <c r="CX32" t="s">
        <v>59</v>
      </c>
      <c r="CY32" t="s">
        <v>190</v>
      </c>
      <c r="CZ32" t="s">
        <v>190</v>
      </c>
      <c r="DA32" t="s">
        <v>190</v>
      </c>
      <c r="DB32" t="s">
        <v>190</v>
      </c>
      <c r="DC32" t="s">
        <v>190</v>
      </c>
      <c r="DD32" t="s">
        <v>190</v>
      </c>
      <c r="DE32" t="s">
        <v>59</v>
      </c>
      <c r="DF32" t="s">
        <v>59</v>
      </c>
      <c r="DG32" t="s">
        <v>190</v>
      </c>
      <c r="DH32" t="s">
        <v>190</v>
      </c>
      <c r="DI32" t="s">
        <v>190</v>
      </c>
      <c r="DJ32" t="s">
        <v>190</v>
      </c>
      <c r="DK32" t="s">
        <v>190</v>
      </c>
      <c r="DL32" t="s">
        <v>190</v>
      </c>
      <c r="DM32" t="s">
        <v>190</v>
      </c>
      <c r="DN32" t="s">
        <v>190</v>
      </c>
      <c r="DO32" t="s">
        <v>190</v>
      </c>
      <c r="DP32" t="s">
        <v>190</v>
      </c>
      <c r="DQ32" t="s">
        <v>218</v>
      </c>
      <c r="DR32" t="s">
        <v>190</v>
      </c>
      <c r="DS32" t="s">
        <v>190</v>
      </c>
      <c r="DT32" t="s">
        <v>190</v>
      </c>
      <c r="DU32" t="s">
        <v>190</v>
      </c>
      <c r="DV32" t="s">
        <v>190</v>
      </c>
      <c r="DW32" t="s">
        <v>190</v>
      </c>
      <c r="DX32" t="s">
        <v>190</v>
      </c>
      <c r="DY32" t="s">
        <v>190</v>
      </c>
      <c r="DZ32" t="s">
        <v>190</v>
      </c>
      <c r="EA32" t="s">
        <v>190</v>
      </c>
      <c r="EB32" t="s">
        <v>190</v>
      </c>
      <c r="EC32" t="s">
        <v>218</v>
      </c>
      <c r="ED32" t="s">
        <v>190</v>
      </c>
      <c r="EE32" t="s">
        <v>190</v>
      </c>
      <c r="EF32" t="s">
        <v>190</v>
      </c>
      <c r="EG32" t="s">
        <v>190</v>
      </c>
      <c r="EH32" t="s">
        <v>190</v>
      </c>
      <c r="EI32" t="s">
        <v>190</v>
      </c>
      <c r="EJ32" t="s">
        <v>190</v>
      </c>
      <c r="EK32" t="s">
        <v>190</v>
      </c>
      <c r="EL32" t="s">
        <v>190</v>
      </c>
      <c r="EM32" t="s">
        <v>190</v>
      </c>
      <c r="EN32" t="s">
        <v>190</v>
      </c>
      <c r="EO32" t="s">
        <v>190</v>
      </c>
      <c r="EP32" t="s">
        <v>190</v>
      </c>
      <c r="EQ32" t="s">
        <v>190</v>
      </c>
      <c r="ER32" t="s">
        <v>190</v>
      </c>
      <c r="ES32" t="s">
        <v>190</v>
      </c>
      <c r="ET32" t="s">
        <v>190</v>
      </c>
      <c r="EU32" t="s">
        <v>190</v>
      </c>
      <c r="EV32" t="s">
        <v>190</v>
      </c>
      <c r="EW32" t="s">
        <v>190</v>
      </c>
      <c r="EX32" t="s">
        <v>190</v>
      </c>
      <c r="EY32" t="s">
        <v>190</v>
      </c>
      <c r="EZ32" t="s">
        <v>190</v>
      </c>
      <c r="FA32" t="s">
        <v>190</v>
      </c>
      <c r="FB32" t="s">
        <v>190</v>
      </c>
      <c r="FC32" t="s">
        <v>190</v>
      </c>
      <c r="FD32" t="s">
        <v>190</v>
      </c>
      <c r="FE32" t="s">
        <v>190</v>
      </c>
      <c r="FF32" t="s">
        <v>190</v>
      </c>
      <c r="FG32" t="s">
        <v>190</v>
      </c>
      <c r="FH32" t="s">
        <v>190</v>
      </c>
      <c r="FI32" t="s">
        <v>190</v>
      </c>
      <c r="FJ32" t="s">
        <v>190</v>
      </c>
      <c r="FK32" t="s">
        <v>190</v>
      </c>
      <c r="FL32" t="s">
        <v>190</v>
      </c>
      <c r="FM32" t="s">
        <v>190</v>
      </c>
      <c r="FN32" t="s">
        <v>190</v>
      </c>
      <c r="FO32" t="s">
        <v>190</v>
      </c>
      <c r="FP32" t="s">
        <v>190</v>
      </c>
      <c r="FQ32" t="s">
        <v>190</v>
      </c>
      <c r="FR32" t="s">
        <v>190</v>
      </c>
      <c r="FS32" t="s">
        <v>218</v>
      </c>
      <c r="FT32" t="s">
        <v>190</v>
      </c>
      <c r="FU32" t="s">
        <v>190</v>
      </c>
      <c r="FV32" t="s">
        <v>190</v>
      </c>
      <c r="FW32" t="s">
        <v>190</v>
      </c>
      <c r="FX32" t="s">
        <v>190</v>
      </c>
      <c r="FY32" t="s">
        <v>190</v>
      </c>
      <c r="FZ32" t="s">
        <v>190</v>
      </c>
      <c r="GA32" t="s">
        <v>190</v>
      </c>
      <c r="GB32" t="s">
        <v>190</v>
      </c>
      <c r="GC32" t="s">
        <v>190</v>
      </c>
      <c r="GD32" t="s">
        <v>190</v>
      </c>
      <c r="GE32" t="s">
        <v>190</v>
      </c>
      <c r="GF32" t="s">
        <v>190</v>
      </c>
      <c r="GG32" t="s">
        <v>190</v>
      </c>
      <c r="GH32" t="s">
        <v>190</v>
      </c>
      <c r="GI32" t="s">
        <v>190</v>
      </c>
      <c r="GJ32" t="s">
        <v>190</v>
      </c>
      <c r="GK32" t="s">
        <v>218</v>
      </c>
      <c r="GL32" t="s">
        <v>59</v>
      </c>
      <c r="GM32" t="s">
        <v>59</v>
      </c>
      <c r="GN32" t="s">
        <v>59</v>
      </c>
      <c r="GO32" t="s">
        <v>59</v>
      </c>
      <c r="GP32" t="s">
        <v>59</v>
      </c>
      <c r="GQ32" t="s">
        <v>59</v>
      </c>
      <c r="GR32" t="s">
        <v>190</v>
      </c>
      <c r="GS32" t="s">
        <v>190</v>
      </c>
      <c r="GT32" t="s">
        <v>190</v>
      </c>
      <c r="GU32" t="s">
        <v>190</v>
      </c>
      <c r="GV32" t="s">
        <v>190</v>
      </c>
      <c r="GW32" t="s">
        <v>190</v>
      </c>
      <c r="GX32" t="s">
        <v>190</v>
      </c>
      <c r="GY32" t="s">
        <v>190</v>
      </c>
      <c r="GZ32" t="s">
        <v>190</v>
      </c>
      <c r="HA32" t="s">
        <v>190</v>
      </c>
      <c r="HB32" t="s">
        <v>190</v>
      </c>
      <c r="HC32" t="s">
        <v>190</v>
      </c>
      <c r="HD32" t="s">
        <v>190</v>
      </c>
      <c r="HE32" t="s">
        <v>190</v>
      </c>
      <c r="HF32" t="s">
        <v>190</v>
      </c>
      <c r="HG32" t="s">
        <v>190</v>
      </c>
      <c r="HH32" t="s">
        <v>190</v>
      </c>
      <c r="HI32" t="s">
        <v>190</v>
      </c>
      <c r="HJ32" t="s">
        <v>190</v>
      </c>
      <c r="HK32" t="s">
        <v>190</v>
      </c>
      <c r="HL32" t="s">
        <v>190</v>
      </c>
      <c r="HM32" t="s">
        <v>190</v>
      </c>
      <c r="HN32" t="s">
        <v>190</v>
      </c>
      <c r="HO32" t="s">
        <v>190</v>
      </c>
      <c r="HP32" t="s">
        <v>190</v>
      </c>
      <c r="HQ32" t="s">
        <v>190</v>
      </c>
      <c r="HR32" t="s">
        <v>190</v>
      </c>
      <c r="HS32" t="s">
        <v>190</v>
      </c>
      <c r="HT32" t="s">
        <v>190</v>
      </c>
      <c r="HU32" t="s">
        <v>190</v>
      </c>
      <c r="HV32" t="s">
        <v>190</v>
      </c>
      <c r="HW32" t="s">
        <v>190</v>
      </c>
      <c r="HX32" t="s">
        <v>190</v>
      </c>
      <c r="HY32" t="s">
        <v>190</v>
      </c>
      <c r="HZ32" t="s">
        <v>190</v>
      </c>
      <c r="IA32" t="s">
        <v>190</v>
      </c>
      <c r="IB32" t="s">
        <v>190</v>
      </c>
      <c r="IC32" t="s">
        <v>190</v>
      </c>
      <c r="ID32" t="s">
        <v>190</v>
      </c>
      <c r="IE32" t="s">
        <v>190</v>
      </c>
      <c r="IF32" t="s">
        <v>59</v>
      </c>
      <c r="IG32" t="s">
        <v>59</v>
      </c>
      <c r="IH32" t="s">
        <v>59</v>
      </c>
      <c r="II32" t="s">
        <v>59</v>
      </c>
      <c r="IJ32" t="s">
        <v>129</v>
      </c>
      <c r="IK32" t="s">
        <v>191</v>
      </c>
      <c r="IL32" t="s">
        <v>128</v>
      </c>
      <c r="IM32" t="s">
        <v>199</v>
      </c>
      <c r="IN32">
        <v>12</v>
      </c>
      <c r="IO32" t="s">
        <v>2730</v>
      </c>
      <c r="IP32" t="s">
        <v>2730</v>
      </c>
      <c r="IQ32" t="s">
        <v>2730</v>
      </c>
      <c r="IR32">
        <v>15</v>
      </c>
      <c r="IS32" t="s">
        <v>2730</v>
      </c>
      <c r="IT32" t="s">
        <v>2730</v>
      </c>
      <c r="IU32" t="s">
        <v>2730</v>
      </c>
      <c r="IV32">
        <v>4</v>
      </c>
      <c r="IW32" t="s">
        <v>2730</v>
      </c>
      <c r="IX32" t="s">
        <v>2730</v>
      </c>
      <c r="IY32" t="s">
        <v>2730</v>
      </c>
      <c r="IZ32">
        <v>2</v>
      </c>
      <c r="JA32" t="s">
        <v>2730</v>
      </c>
      <c r="JB32" t="s">
        <v>2730</v>
      </c>
      <c r="JC32" t="s">
        <v>2730</v>
      </c>
      <c r="JD32" t="s">
        <v>2730</v>
      </c>
      <c r="JE32" t="s">
        <v>2730</v>
      </c>
      <c r="JF32" t="s">
        <v>2730</v>
      </c>
      <c r="JG32" t="s">
        <v>2730</v>
      </c>
      <c r="JH32">
        <v>6</v>
      </c>
      <c r="JI32" t="s">
        <v>2730</v>
      </c>
      <c r="JJ32" t="s">
        <v>2730</v>
      </c>
      <c r="JK32" t="s">
        <v>2730</v>
      </c>
      <c r="JL32" t="s">
        <v>2730</v>
      </c>
      <c r="JM32" t="s">
        <v>2730</v>
      </c>
      <c r="JN32" t="s">
        <v>2730</v>
      </c>
      <c r="JO32">
        <v>4</v>
      </c>
      <c r="JP32" t="s">
        <v>2730</v>
      </c>
      <c r="JQ32" t="s">
        <v>2730</v>
      </c>
    </row>
    <row r="33" spans="1:277">
      <c r="A33" s="171" t="str">
        <f>HYPERLINK("http://www.ofsted.gov.uk/inspection-reports/find-inspection-report/provider/ELS/142413 ","Ofsted School Webpage")</f>
        <v>Ofsted School Webpage</v>
      </c>
      <c r="B33">
        <v>1214486</v>
      </c>
      <c r="C33">
        <v>142413</v>
      </c>
      <c r="D33">
        <v>9196001</v>
      </c>
      <c r="E33" t="s">
        <v>2644</v>
      </c>
      <c r="F33" t="s">
        <v>37</v>
      </c>
      <c r="G33" t="s">
        <v>209</v>
      </c>
      <c r="H33" t="s">
        <v>220</v>
      </c>
      <c r="I33" t="s">
        <v>220</v>
      </c>
      <c r="J33" t="s">
        <v>822</v>
      </c>
      <c r="K33" t="s">
        <v>2645</v>
      </c>
      <c r="L33" t="s">
        <v>184</v>
      </c>
      <c r="M33" t="s">
        <v>185</v>
      </c>
      <c r="N33" t="s">
        <v>184</v>
      </c>
      <c r="O33" t="s">
        <v>2730</v>
      </c>
      <c r="P33" t="s">
        <v>186</v>
      </c>
      <c r="Q33">
        <v>10043074</v>
      </c>
      <c r="R33" s="120">
        <v>43056</v>
      </c>
      <c r="S33" s="120">
        <v>43056</v>
      </c>
      <c r="T33" s="120">
        <v>43082</v>
      </c>
      <c r="U33" t="s">
        <v>2730</v>
      </c>
      <c r="V33" t="s">
        <v>187</v>
      </c>
      <c r="W33" t="s">
        <v>2730</v>
      </c>
      <c r="X33" t="s">
        <v>188</v>
      </c>
      <c r="Y33" t="s">
        <v>2730</v>
      </c>
      <c r="Z33" t="s">
        <v>2730</v>
      </c>
      <c r="AA33" t="s">
        <v>2730</v>
      </c>
      <c r="AB33" t="s">
        <v>2730</v>
      </c>
      <c r="AC33" t="s">
        <v>2730</v>
      </c>
      <c r="AD33" t="s">
        <v>2730</v>
      </c>
      <c r="AE33" t="s">
        <v>2730</v>
      </c>
      <c r="AF33" t="s">
        <v>2730</v>
      </c>
      <c r="AG33" t="s">
        <v>189</v>
      </c>
      <c r="AH33" t="s">
        <v>2730</v>
      </c>
      <c r="AI33" t="s">
        <v>190</v>
      </c>
      <c r="AJ33" t="s">
        <v>190</v>
      </c>
      <c r="AK33" t="s">
        <v>190</v>
      </c>
      <c r="AL33" t="s">
        <v>190</v>
      </c>
      <c r="AM33" t="s">
        <v>190</v>
      </c>
      <c r="AN33" t="s">
        <v>190</v>
      </c>
      <c r="AO33" t="s">
        <v>190</v>
      </c>
      <c r="AP33" t="s">
        <v>59</v>
      </c>
      <c r="AQ33" t="s">
        <v>190</v>
      </c>
      <c r="AR33" t="s">
        <v>190</v>
      </c>
      <c r="AS33" t="s">
        <v>190</v>
      </c>
      <c r="AT33" t="s">
        <v>190</v>
      </c>
      <c r="AU33" t="s">
        <v>190</v>
      </c>
      <c r="AV33" t="s">
        <v>190</v>
      </c>
      <c r="AW33" t="s">
        <v>190</v>
      </c>
      <c r="AX33" t="s">
        <v>190</v>
      </c>
      <c r="AY33" t="s">
        <v>190</v>
      </c>
      <c r="AZ33" t="s">
        <v>190</v>
      </c>
      <c r="BA33" t="s">
        <v>190</v>
      </c>
      <c r="BB33" t="s">
        <v>190</v>
      </c>
      <c r="BC33" t="s">
        <v>190</v>
      </c>
      <c r="BD33" t="s">
        <v>190</v>
      </c>
      <c r="BE33" t="s">
        <v>190</v>
      </c>
      <c r="BF33" t="s">
        <v>190</v>
      </c>
      <c r="BG33" t="s">
        <v>190</v>
      </c>
      <c r="BH33" t="s">
        <v>190</v>
      </c>
      <c r="BI33" t="s">
        <v>190</v>
      </c>
      <c r="BJ33" t="s">
        <v>190</v>
      </c>
      <c r="BK33" t="s">
        <v>59</v>
      </c>
      <c r="BL33" t="s">
        <v>59</v>
      </c>
      <c r="BM33" t="s">
        <v>190</v>
      </c>
      <c r="BN33" t="s">
        <v>190</v>
      </c>
      <c r="BO33" t="s">
        <v>59</v>
      </c>
      <c r="BP33" t="s">
        <v>190</v>
      </c>
      <c r="BQ33" t="s">
        <v>190</v>
      </c>
      <c r="BR33" t="s">
        <v>190</v>
      </c>
      <c r="BS33" t="s">
        <v>190</v>
      </c>
      <c r="BT33" t="s">
        <v>190</v>
      </c>
      <c r="BU33" t="s">
        <v>190</v>
      </c>
      <c r="BV33" t="s">
        <v>190</v>
      </c>
      <c r="BW33" t="s">
        <v>190</v>
      </c>
      <c r="BX33" t="s">
        <v>190</v>
      </c>
      <c r="BY33" t="s">
        <v>190</v>
      </c>
      <c r="BZ33" t="s">
        <v>190</v>
      </c>
      <c r="CA33" t="s">
        <v>190</v>
      </c>
      <c r="CB33" t="s">
        <v>190</v>
      </c>
      <c r="CC33" t="s">
        <v>190</v>
      </c>
      <c r="CD33" t="s">
        <v>190</v>
      </c>
      <c r="CE33" t="s">
        <v>190</v>
      </c>
      <c r="CF33" t="s">
        <v>190</v>
      </c>
      <c r="CG33" t="s">
        <v>190</v>
      </c>
      <c r="CH33" t="s">
        <v>190</v>
      </c>
      <c r="CI33" t="s">
        <v>190</v>
      </c>
      <c r="CJ33" t="s">
        <v>190</v>
      </c>
      <c r="CK33" t="s">
        <v>190</v>
      </c>
      <c r="CL33" t="s">
        <v>190</v>
      </c>
      <c r="CM33" t="s">
        <v>190</v>
      </c>
      <c r="CN33" t="s">
        <v>190</v>
      </c>
      <c r="CO33" t="s">
        <v>190</v>
      </c>
      <c r="CP33" t="s">
        <v>190</v>
      </c>
      <c r="CQ33" t="s">
        <v>190</v>
      </c>
      <c r="CR33" t="s">
        <v>190</v>
      </c>
      <c r="CS33" t="s">
        <v>190</v>
      </c>
      <c r="CT33" t="s">
        <v>190</v>
      </c>
      <c r="CU33" t="s">
        <v>190</v>
      </c>
      <c r="CV33" t="s">
        <v>190</v>
      </c>
      <c r="CW33" t="s">
        <v>190</v>
      </c>
      <c r="CX33" t="s">
        <v>190</v>
      </c>
      <c r="CY33" t="s">
        <v>190</v>
      </c>
      <c r="CZ33" t="s">
        <v>190</v>
      </c>
      <c r="DA33" t="s">
        <v>190</v>
      </c>
      <c r="DB33" t="s">
        <v>190</v>
      </c>
      <c r="DC33" t="s">
        <v>190</v>
      </c>
      <c r="DD33" t="s">
        <v>190</v>
      </c>
      <c r="DE33" t="s">
        <v>190</v>
      </c>
      <c r="DF33" t="s">
        <v>190</v>
      </c>
      <c r="DG33" t="s">
        <v>190</v>
      </c>
      <c r="DH33" t="s">
        <v>190</v>
      </c>
      <c r="DI33" t="s">
        <v>190</v>
      </c>
      <c r="DJ33" t="s">
        <v>190</v>
      </c>
      <c r="DK33" t="s">
        <v>190</v>
      </c>
      <c r="DL33" t="s">
        <v>190</v>
      </c>
      <c r="DM33" t="s">
        <v>190</v>
      </c>
      <c r="DN33" t="s">
        <v>190</v>
      </c>
      <c r="DO33" t="s">
        <v>190</v>
      </c>
      <c r="DP33" t="s">
        <v>190</v>
      </c>
      <c r="DQ33" t="s">
        <v>190</v>
      </c>
      <c r="DR33" t="s">
        <v>190</v>
      </c>
      <c r="DS33" t="s">
        <v>190</v>
      </c>
      <c r="DT33" t="s">
        <v>190</v>
      </c>
      <c r="DU33" t="s">
        <v>190</v>
      </c>
      <c r="DV33" t="s">
        <v>190</v>
      </c>
      <c r="DW33" t="s">
        <v>190</v>
      </c>
      <c r="DX33" t="s">
        <v>190</v>
      </c>
      <c r="DY33" t="s">
        <v>190</v>
      </c>
      <c r="DZ33" t="s">
        <v>190</v>
      </c>
      <c r="EA33" t="s">
        <v>190</v>
      </c>
      <c r="EB33" t="s">
        <v>190</v>
      </c>
      <c r="EC33" t="s">
        <v>190</v>
      </c>
      <c r="ED33" t="s">
        <v>190</v>
      </c>
      <c r="EE33" t="s">
        <v>190</v>
      </c>
      <c r="EF33" t="s">
        <v>190</v>
      </c>
      <c r="EG33" t="s">
        <v>190</v>
      </c>
      <c r="EH33" t="s">
        <v>190</v>
      </c>
      <c r="EI33" t="s">
        <v>190</v>
      </c>
      <c r="EJ33" t="s">
        <v>190</v>
      </c>
      <c r="EK33" t="s">
        <v>190</v>
      </c>
      <c r="EL33" t="s">
        <v>190</v>
      </c>
      <c r="EM33" t="s">
        <v>190</v>
      </c>
      <c r="EN33" t="s">
        <v>190</v>
      </c>
      <c r="EO33" t="s">
        <v>190</v>
      </c>
      <c r="EP33" t="s">
        <v>190</v>
      </c>
      <c r="EQ33" t="s">
        <v>190</v>
      </c>
      <c r="ER33" t="s">
        <v>190</v>
      </c>
      <c r="ES33" t="s">
        <v>190</v>
      </c>
      <c r="ET33" t="s">
        <v>190</v>
      </c>
      <c r="EU33" t="s">
        <v>190</v>
      </c>
      <c r="EV33" t="s">
        <v>190</v>
      </c>
      <c r="EW33" t="s">
        <v>190</v>
      </c>
      <c r="EX33" t="s">
        <v>190</v>
      </c>
      <c r="EY33" t="s">
        <v>190</v>
      </c>
      <c r="EZ33" t="s">
        <v>190</v>
      </c>
      <c r="FA33" t="s">
        <v>190</v>
      </c>
      <c r="FB33" t="s">
        <v>190</v>
      </c>
      <c r="FC33" t="s">
        <v>190</v>
      </c>
      <c r="FD33" t="s">
        <v>190</v>
      </c>
      <c r="FE33" t="s">
        <v>190</v>
      </c>
      <c r="FF33" t="s">
        <v>190</v>
      </c>
      <c r="FG33" t="s">
        <v>190</v>
      </c>
      <c r="FH33" t="s">
        <v>190</v>
      </c>
      <c r="FI33" t="s">
        <v>190</v>
      </c>
      <c r="FJ33" t="s">
        <v>190</v>
      </c>
      <c r="FK33" t="s">
        <v>190</v>
      </c>
      <c r="FL33" t="s">
        <v>190</v>
      </c>
      <c r="FM33" t="s">
        <v>190</v>
      </c>
      <c r="FN33" t="s">
        <v>190</v>
      </c>
      <c r="FO33" t="s">
        <v>190</v>
      </c>
      <c r="FP33" t="s">
        <v>190</v>
      </c>
      <c r="FQ33" t="s">
        <v>190</v>
      </c>
      <c r="FR33" t="s">
        <v>190</v>
      </c>
      <c r="FS33" t="s">
        <v>190</v>
      </c>
      <c r="FT33" t="s">
        <v>190</v>
      </c>
      <c r="FU33" t="s">
        <v>190</v>
      </c>
      <c r="FV33" t="s">
        <v>190</v>
      </c>
      <c r="FW33" t="s">
        <v>190</v>
      </c>
      <c r="FX33" t="s">
        <v>190</v>
      </c>
      <c r="FY33" t="s">
        <v>190</v>
      </c>
      <c r="FZ33" t="s">
        <v>190</v>
      </c>
      <c r="GA33" t="s">
        <v>190</v>
      </c>
      <c r="GB33" t="s">
        <v>190</v>
      </c>
      <c r="GC33" t="s">
        <v>190</v>
      </c>
      <c r="GD33" t="s">
        <v>190</v>
      </c>
      <c r="GE33" t="s">
        <v>190</v>
      </c>
      <c r="GF33" t="s">
        <v>190</v>
      </c>
      <c r="GG33" t="s">
        <v>190</v>
      </c>
      <c r="GH33" t="s">
        <v>190</v>
      </c>
      <c r="GI33" t="s">
        <v>190</v>
      </c>
      <c r="GJ33" t="s">
        <v>190</v>
      </c>
      <c r="GK33" t="s">
        <v>190</v>
      </c>
      <c r="GL33" t="s">
        <v>190</v>
      </c>
      <c r="GM33" t="s">
        <v>190</v>
      </c>
      <c r="GN33" t="s">
        <v>190</v>
      </c>
      <c r="GO33" t="s">
        <v>190</v>
      </c>
      <c r="GP33" t="s">
        <v>190</v>
      </c>
      <c r="GQ33" t="s">
        <v>190</v>
      </c>
      <c r="GR33" t="s">
        <v>190</v>
      </c>
      <c r="GS33" t="s">
        <v>190</v>
      </c>
      <c r="GT33" t="s">
        <v>190</v>
      </c>
      <c r="GU33" t="s">
        <v>190</v>
      </c>
      <c r="GV33" t="s">
        <v>190</v>
      </c>
      <c r="GW33" t="s">
        <v>190</v>
      </c>
      <c r="GX33" t="s">
        <v>190</v>
      </c>
      <c r="GY33" t="s">
        <v>190</v>
      </c>
      <c r="GZ33" t="s">
        <v>190</v>
      </c>
      <c r="HA33" t="s">
        <v>190</v>
      </c>
      <c r="HB33" t="s">
        <v>190</v>
      </c>
      <c r="HC33" t="s">
        <v>190</v>
      </c>
      <c r="HD33" t="s">
        <v>190</v>
      </c>
      <c r="HE33" t="s">
        <v>190</v>
      </c>
      <c r="HF33" t="s">
        <v>190</v>
      </c>
      <c r="HG33" t="s">
        <v>190</v>
      </c>
      <c r="HH33" t="s">
        <v>190</v>
      </c>
      <c r="HI33" t="s">
        <v>190</v>
      </c>
      <c r="HJ33" t="s">
        <v>190</v>
      </c>
      <c r="HK33" t="s">
        <v>190</v>
      </c>
      <c r="HL33" t="s">
        <v>190</v>
      </c>
      <c r="HM33" t="s">
        <v>190</v>
      </c>
      <c r="HN33" t="s">
        <v>190</v>
      </c>
      <c r="HO33" t="s">
        <v>190</v>
      </c>
      <c r="HP33" t="s">
        <v>190</v>
      </c>
      <c r="HQ33" t="s">
        <v>190</v>
      </c>
      <c r="HR33" t="s">
        <v>190</v>
      </c>
      <c r="HS33" t="s">
        <v>190</v>
      </c>
      <c r="HT33" t="s">
        <v>190</v>
      </c>
      <c r="HU33" t="s">
        <v>190</v>
      </c>
      <c r="HV33" t="s">
        <v>190</v>
      </c>
      <c r="HW33" t="s">
        <v>190</v>
      </c>
      <c r="HX33" t="s">
        <v>190</v>
      </c>
      <c r="HY33" t="s">
        <v>190</v>
      </c>
      <c r="HZ33" t="s">
        <v>190</v>
      </c>
      <c r="IA33" t="s">
        <v>190</v>
      </c>
      <c r="IB33" t="s">
        <v>190</v>
      </c>
      <c r="IC33" t="s">
        <v>190</v>
      </c>
      <c r="ID33" t="s">
        <v>190</v>
      </c>
      <c r="IE33" t="s">
        <v>190</v>
      </c>
      <c r="IF33" t="s">
        <v>59</v>
      </c>
      <c r="IG33" t="s">
        <v>59</v>
      </c>
      <c r="IH33" t="s">
        <v>59</v>
      </c>
      <c r="II33" t="s">
        <v>190</v>
      </c>
      <c r="IJ33" t="s">
        <v>129</v>
      </c>
      <c r="IK33" t="s">
        <v>191</v>
      </c>
      <c r="IL33" t="s">
        <v>128</v>
      </c>
      <c r="IM33" t="s">
        <v>199</v>
      </c>
      <c r="IN33">
        <v>3</v>
      </c>
      <c r="IO33" t="s">
        <v>2730</v>
      </c>
      <c r="IP33" t="s">
        <v>2730</v>
      </c>
      <c r="IQ33" t="s">
        <v>2730</v>
      </c>
      <c r="IR33" t="s">
        <v>2730</v>
      </c>
      <c r="IS33" t="s">
        <v>2730</v>
      </c>
      <c r="IT33" t="s">
        <v>2730</v>
      </c>
      <c r="IU33" t="s">
        <v>2730</v>
      </c>
      <c r="IV33" t="s">
        <v>2730</v>
      </c>
      <c r="IW33" t="s">
        <v>2730</v>
      </c>
      <c r="IX33" t="s">
        <v>2730</v>
      </c>
      <c r="IY33" t="s">
        <v>2730</v>
      </c>
      <c r="IZ33" t="s">
        <v>2730</v>
      </c>
      <c r="JA33" t="s">
        <v>2730</v>
      </c>
      <c r="JB33" t="s">
        <v>2730</v>
      </c>
      <c r="JC33" t="s">
        <v>2730</v>
      </c>
      <c r="JD33" t="s">
        <v>2730</v>
      </c>
      <c r="JE33" t="s">
        <v>2730</v>
      </c>
      <c r="JF33" t="s">
        <v>2730</v>
      </c>
      <c r="JG33" t="s">
        <v>2730</v>
      </c>
      <c r="JH33" t="s">
        <v>2730</v>
      </c>
      <c r="JI33" t="s">
        <v>2730</v>
      </c>
      <c r="JJ33" t="s">
        <v>2730</v>
      </c>
      <c r="JK33" t="s">
        <v>2730</v>
      </c>
      <c r="JL33" t="s">
        <v>2730</v>
      </c>
      <c r="JM33" t="s">
        <v>2730</v>
      </c>
      <c r="JN33" t="s">
        <v>2730</v>
      </c>
      <c r="JO33">
        <v>3</v>
      </c>
      <c r="JP33" t="s">
        <v>2730</v>
      </c>
      <c r="JQ33" t="s">
        <v>2730</v>
      </c>
    </row>
    <row r="34" spans="1:277">
      <c r="A34" s="171" t="str">
        <f>HYPERLINK("http://www.ofsted.gov.uk/inspection-reports/find-inspection-report/provider/ELS/142778 ","Ofsted School Webpage")</f>
        <v>Ofsted School Webpage</v>
      </c>
      <c r="B34">
        <v>1234460</v>
      </c>
      <c r="C34">
        <v>142778</v>
      </c>
      <c r="D34">
        <v>2056001</v>
      </c>
      <c r="E34" t="s">
        <v>299</v>
      </c>
      <c r="F34" t="s">
        <v>37</v>
      </c>
      <c r="G34" t="s">
        <v>209</v>
      </c>
      <c r="H34" t="s">
        <v>232</v>
      </c>
      <c r="I34" t="s">
        <v>232</v>
      </c>
      <c r="J34" t="s">
        <v>300</v>
      </c>
      <c r="K34" t="s">
        <v>301</v>
      </c>
      <c r="L34" t="s">
        <v>184</v>
      </c>
      <c r="M34" t="s">
        <v>185</v>
      </c>
      <c r="N34" t="s">
        <v>184</v>
      </c>
      <c r="O34" t="s">
        <v>2730</v>
      </c>
      <c r="P34" t="s">
        <v>186</v>
      </c>
      <c r="Q34">
        <v>10039570</v>
      </c>
      <c r="R34" s="120">
        <v>42992</v>
      </c>
      <c r="S34" s="120">
        <v>42992</v>
      </c>
      <c r="T34" s="120">
        <v>43032</v>
      </c>
      <c r="U34" t="s">
        <v>2730</v>
      </c>
      <c r="V34" t="s">
        <v>187</v>
      </c>
      <c r="W34" t="s">
        <v>2730</v>
      </c>
      <c r="X34" t="s">
        <v>188</v>
      </c>
      <c r="Y34" t="s">
        <v>2730</v>
      </c>
      <c r="Z34" t="s">
        <v>2730</v>
      </c>
      <c r="AA34" t="s">
        <v>2730</v>
      </c>
      <c r="AB34" t="s">
        <v>2730</v>
      </c>
      <c r="AC34" t="s">
        <v>2730</v>
      </c>
      <c r="AD34" t="s">
        <v>2730</v>
      </c>
      <c r="AE34" t="s">
        <v>2730</v>
      </c>
      <c r="AF34" t="s">
        <v>2730</v>
      </c>
      <c r="AG34" t="s">
        <v>189</v>
      </c>
      <c r="AH34" t="s">
        <v>2730</v>
      </c>
      <c r="AI34" t="s">
        <v>59</v>
      </c>
      <c r="AJ34" t="s">
        <v>190</v>
      </c>
      <c r="AK34" t="s">
        <v>59</v>
      </c>
      <c r="AL34" t="s">
        <v>190</v>
      </c>
      <c r="AM34" t="s">
        <v>190</v>
      </c>
      <c r="AN34" t="s">
        <v>59</v>
      </c>
      <c r="AO34" t="s">
        <v>190</v>
      </c>
      <c r="AP34" t="s">
        <v>59</v>
      </c>
      <c r="AQ34" t="s">
        <v>59</v>
      </c>
      <c r="AR34" t="s">
        <v>59</v>
      </c>
      <c r="AS34" t="s">
        <v>190</v>
      </c>
      <c r="AT34" t="s">
        <v>190</v>
      </c>
      <c r="AU34" t="s">
        <v>190</v>
      </c>
      <c r="AV34" t="s">
        <v>59</v>
      </c>
      <c r="AW34" t="s">
        <v>190</v>
      </c>
      <c r="AX34" t="s">
        <v>190</v>
      </c>
      <c r="AY34" t="s">
        <v>218</v>
      </c>
      <c r="AZ34" t="s">
        <v>190</v>
      </c>
      <c r="BA34" t="s">
        <v>190</v>
      </c>
      <c r="BB34" t="s">
        <v>190</v>
      </c>
      <c r="BC34" t="s">
        <v>59</v>
      </c>
      <c r="BD34" t="s">
        <v>59</v>
      </c>
      <c r="BE34" t="s">
        <v>59</v>
      </c>
      <c r="BF34" t="s">
        <v>59</v>
      </c>
      <c r="BG34" t="s">
        <v>218</v>
      </c>
      <c r="BH34" t="s">
        <v>190</v>
      </c>
      <c r="BI34" t="s">
        <v>190</v>
      </c>
      <c r="BJ34" t="s">
        <v>190</v>
      </c>
      <c r="BK34" t="s">
        <v>59</v>
      </c>
      <c r="BL34" t="s">
        <v>190</v>
      </c>
      <c r="BM34" t="s">
        <v>190</v>
      </c>
      <c r="BN34" t="s">
        <v>59</v>
      </c>
      <c r="BO34" t="s">
        <v>190</v>
      </c>
      <c r="BP34" t="s">
        <v>190</v>
      </c>
      <c r="BQ34" t="s">
        <v>190</v>
      </c>
      <c r="BR34" t="s">
        <v>59</v>
      </c>
      <c r="BS34" t="s">
        <v>190</v>
      </c>
      <c r="BT34" t="s">
        <v>190</v>
      </c>
      <c r="BU34" t="s">
        <v>190</v>
      </c>
      <c r="BV34" t="s">
        <v>59</v>
      </c>
      <c r="BW34" t="s">
        <v>190</v>
      </c>
      <c r="BX34" t="s">
        <v>190</v>
      </c>
      <c r="BY34" t="s">
        <v>190</v>
      </c>
      <c r="BZ34" t="s">
        <v>190</v>
      </c>
      <c r="CA34" t="s">
        <v>190</v>
      </c>
      <c r="CB34" t="s">
        <v>190</v>
      </c>
      <c r="CC34" t="s">
        <v>190</v>
      </c>
      <c r="CD34" t="s">
        <v>190</v>
      </c>
      <c r="CE34" t="s">
        <v>190</v>
      </c>
      <c r="CF34" t="s">
        <v>190</v>
      </c>
      <c r="CG34" t="s">
        <v>190</v>
      </c>
      <c r="CH34" t="s">
        <v>190</v>
      </c>
      <c r="CI34" t="s">
        <v>190</v>
      </c>
      <c r="CJ34" t="s">
        <v>190</v>
      </c>
      <c r="CK34" t="s">
        <v>190</v>
      </c>
      <c r="CL34" t="s">
        <v>59</v>
      </c>
      <c r="CM34" t="s">
        <v>59</v>
      </c>
      <c r="CN34" t="s">
        <v>59</v>
      </c>
      <c r="CO34" t="s">
        <v>218</v>
      </c>
      <c r="CP34" t="s">
        <v>218</v>
      </c>
      <c r="CQ34" t="s">
        <v>218</v>
      </c>
      <c r="CR34" t="s">
        <v>190</v>
      </c>
      <c r="CS34" t="s">
        <v>190</v>
      </c>
      <c r="CT34" t="s">
        <v>190</v>
      </c>
      <c r="CU34" t="s">
        <v>190</v>
      </c>
      <c r="CV34" t="s">
        <v>190</v>
      </c>
      <c r="CW34" t="s">
        <v>190</v>
      </c>
      <c r="CX34" t="s">
        <v>190</v>
      </c>
      <c r="CY34" t="s">
        <v>190</v>
      </c>
      <c r="CZ34" t="s">
        <v>190</v>
      </c>
      <c r="DA34" t="s">
        <v>190</v>
      </c>
      <c r="DB34" t="s">
        <v>190</v>
      </c>
      <c r="DC34" t="s">
        <v>190</v>
      </c>
      <c r="DD34" t="s">
        <v>190</v>
      </c>
      <c r="DE34" t="s">
        <v>190</v>
      </c>
      <c r="DF34" t="s">
        <v>190</v>
      </c>
      <c r="DG34" t="s">
        <v>190</v>
      </c>
      <c r="DH34" t="s">
        <v>190</v>
      </c>
      <c r="DI34" t="s">
        <v>190</v>
      </c>
      <c r="DJ34" t="s">
        <v>190</v>
      </c>
      <c r="DK34" t="s">
        <v>190</v>
      </c>
      <c r="DL34" t="s">
        <v>190</v>
      </c>
      <c r="DM34" t="s">
        <v>190</v>
      </c>
      <c r="DN34" t="s">
        <v>190</v>
      </c>
      <c r="DO34" t="s">
        <v>190</v>
      </c>
      <c r="DP34" t="s">
        <v>190</v>
      </c>
      <c r="DQ34" t="s">
        <v>190</v>
      </c>
      <c r="DR34" t="s">
        <v>190</v>
      </c>
      <c r="DS34" t="s">
        <v>190</v>
      </c>
      <c r="DT34" t="s">
        <v>190</v>
      </c>
      <c r="DU34" t="s">
        <v>190</v>
      </c>
      <c r="DV34" t="s">
        <v>190</v>
      </c>
      <c r="DW34" t="s">
        <v>190</v>
      </c>
      <c r="DX34" t="s">
        <v>190</v>
      </c>
      <c r="DY34" t="s">
        <v>190</v>
      </c>
      <c r="DZ34" t="s">
        <v>190</v>
      </c>
      <c r="EA34" t="s">
        <v>190</v>
      </c>
      <c r="EB34" t="s">
        <v>190</v>
      </c>
      <c r="EC34" t="s">
        <v>190</v>
      </c>
      <c r="ED34" t="s">
        <v>190</v>
      </c>
      <c r="EE34" t="s">
        <v>190</v>
      </c>
      <c r="EF34" t="s">
        <v>190</v>
      </c>
      <c r="EG34" t="s">
        <v>190</v>
      </c>
      <c r="EH34" t="s">
        <v>190</v>
      </c>
      <c r="EI34" t="s">
        <v>190</v>
      </c>
      <c r="EJ34" t="s">
        <v>190</v>
      </c>
      <c r="EK34" t="s">
        <v>190</v>
      </c>
      <c r="EL34" t="s">
        <v>190</v>
      </c>
      <c r="EM34" t="s">
        <v>190</v>
      </c>
      <c r="EN34" t="s">
        <v>190</v>
      </c>
      <c r="EO34" t="s">
        <v>190</v>
      </c>
      <c r="EP34" t="s">
        <v>190</v>
      </c>
      <c r="EQ34" t="s">
        <v>190</v>
      </c>
      <c r="ER34" t="s">
        <v>190</v>
      </c>
      <c r="ES34" t="s">
        <v>190</v>
      </c>
      <c r="ET34" t="s">
        <v>190</v>
      </c>
      <c r="EU34" t="s">
        <v>190</v>
      </c>
      <c r="EV34" t="s">
        <v>190</v>
      </c>
      <c r="EW34" t="s">
        <v>190</v>
      </c>
      <c r="EX34" t="s">
        <v>190</v>
      </c>
      <c r="EY34" t="s">
        <v>190</v>
      </c>
      <c r="EZ34" t="s">
        <v>190</v>
      </c>
      <c r="FA34" t="s">
        <v>190</v>
      </c>
      <c r="FB34" t="s">
        <v>190</v>
      </c>
      <c r="FC34" t="s">
        <v>190</v>
      </c>
      <c r="FD34" t="s">
        <v>190</v>
      </c>
      <c r="FE34" t="s">
        <v>190</v>
      </c>
      <c r="FF34" t="s">
        <v>190</v>
      </c>
      <c r="FG34" t="s">
        <v>190</v>
      </c>
      <c r="FH34" t="s">
        <v>190</v>
      </c>
      <c r="FI34" t="s">
        <v>190</v>
      </c>
      <c r="FJ34" t="s">
        <v>190</v>
      </c>
      <c r="FK34" t="s">
        <v>190</v>
      </c>
      <c r="FL34" t="s">
        <v>190</v>
      </c>
      <c r="FM34" t="s">
        <v>190</v>
      </c>
      <c r="FN34" t="s">
        <v>190</v>
      </c>
      <c r="FO34" t="s">
        <v>190</v>
      </c>
      <c r="FP34" t="s">
        <v>190</v>
      </c>
      <c r="FQ34" t="s">
        <v>190</v>
      </c>
      <c r="FR34" t="s">
        <v>190</v>
      </c>
      <c r="FS34" t="s">
        <v>190</v>
      </c>
      <c r="FT34" t="s">
        <v>190</v>
      </c>
      <c r="FU34" t="s">
        <v>190</v>
      </c>
      <c r="FV34" t="s">
        <v>190</v>
      </c>
      <c r="FW34" t="s">
        <v>190</v>
      </c>
      <c r="FX34" t="s">
        <v>190</v>
      </c>
      <c r="FY34" t="s">
        <v>190</v>
      </c>
      <c r="FZ34" t="s">
        <v>190</v>
      </c>
      <c r="GA34" t="s">
        <v>190</v>
      </c>
      <c r="GB34" t="s">
        <v>190</v>
      </c>
      <c r="GC34" t="s">
        <v>190</v>
      </c>
      <c r="GD34" t="s">
        <v>190</v>
      </c>
      <c r="GE34" t="s">
        <v>190</v>
      </c>
      <c r="GF34" t="s">
        <v>190</v>
      </c>
      <c r="GG34" t="s">
        <v>190</v>
      </c>
      <c r="GH34" t="s">
        <v>190</v>
      </c>
      <c r="GI34" t="s">
        <v>190</v>
      </c>
      <c r="GJ34" t="s">
        <v>190</v>
      </c>
      <c r="GK34" t="s">
        <v>190</v>
      </c>
      <c r="GL34" t="s">
        <v>59</v>
      </c>
      <c r="GM34" t="s">
        <v>190</v>
      </c>
      <c r="GN34" t="s">
        <v>190</v>
      </c>
      <c r="GO34" t="s">
        <v>59</v>
      </c>
      <c r="GP34" t="s">
        <v>190</v>
      </c>
      <c r="GQ34" t="s">
        <v>190</v>
      </c>
      <c r="GR34" t="s">
        <v>190</v>
      </c>
      <c r="GS34" t="s">
        <v>190</v>
      </c>
      <c r="GT34" t="s">
        <v>190</v>
      </c>
      <c r="GU34" t="s">
        <v>190</v>
      </c>
      <c r="GV34" t="s">
        <v>190</v>
      </c>
      <c r="GW34" t="s">
        <v>190</v>
      </c>
      <c r="GX34" t="s">
        <v>190</v>
      </c>
      <c r="GY34" t="s">
        <v>190</v>
      </c>
      <c r="GZ34" t="s">
        <v>190</v>
      </c>
      <c r="HA34" t="s">
        <v>190</v>
      </c>
      <c r="HB34" t="s">
        <v>190</v>
      </c>
      <c r="HC34" t="s">
        <v>190</v>
      </c>
      <c r="HD34" t="s">
        <v>190</v>
      </c>
      <c r="HE34" t="s">
        <v>190</v>
      </c>
      <c r="HF34" t="s">
        <v>190</v>
      </c>
      <c r="HG34" t="s">
        <v>190</v>
      </c>
      <c r="HH34" t="s">
        <v>190</v>
      </c>
      <c r="HI34" t="s">
        <v>190</v>
      </c>
      <c r="HJ34" t="s">
        <v>190</v>
      </c>
      <c r="HK34" t="s">
        <v>190</v>
      </c>
      <c r="HL34" t="s">
        <v>190</v>
      </c>
      <c r="HM34" t="s">
        <v>190</v>
      </c>
      <c r="HN34" t="s">
        <v>190</v>
      </c>
      <c r="HO34" t="s">
        <v>190</v>
      </c>
      <c r="HP34" t="s">
        <v>190</v>
      </c>
      <c r="HQ34" t="s">
        <v>190</v>
      </c>
      <c r="HR34" t="s">
        <v>190</v>
      </c>
      <c r="HS34" t="s">
        <v>190</v>
      </c>
      <c r="HT34" t="s">
        <v>190</v>
      </c>
      <c r="HU34" t="s">
        <v>190</v>
      </c>
      <c r="HV34" t="s">
        <v>190</v>
      </c>
      <c r="HW34" t="s">
        <v>190</v>
      </c>
      <c r="HX34" t="s">
        <v>190</v>
      </c>
      <c r="HY34" t="s">
        <v>190</v>
      </c>
      <c r="HZ34" t="s">
        <v>190</v>
      </c>
      <c r="IA34" t="s">
        <v>190</v>
      </c>
      <c r="IB34" t="s">
        <v>190</v>
      </c>
      <c r="IC34" t="s">
        <v>190</v>
      </c>
      <c r="ID34" t="s">
        <v>190</v>
      </c>
      <c r="IE34" t="s">
        <v>190</v>
      </c>
      <c r="IF34" t="s">
        <v>59</v>
      </c>
      <c r="IG34" t="s">
        <v>59</v>
      </c>
      <c r="IH34" t="s">
        <v>59</v>
      </c>
      <c r="II34" t="s">
        <v>190</v>
      </c>
      <c r="IJ34" t="s">
        <v>129</v>
      </c>
      <c r="IK34" t="s">
        <v>191</v>
      </c>
      <c r="IL34" t="s">
        <v>128</v>
      </c>
      <c r="IM34" t="s">
        <v>2730</v>
      </c>
      <c r="IN34">
        <v>11</v>
      </c>
      <c r="IO34" t="s">
        <v>2730</v>
      </c>
      <c r="IP34" t="s">
        <v>2730</v>
      </c>
      <c r="IQ34" t="s">
        <v>2730</v>
      </c>
      <c r="IR34" t="s">
        <v>2730</v>
      </c>
      <c r="IS34" t="s">
        <v>2730</v>
      </c>
      <c r="IT34" t="s">
        <v>2730</v>
      </c>
      <c r="IU34" t="s">
        <v>2730</v>
      </c>
      <c r="IV34">
        <v>3</v>
      </c>
      <c r="IW34" t="s">
        <v>2730</v>
      </c>
      <c r="IX34" t="s">
        <v>2730</v>
      </c>
      <c r="IY34" t="s">
        <v>2730</v>
      </c>
      <c r="IZ34" t="s">
        <v>2730</v>
      </c>
      <c r="JA34" t="s">
        <v>2730</v>
      </c>
      <c r="JB34" t="s">
        <v>2730</v>
      </c>
      <c r="JC34" t="s">
        <v>2730</v>
      </c>
      <c r="JD34" t="s">
        <v>2730</v>
      </c>
      <c r="JE34" t="s">
        <v>2730</v>
      </c>
      <c r="JF34" t="s">
        <v>2730</v>
      </c>
      <c r="JG34" t="s">
        <v>2730</v>
      </c>
      <c r="JH34">
        <v>2</v>
      </c>
      <c r="JI34" t="s">
        <v>2730</v>
      </c>
      <c r="JJ34" t="s">
        <v>2730</v>
      </c>
      <c r="JK34" t="s">
        <v>2730</v>
      </c>
      <c r="JL34" t="s">
        <v>2730</v>
      </c>
      <c r="JM34" t="s">
        <v>2730</v>
      </c>
      <c r="JN34" t="s">
        <v>2730</v>
      </c>
      <c r="JO34">
        <v>3</v>
      </c>
      <c r="JP34" t="s">
        <v>2730</v>
      </c>
      <c r="JQ34" t="s">
        <v>2730</v>
      </c>
    </row>
  </sheetData>
  <sheetProtection sheet="1" objects="1" scenarios="1" sort="0" autoFilter="0"/>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95767B3863A4E4BB418B58E8EF52A5C" ma:contentTypeVersion="0" ma:contentTypeDescription="Create a new document." ma:contentTypeScope="" ma:versionID="7f1d418ce22482b369f1d332ff402a9a">
  <xsd:schema xmlns:xsd="http://www.w3.org/2001/XMLSchema" xmlns:xs="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33EE53A-13E2-4BCE-828F-DFB1EABA60D3}">
  <ds:schemaRef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ADDEC4A8-E2F4-4CA6-A55B-49CF16A2C6A5}">
  <ds:schemaRefs>
    <ds:schemaRef ds:uri="http://schemas.microsoft.com/sharepoint/v3/contenttype/forms"/>
  </ds:schemaRefs>
</ds:datastoreItem>
</file>

<file path=customXml/itemProps3.xml><?xml version="1.0" encoding="utf-8"?>
<ds:datastoreItem xmlns:ds="http://schemas.openxmlformats.org/officeDocument/2006/customXml" ds:itemID="{93BADB54-74BE-4DE7-B23F-77D82693E90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3</vt:i4>
      </vt:variant>
    </vt:vector>
  </HeadingPairs>
  <TitlesOfParts>
    <vt:vector size="13" baseType="lpstr">
      <vt:lpstr>Cover</vt:lpstr>
      <vt:lpstr>Contents</vt:lpstr>
      <vt:lpstr>Data dictionary</vt:lpstr>
      <vt:lpstr>T1 In-year inspections</vt:lpstr>
      <vt:lpstr>T2 In-year standards</vt:lpstr>
      <vt:lpstr>T3 In-year monitoring</vt:lpstr>
      <vt:lpstr>T4 Most recent inspections</vt:lpstr>
      <vt:lpstr>D1 In-year standard inspections</vt:lpstr>
      <vt:lpstr>D2 In-year monitoring</vt:lpstr>
      <vt:lpstr>D3 Most recent inspections</vt:lpstr>
      <vt:lpstr>InYear</vt:lpstr>
      <vt:lpstr>Monitoring</vt:lpstr>
      <vt:lpstr>SoN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Management information - non-association independent schools - as at 31 December 2017</dc:title>
  <dc:creator/>
  <cp:lastModifiedBy/>
  <dcterms:created xsi:type="dcterms:W3CDTF">2006-09-16T00:00:00Z</dcterms:created>
  <dcterms:modified xsi:type="dcterms:W3CDTF">2019-12-18T12:23:09Z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0x010100195767B3863A4E4BB418B58E8EF52A5C</vt:lpwstr>
  </property>
</Properties>
</file>