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Z:\Sdau1\Pre-16 development\Routine products\Value added\2019\KS1-KS2 Ready Reckoners\KS1- KS2 Amended\"/>
    </mc:Choice>
  </mc:AlternateContent>
  <workbookProtection workbookPassword="DE3F" lockStructure="1"/>
  <bookViews>
    <workbookView xWindow="0" yWindow="0" windowWidth="9600" windowHeight="3255" tabRatio="720"/>
  </bookViews>
  <sheets>
    <sheet name="Guidance" sheetId="1" r:id="rId1"/>
    <sheet name="KS1 Data Input" sheetId="2" r:id="rId2"/>
    <sheet name="KS2 Data Input" sheetId="3" r:id="rId3"/>
    <sheet name="Single Measure Ready Reckoner" sheetId="4" r:id="rId4"/>
    <sheet name="All Measures Ready Reckoner" sheetId="5" r:id="rId5"/>
    <sheet name="PAG Limits " sheetId="8" r:id="rId6"/>
    <sheet name="Prior Attainment Groups (PAGs)" sheetId="6" r:id="rId7"/>
    <sheet name="PAG Limits (data)" sheetId="9" state="hidden" r:id="rId8"/>
    <sheet name="KS2 Fine grades lookup" sheetId="7" state="hidden" r:id="rId9"/>
  </sheets>
  <externalReferences>
    <externalReference r:id="rId10"/>
  </externalReferences>
  <definedNames>
    <definedName name="getChart" localSheetId="1">IF('[1]1 Measure Ready Reckoner'!$G$9='[1]1 Measure Ready Reckoner'!$X$6,INDIRECT("'Chart Data'!$C$12"),INDIRECT("'Chart Data'!$D$12"))</definedName>
    <definedName name="getChart">IF('Single Measure Ready Reckoner'!$G$9='Single Measure Ready Reckoner'!#REF!,INDIRECT("'Chart Data'!$C$12"),INDIRECT("'Chart Data'!$D$12"))</definedName>
    <definedName name="getChart2" localSheetId="1">IF('[1]1 Measure Ready Reckoner'!$G$9='[1]1 Measure Ready Reckoner'!$X$6,INDIRECT("'Chart Data'!$D$24"),INDIRECT("'Chart Data'!$C$24"))</definedName>
    <definedName name="getChart2">IF('Single Measure Ready Reckoner'!$G$9='Single Measure Ready Reckoner'!#REF!,INDIRECT("'Chart Data'!$D$24"),INDIRECT("'Chart Data'!$C$24"))</definedName>
    <definedName name="mathsfinegrades">'KS2 Fine grades lookup'!$F$3:$H$110</definedName>
    <definedName name="_xlnm.Print_Area" localSheetId="4">'All Measures Ready Reckoner'!$A$1:$J$25</definedName>
    <definedName name="_xlnm.Print_Area" localSheetId="1">'KS1 Data Input'!$A$1:$L$35</definedName>
    <definedName name="_xlnm.Print_Area" localSheetId="2">'KS2 Data Input'!$A$1:$K$51</definedName>
    <definedName name="_xlnm.Print_Area" localSheetId="3">'Single Measure Ready Reckoner'!$A$1:$R$46</definedName>
    <definedName name="readingfinegrades">'KS2 Fine grades lookup'!$A$3:$C$60</definedName>
    <definedName name="Scores" localSheetId="1">OFFSET('[1]1 Measure Ready Reckoner'!$Y$1,0,0,SUM('[1]1 Measure Ready Reckoner'!$AE$1:$AE$581),1)</definedName>
    <definedName name="Scores">OFFSET('Single Measure Ready Reckoner'!#REF!,0,0,SUM('Single Measure Ready Reckoner'!#REF!),1)</definedName>
    <definedName name="THR">'KS2 Fine grades lookup'!$S$5:$W$9</definedName>
    <definedName name="thresholds">'KS2 Fine grades lookup'!$S$6:$Z$10</definedName>
    <definedName name="years">#REF!</definedName>
    <definedName name="Z_377A32C9_D8CF_4808_9C50_3AB68474CE61_.wvu.Cols" localSheetId="4" hidden="1">'All Measures Ready Reckoner'!$O:$V</definedName>
    <definedName name="Z_377A32C9_D8CF_4808_9C50_3AB68474CE61_.wvu.Cols" localSheetId="1" hidden="1">'KS1 Data Input'!$AG:$AH</definedName>
    <definedName name="Z_377A32C9_D8CF_4808_9C50_3AB68474CE61_.wvu.Cols" localSheetId="2" hidden="1">'KS2 Data Input'!$P:$AA</definedName>
    <definedName name="Z_377A32C9_D8CF_4808_9C50_3AB68474CE61_.wvu.Cols" localSheetId="6" hidden="1">'Prior Attainment Groups (PAGs)'!#REF!,'Prior Attainment Groups (PAGs)'!#REF!</definedName>
    <definedName name="Z_377A32C9_D8CF_4808_9C50_3AB68474CE61_.wvu.PrintArea" localSheetId="4" hidden="1">'All Measures Ready Reckoner'!$A$1:$J$25</definedName>
    <definedName name="Z_377A32C9_D8CF_4808_9C50_3AB68474CE61_.wvu.PrintArea" localSheetId="1" hidden="1">'KS1 Data Input'!$A$1:$L$35</definedName>
    <definedName name="Z_377A32C9_D8CF_4808_9C50_3AB68474CE61_.wvu.PrintArea" localSheetId="2" hidden="1">'KS2 Data Input'!$A$1:$K$51</definedName>
    <definedName name="Z_377A32C9_D8CF_4808_9C50_3AB68474CE61_.wvu.PrintArea" localSheetId="3" hidden="1">'Single Measure Ready Reckoner'!$A$1:$R$46</definedName>
  </definedNames>
  <calcPr calcId="162913" fullCalcOnLoad="1"/>
  <customWorkbookViews>
    <customWorkbookView name="MORRISS, Christopher - Personal View" guid="{377A32C9-D8CF-4808-9C50-3AB68474CE61}" mergeInterval="0" personalView="1" maximized="1" windowWidth="1596" windowHeight="953" activeSheetId="3"/>
  </customWorkbookViews>
</workbook>
</file>

<file path=xl/calcChain.xml><?xml version="1.0" encoding="utf-8"?>
<calcChain xmlns="http://schemas.openxmlformats.org/spreadsheetml/2006/main">
  <c r="AM11" i="5" l="1"/>
  <c r="AN11" i="5"/>
  <c r="AO11" i="5"/>
  <c r="AM12" i="5"/>
  <c r="AN12" i="5"/>
  <c r="AO12" i="5"/>
  <c r="AM13" i="5"/>
  <c r="AN13" i="5"/>
  <c r="AO13" i="5"/>
  <c r="AM14" i="5"/>
  <c r="AN14" i="5"/>
  <c r="AO14" i="5"/>
  <c r="AM15" i="5"/>
  <c r="AN15" i="5"/>
  <c r="AO15" i="5"/>
  <c r="AM16" i="5"/>
  <c r="AN16" i="5"/>
  <c r="AO16" i="5"/>
  <c r="AM17" i="5"/>
  <c r="AN17" i="5"/>
  <c r="AO17" i="5"/>
  <c r="AM18" i="5"/>
  <c r="AN18" i="5"/>
  <c r="AO18" i="5"/>
  <c r="AM19" i="5"/>
  <c r="AN19" i="5"/>
  <c r="AO19" i="5"/>
  <c r="AM20" i="5"/>
  <c r="AN20" i="5"/>
  <c r="AO20" i="5"/>
  <c r="AM21" i="5"/>
  <c r="AN21" i="5"/>
  <c r="AO21" i="5"/>
  <c r="AM22" i="5"/>
  <c r="AN22" i="5"/>
  <c r="AO22" i="5"/>
  <c r="AM23" i="5"/>
  <c r="AN23" i="5"/>
  <c r="AO23" i="5"/>
  <c r="AM24" i="5"/>
  <c r="AN24" i="5"/>
  <c r="AO24" i="5"/>
  <c r="AM25" i="5"/>
  <c r="AN25" i="5"/>
  <c r="AO25" i="5"/>
  <c r="AM26" i="5"/>
  <c r="AN26" i="5"/>
  <c r="AO26" i="5"/>
  <c r="AN10" i="5"/>
  <c r="AO10" i="5"/>
  <c r="AM10" i="5"/>
  <c r="E28" i="3"/>
  <c r="D11" i="5"/>
  <c r="K28" i="3"/>
  <c r="H11" i="5"/>
  <c r="AQ52" i="3"/>
  <c r="AQ53" i="3"/>
  <c r="AM50" i="3"/>
  <c r="AM51" i="3"/>
  <c r="AM52" i="3"/>
  <c r="AM53" i="3"/>
  <c r="G29" i="7"/>
  <c r="H29" i="7"/>
  <c r="AH14" i="5"/>
  <c r="AH22" i="5"/>
  <c r="AG18" i="5"/>
  <c r="AG22" i="5"/>
  <c r="AG26" i="5"/>
  <c r="AF14" i="5"/>
  <c r="AF18" i="5"/>
  <c r="AF22" i="5"/>
  <c r="AF26" i="5"/>
  <c r="P10" i="6"/>
  <c r="Q10" i="6"/>
  <c r="R10" i="6"/>
  <c r="P11" i="6"/>
  <c r="Q11" i="6"/>
  <c r="R11" i="6"/>
  <c r="P12" i="6"/>
  <c r="Q12" i="6"/>
  <c r="R12" i="6"/>
  <c r="P13" i="6"/>
  <c r="Q13" i="6"/>
  <c r="R13" i="6"/>
  <c r="P14" i="6"/>
  <c r="Q14" i="6"/>
  <c r="R14" i="6"/>
  <c r="P15" i="6"/>
  <c r="Q15" i="6"/>
  <c r="R15" i="6"/>
  <c r="P16" i="6"/>
  <c r="Q16" i="6"/>
  <c r="R16" i="6"/>
  <c r="P17" i="6"/>
  <c r="Q17" i="6"/>
  <c r="R17" i="6"/>
  <c r="P18" i="6"/>
  <c r="Q18" i="6"/>
  <c r="R18" i="6"/>
  <c r="P19" i="6"/>
  <c r="Q19" i="6"/>
  <c r="R19" i="6"/>
  <c r="P20" i="6"/>
  <c r="Q20" i="6"/>
  <c r="R20" i="6"/>
  <c r="P21" i="6"/>
  <c r="Q21" i="6"/>
  <c r="R21" i="6"/>
  <c r="P22" i="6"/>
  <c r="Q22" i="6"/>
  <c r="R22" i="6"/>
  <c r="P23" i="6"/>
  <c r="Q23" i="6"/>
  <c r="R23" i="6"/>
  <c r="P24" i="6"/>
  <c r="Q24" i="6"/>
  <c r="R24" i="6"/>
  <c r="P25" i="6"/>
  <c r="Q25" i="6"/>
  <c r="R25" i="6"/>
  <c r="P26" i="6"/>
  <c r="Q26" i="6"/>
  <c r="R26" i="6"/>
  <c r="P27" i="6"/>
  <c r="Q27" i="6"/>
  <c r="R27" i="6"/>
  <c r="P28" i="6"/>
  <c r="Q28" i="6"/>
  <c r="R28" i="6"/>
  <c r="P29" i="6"/>
  <c r="Q29" i="6"/>
  <c r="R29" i="6"/>
  <c r="P30" i="6"/>
  <c r="Q30" i="6"/>
  <c r="R30" i="6"/>
  <c r="P31" i="6"/>
  <c r="Q31" i="6"/>
  <c r="R31" i="6"/>
  <c r="P32" i="6"/>
  <c r="Q32" i="6"/>
  <c r="R32" i="6"/>
  <c r="Q9" i="6"/>
  <c r="R9" i="6"/>
  <c r="P9" i="6"/>
  <c r="AF11" i="5"/>
  <c r="AG11" i="5"/>
  <c r="AH11" i="5"/>
  <c r="AF12" i="5"/>
  <c r="AG12" i="5"/>
  <c r="AH12" i="5"/>
  <c r="AF13" i="5"/>
  <c r="AG13" i="5"/>
  <c r="AH13" i="5"/>
  <c r="AG14" i="5"/>
  <c r="AF15" i="5"/>
  <c r="AG15" i="5"/>
  <c r="AH15" i="5"/>
  <c r="AF16" i="5"/>
  <c r="AG16" i="5"/>
  <c r="AH16" i="5"/>
  <c r="AF17" i="5"/>
  <c r="AG17" i="5"/>
  <c r="AH17" i="5"/>
  <c r="AH18" i="5"/>
  <c r="AF19" i="5"/>
  <c r="AG19" i="5"/>
  <c r="AH19" i="5"/>
  <c r="AF20" i="5"/>
  <c r="AG20" i="5"/>
  <c r="AH20" i="5"/>
  <c r="AF21" i="5"/>
  <c r="AG21" i="5"/>
  <c r="AH21" i="5"/>
  <c r="AF23" i="5"/>
  <c r="AG23" i="5"/>
  <c r="AH23" i="5"/>
  <c r="AF24" i="5"/>
  <c r="AG24" i="5"/>
  <c r="AH24" i="5"/>
  <c r="AF25" i="5"/>
  <c r="AG25" i="5"/>
  <c r="AH25" i="5"/>
  <c r="AH26" i="5"/>
  <c r="AG10" i="5"/>
  <c r="AH10" i="5"/>
  <c r="AF10" i="5"/>
  <c r="T31" i="9"/>
  <c r="T30" i="9"/>
  <c r="T29" i="9"/>
  <c r="T28" i="9"/>
  <c r="T27" i="9"/>
  <c r="T26" i="9"/>
  <c r="T25" i="9"/>
  <c r="T24" i="9"/>
  <c r="T23" i="9"/>
  <c r="T22" i="9"/>
  <c r="T21" i="9"/>
  <c r="T20" i="9"/>
  <c r="T19" i="9"/>
  <c r="T18" i="9"/>
  <c r="T17" i="9"/>
  <c r="T16" i="9"/>
  <c r="T15" i="9"/>
  <c r="M31" i="9"/>
  <c r="M30" i="9"/>
  <c r="M29" i="9"/>
  <c r="M28" i="9"/>
  <c r="M27" i="9"/>
  <c r="M26" i="9"/>
  <c r="M25" i="9"/>
  <c r="M24" i="9"/>
  <c r="M23" i="9"/>
  <c r="M22" i="9"/>
  <c r="M21" i="9"/>
  <c r="M20" i="9"/>
  <c r="M19" i="9"/>
  <c r="M18" i="9"/>
  <c r="M17" i="9"/>
  <c r="M16" i="9"/>
  <c r="M15" i="9"/>
  <c r="F16" i="9"/>
  <c r="F17" i="9"/>
  <c r="F18" i="9"/>
  <c r="F19" i="9"/>
  <c r="F20" i="9"/>
  <c r="F21" i="9"/>
  <c r="F22" i="9"/>
  <c r="F23" i="9"/>
  <c r="F24" i="9"/>
  <c r="F25" i="9"/>
  <c r="F26" i="9"/>
  <c r="F27" i="9"/>
  <c r="F28" i="9"/>
  <c r="F29" i="9"/>
  <c r="F30" i="9"/>
  <c r="F31" i="9"/>
  <c r="F15" i="9"/>
  <c r="AC4" i="5"/>
  <c r="AD4" i="5"/>
  <c r="AE4" i="5"/>
  <c r="AC5" i="5"/>
  <c r="AD5" i="5"/>
  <c r="AE5" i="5"/>
  <c r="AC6" i="5"/>
  <c r="AD6" i="5"/>
  <c r="AE6" i="5"/>
  <c r="AC7" i="5"/>
  <c r="AD7" i="5"/>
  <c r="AE7" i="5"/>
  <c r="AC8" i="5"/>
  <c r="AD8" i="5"/>
  <c r="AE8" i="5"/>
  <c r="AC9" i="5"/>
  <c r="AD9" i="5"/>
  <c r="AE9" i="5"/>
  <c r="AC10" i="5"/>
  <c r="AD10" i="5"/>
  <c r="AE10" i="5"/>
  <c r="AC11" i="5"/>
  <c r="AD11" i="5"/>
  <c r="AE11" i="5"/>
  <c r="AC12" i="5"/>
  <c r="AD12" i="5"/>
  <c r="AE12" i="5"/>
  <c r="AC13" i="5"/>
  <c r="AD13" i="5"/>
  <c r="AE13" i="5"/>
  <c r="AC14" i="5"/>
  <c r="AD14" i="5"/>
  <c r="AE14" i="5"/>
  <c r="AC15" i="5"/>
  <c r="AD15" i="5"/>
  <c r="AE15" i="5"/>
  <c r="AC16" i="5"/>
  <c r="AD16" i="5"/>
  <c r="AE16" i="5"/>
  <c r="AC17" i="5"/>
  <c r="AD17" i="5"/>
  <c r="AE17" i="5"/>
  <c r="AC18" i="5"/>
  <c r="AD18" i="5"/>
  <c r="AE18" i="5"/>
  <c r="AC19" i="5"/>
  <c r="AD19" i="5"/>
  <c r="AE19" i="5"/>
  <c r="AC20" i="5"/>
  <c r="AD20" i="5"/>
  <c r="AE20" i="5"/>
  <c r="AC21" i="5"/>
  <c r="AD21" i="5"/>
  <c r="AE21" i="5"/>
  <c r="AC22" i="5"/>
  <c r="AD22" i="5"/>
  <c r="AE22" i="5"/>
  <c r="AC23" i="5"/>
  <c r="AD23" i="5"/>
  <c r="AE23" i="5"/>
  <c r="AC24" i="5"/>
  <c r="AD24" i="5"/>
  <c r="AE24" i="5"/>
  <c r="AC25" i="5"/>
  <c r="AD25" i="5"/>
  <c r="AE25" i="5"/>
  <c r="AC26" i="5"/>
  <c r="AD26" i="5"/>
  <c r="AE26" i="5"/>
  <c r="AD3" i="5"/>
  <c r="AE3" i="5"/>
  <c r="AC3" i="5"/>
  <c r="W10" i="6"/>
  <c r="X10" i="6"/>
  <c r="Y10" i="6"/>
  <c r="W11" i="6"/>
  <c r="X11" i="6"/>
  <c r="Y11" i="6"/>
  <c r="W12" i="6"/>
  <c r="X12" i="6"/>
  <c r="Y12" i="6"/>
  <c r="W13" i="6"/>
  <c r="X13" i="6"/>
  <c r="Y13" i="6"/>
  <c r="W14" i="6"/>
  <c r="X14" i="6"/>
  <c r="Y14" i="6"/>
  <c r="W15" i="6"/>
  <c r="X15" i="6"/>
  <c r="Y15" i="6"/>
  <c r="W16" i="6"/>
  <c r="X16" i="6"/>
  <c r="Y16" i="6"/>
  <c r="W17" i="6"/>
  <c r="X17" i="6"/>
  <c r="Y17" i="6"/>
  <c r="W18" i="6"/>
  <c r="X18" i="6"/>
  <c r="Y18" i="6"/>
  <c r="W19" i="6"/>
  <c r="X19" i="6"/>
  <c r="Y19" i="6"/>
  <c r="W20" i="6"/>
  <c r="X20" i="6"/>
  <c r="Y20" i="6"/>
  <c r="W21" i="6"/>
  <c r="X21" i="6"/>
  <c r="Y21" i="6"/>
  <c r="W22" i="6"/>
  <c r="X22" i="6"/>
  <c r="Y22" i="6"/>
  <c r="W23" i="6"/>
  <c r="X23" i="6"/>
  <c r="Y23" i="6"/>
  <c r="W24" i="6"/>
  <c r="X24" i="6"/>
  <c r="Y24" i="6"/>
  <c r="W25" i="6"/>
  <c r="X25" i="6"/>
  <c r="Y25" i="6"/>
  <c r="W26" i="6"/>
  <c r="X26" i="6"/>
  <c r="Y26" i="6"/>
  <c r="W27" i="6"/>
  <c r="X27" i="6"/>
  <c r="Y27" i="6"/>
  <c r="W28" i="6"/>
  <c r="X28" i="6"/>
  <c r="Y28" i="6"/>
  <c r="W29" i="6"/>
  <c r="X29" i="6"/>
  <c r="Y29" i="6"/>
  <c r="W30" i="6"/>
  <c r="X30" i="6"/>
  <c r="Y30" i="6"/>
  <c r="W31" i="6"/>
  <c r="X31" i="6"/>
  <c r="Y31" i="6"/>
  <c r="W32" i="6"/>
  <c r="X32" i="6"/>
  <c r="Y32" i="6"/>
  <c r="X9" i="6"/>
  <c r="Y9" i="6"/>
  <c r="W9" i="6"/>
  <c r="C16" i="8"/>
  <c r="C17" i="8"/>
  <c r="C18" i="8"/>
  <c r="C19" i="8"/>
  <c r="C20" i="8"/>
  <c r="C21" i="8"/>
  <c r="C22" i="8"/>
  <c r="C23" i="8"/>
  <c r="C24" i="8"/>
  <c r="C25" i="8"/>
  <c r="C26" i="8"/>
  <c r="C27" i="8"/>
  <c r="C28" i="8"/>
  <c r="C29" i="8"/>
  <c r="C30" i="8"/>
  <c r="C31" i="8"/>
  <c r="C32" i="8"/>
  <c r="C33" i="8"/>
  <c r="AX6" i="2"/>
  <c r="AY12" i="2"/>
  <c r="AY13" i="2"/>
  <c r="AY14" i="2"/>
  <c r="AY15" i="2"/>
  <c r="AY16" i="2"/>
  <c r="AY17" i="2"/>
  <c r="AY18" i="2"/>
  <c r="AY19" i="2"/>
  <c r="AY20" i="2"/>
  <c r="AY21" i="2"/>
  <c r="AY22" i="2"/>
  <c r="AY23" i="2"/>
  <c r="AY24" i="2"/>
  <c r="AY25" i="2"/>
  <c r="AY26" i="2"/>
  <c r="AY27" i="2"/>
  <c r="AY28" i="2"/>
  <c r="AY29" i="2"/>
  <c r="K21" i="2"/>
  <c r="K25" i="2"/>
  <c r="C15" i="6"/>
  <c r="C16" i="6"/>
  <c r="C17" i="6"/>
  <c r="C18" i="6"/>
  <c r="C19" i="6"/>
  <c r="C20" i="6"/>
  <c r="C21" i="6"/>
  <c r="C22" i="6"/>
  <c r="C23" i="6"/>
  <c r="C24" i="6"/>
  <c r="C25" i="6"/>
  <c r="C26" i="6"/>
  <c r="C27" i="6"/>
  <c r="C28" i="6"/>
  <c r="C29" i="6"/>
  <c r="C30" i="6"/>
  <c r="C31" i="6"/>
  <c r="C32" i="6"/>
  <c r="AX8" i="2"/>
  <c r="AX9" i="2"/>
  <c r="AX10" i="2"/>
  <c r="AT12" i="2"/>
  <c r="AT13" i="2"/>
  <c r="AT14" i="2"/>
  <c r="AT15" i="2"/>
  <c r="AT16" i="2"/>
  <c r="AT17" i="2"/>
  <c r="AT18" i="2"/>
  <c r="AT19" i="2"/>
  <c r="AX19" i="2"/>
  <c r="G28" i="3"/>
  <c r="F11" i="5"/>
  <c r="G21" i="2"/>
  <c r="F25" i="2"/>
  <c r="E21" i="2"/>
  <c r="M21" i="2"/>
  <c r="I21" i="2"/>
  <c r="AQ35" i="2"/>
  <c r="AQ17" i="3"/>
  <c r="AQ18" i="3"/>
  <c r="AQ19" i="3"/>
  <c r="AQ20" i="3"/>
  <c r="AQ21" i="3"/>
  <c r="AQ22" i="3"/>
  <c r="AQ23" i="3"/>
  <c r="AQ24" i="3"/>
  <c r="AQ25" i="3"/>
  <c r="AQ26" i="3"/>
  <c r="AQ27" i="3"/>
  <c r="AQ28" i="3"/>
  <c r="AQ29" i="3"/>
  <c r="AQ30" i="3"/>
  <c r="AQ31" i="3"/>
  <c r="AQ32" i="3"/>
  <c r="AQ33" i="3"/>
  <c r="AQ34" i="3"/>
  <c r="AQ35" i="3"/>
  <c r="AQ36" i="3"/>
  <c r="AQ37" i="3"/>
  <c r="AQ38" i="3"/>
  <c r="AQ39" i="3"/>
  <c r="AQ40" i="3"/>
  <c r="AQ41" i="3"/>
  <c r="AQ42" i="3"/>
  <c r="AQ43" i="3"/>
  <c r="AQ44" i="3"/>
  <c r="AQ45" i="3"/>
  <c r="AQ46" i="3"/>
  <c r="AQ47" i="3"/>
  <c r="AQ48" i="3"/>
  <c r="AQ49" i="3"/>
  <c r="AQ50" i="3"/>
  <c r="AQ51" i="3"/>
  <c r="AQ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16" i="3"/>
  <c r="AX7" i="2"/>
  <c r="AX11" i="2"/>
  <c r="AX12" i="2"/>
  <c r="AX13" i="2"/>
  <c r="H25" i="7"/>
  <c r="B21" i="7"/>
  <c r="C21" i="7"/>
  <c r="B28" i="7"/>
  <c r="C28" i="7"/>
  <c r="G55" i="7"/>
  <c r="H55" i="7"/>
  <c r="B45" i="7"/>
  <c r="C45" i="7"/>
  <c r="B44" i="7"/>
  <c r="C44" i="7"/>
  <c r="B43" i="7"/>
  <c r="C43" i="7"/>
  <c r="J9" i="4"/>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L91" i="7"/>
  <c r="L92" i="7"/>
  <c r="L93" i="7"/>
  <c r="L94" i="7"/>
  <c r="L95" i="7"/>
  <c r="L96" i="7"/>
  <c r="L97" i="7"/>
  <c r="L98" i="7"/>
  <c r="L99" i="7"/>
  <c r="L100" i="7"/>
  <c r="L101" i="7"/>
  <c r="L102" i="7"/>
  <c r="L103" i="7"/>
  <c r="L104" i="7"/>
  <c r="L105" i="7"/>
  <c r="L106" i="7"/>
  <c r="L107" i="7"/>
  <c r="L108" i="7"/>
  <c r="L109" i="7"/>
  <c r="L110" i="7"/>
  <c r="C8" i="7"/>
  <c r="H8" i="7"/>
  <c r="C9" i="7"/>
  <c r="H9" i="7"/>
  <c r="C10" i="7"/>
  <c r="H10" i="7"/>
  <c r="C11" i="7"/>
  <c r="H11" i="7"/>
  <c r="C12" i="7"/>
  <c r="H12" i="7"/>
  <c r="C13" i="7"/>
  <c r="H13" i="7"/>
  <c r="C14" i="7"/>
  <c r="H14" i="7"/>
  <c r="C15" i="7"/>
  <c r="H15" i="7"/>
  <c r="C16" i="7"/>
  <c r="H16" i="7"/>
  <c r="C17" i="7"/>
  <c r="H17" i="7"/>
  <c r="C18" i="7"/>
  <c r="H18" i="7"/>
  <c r="C19" i="7"/>
  <c r="H19" i="7"/>
  <c r="C20" i="7"/>
  <c r="H20" i="7"/>
  <c r="H21" i="7"/>
  <c r="B22" i="7"/>
  <c r="C22" i="7"/>
  <c r="H22" i="7"/>
  <c r="B23" i="7"/>
  <c r="C23" i="7"/>
  <c r="H23" i="7"/>
  <c r="B24" i="7"/>
  <c r="C24" i="7"/>
  <c r="H24" i="7"/>
  <c r="B25" i="7"/>
  <c r="C25" i="7"/>
  <c r="B26" i="7"/>
  <c r="C26" i="7"/>
  <c r="G26" i="7"/>
  <c r="B27" i="7"/>
  <c r="C27" i="7"/>
  <c r="G27" i="7"/>
  <c r="H27" i="7"/>
  <c r="G28" i="7"/>
  <c r="H28" i="7"/>
  <c r="B29" i="7"/>
  <c r="C29" i="7"/>
  <c r="B30" i="7"/>
  <c r="C30" i="7"/>
  <c r="G30" i="7"/>
  <c r="H30" i="7"/>
  <c r="B31" i="7"/>
  <c r="C31" i="7"/>
  <c r="G31" i="7"/>
  <c r="H31" i="7"/>
  <c r="B32" i="7"/>
  <c r="C32" i="7"/>
  <c r="G32" i="7"/>
  <c r="H32" i="7"/>
  <c r="B33" i="7"/>
  <c r="C33" i="7"/>
  <c r="G33" i="7"/>
  <c r="H33" i="7"/>
  <c r="B34" i="7"/>
  <c r="C34" i="7"/>
  <c r="G34" i="7"/>
  <c r="H34" i="7"/>
  <c r="B35" i="7"/>
  <c r="C35" i="7"/>
  <c r="G35" i="7"/>
  <c r="H35" i="7"/>
  <c r="B36" i="7"/>
  <c r="C36" i="7"/>
  <c r="G36" i="7"/>
  <c r="H36" i="7"/>
  <c r="B37" i="7"/>
  <c r="C37" i="7"/>
  <c r="G37" i="7"/>
  <c r="H37" i="7"/>
  <c r="B38" i="7"/>
  <c r="C38" i="7"/>
  <c r="G38" i="7"/>
  <c r="H38" i="7"/>
  <c r="B39" i="7"/>
  <c r="C39" i="7"/>
  <c r="G39" i="7"/>
  <c r="H39" i="7"/>
  <c r="B40" i="7"/>
  <c r="C40" i="7"/>
  <c r="G40" i="7"/>
  <c r="H40" i="7"/>
  <c r="B41" i="7"/>
  <c r="C41" i="7"/>
  <c r="G41" i="7"/>
  <c r="H41" i="7"/>
  <c r="B42" i="7"/>
  <c r="C42" i="7"/>
  <c r="G42" i="7"/>
  <c r="H42" i="7"/>
  <c r="G43" i="7"/>
  <c r="H43" i="7"/>
  <c r="G44" i="7"/>
  <c r="H44" i="7"/>
  <c r="G45" i="7"/>
  <c r="H45" i="7"/>
  <c r="B46" i="7"/>
  <c r="C46" i="7"/>
  <c r="G46" i="7"/>
  <c r="H46" i="7"/>
  <c r="B47" i="7"/>
  <c r="C47" i="7"/>
  <c r="G47" i="7"/>
  <c r="H47" i="7"/>
  <c r="B48" i="7"/>
  <c r="C48" i="7"/>
  <c r="G48" i="7"/>
  <c r="H48" i="7"/>
  <c r="B49" i="7"/>
  <c r="C49" i="7"/>
  <c r="G49" i="7"/>
  <c r="H49" i="7"/>
  <c r="B50" i="7"/>
  <c r="C50" i="7"/>
  <c r="G50" i="7"/>
  <c r="H50" i="7"/>
  <c r="B51" i="7"/>
  <c r="C51" i="7"/>
  <c r="G51" i="7"/>
  <c r="H51" i="7"/>
  <c r="B52" i="7"/>
  <c r="C52" i="7"/>
  <c r="G52" i="7"/>
  <c r="H52" i="7"/>
  <c r="B53" i="7"/>
  <c r="C53" i="7"/>
  <c r="G53" i="7"/>
  <c r="H53" i="7"/>
  <c r="B54" i="7"/>
  <c r="C54" i="7"/>
  <c r="G54" i="7"/>
  <c r="H54" i="7"/>
  <c r="B55" i="7"/>
  <c r="C55" i="7"/>
  <c r="B56" i="7"/>
  <c r="C56" i="7"/>
  <c r="G56" i="7"/>
  <c r="H56" i="7"/>
  <c r="B57" i="7"/>
  <c r="C57" i="7"/>
  <c r="G57" i="7"/>
  <c r="H57" i="7"/>
  <c r="B58" i="7"/>
  <c r="C58" i="7"/>
  <c r="G58" i="7"/>
  <c r="H58" i="7"/>
  <c r="B59" i="7"/>
  <c r="C59" i="7"/>
  <c r="G59" i="7"/>
  <c r="H59" i="7"/>
  <c r="B60" i="7"/>
  <c r="C60" i="7"/>
  <c r="G60" i="7"/>
  <c r="H60" i="7"/>
  <c r="G61" i="7"/>
  <c r="H61" i="7"/>
  <c r="G62" i="7"/>
  <c r="H62" i="7"/>
  <c r="G63" i="7"/>
  <c r="H63" i="7"/>
  <c r="G64" i="7"/>
  <c r="H64" i="7"/>
  <c r="G65" i="7"/>
  <c r="H65" i="7"/>
  <c r="G66" i="7"/>
  <c r="H66" i="7"/>
  <c r="G67" i="7"/>
  <c r="H67" i="7"/>
  <c r="G68" i="7"/>
  <c r="H68" i="7"/>
  <c r="G69" i="7"/>
  <c r="H69" i="7"/>
  <c r="G70" i="7"/>
  <c r="H70" i="7"/>
  <c r="G71" i="7"/>
  <c r="H71" i="7"/>
  <c r="G72" i="7"/>
  <c r="H72" i="7"/>
  <c r="G73" i="7"/>
  <c r="H73" i="7"/>
  <c r="G74" i="7"/>
  <c r="H74" i="7"/>
  <c r="G75" i="7"/>
  <c r="H75" i="7"/>
  <c r="G76" i="7"/>
  <c r="H76" i="7"/>
  <c r="G77" i="7"/>
  <c r="H77" i="7"/>
  <c r="G78" i="7"/>
  <c r="H78" i="7"/>
  <c r="G79" i="7"/>
  <c r="H79" i="7"/>
  <c r="G80" i="7"/>
  <c r="H80" i="7"/>
  <c r="G81" i="7"/>
  <c r="H81" i="7"/>
  <c r="G82" i="7"/>
  <c r="H82" i="7"/>
  <c r="G83" i="7"/>
  <c r="H83" i="7"/>
  <c r="G84" i="7"/>
  <c r="H84" i="7"/>
  <c r="G85" i="7"/>
  <c r="H85" i="7"/>
  <c r="G86" i="7"/>
  <c r="H86" i="7"/>
  <c r="G87" i="7"/>
  <c r="H87" i="7"/>
  <c r="G88" i="7"/>
  <c r="H88" i="7"/>
  <c r="G89" i="7"/>
  <c r="H89" i="7"/>
  <c r="G90" i="7"/>
  <c r="H90" i="7"/>
  <c r="G91" i="7"/>
  <c r="H91" i="7"/>
  <c r="G92" i="7"/>
  <c r="H92" i="7"/>
  <c r="G93" i="7"/>
  <c r="H93" i="7"/>
  <c r="G94" i="7"/>
  <c r="H94" i="7"/>
  <c r="G95" i="7"/>
  <c r="H95" i="7"/>
  <c r="G96" i="7"/>
  <c r="H96" i="7"/>
  <c r="G97" i="7"/>
  <c r="H97" i="7"/>
  <c r="G98" i="7"/>
  <c r="H98" i="7"/>
  <c r="G99" i="7"/>
  <c r="H99" i="7"/>
  <c r="G100" i="7"/>
  <c r="H100" i="7"/>
  <c r="G101" i="7"/>
  <c r="H101" i="7"/>
  <c r="G102" i="7"/>
  <c r="H102" i="7"/>
  <c r="G103" i="7"/>
  <c r="H103" i="7"/>
  <c r="G104" i="7"/>
  <c r="H104" i="7"/>
  <c r="G105" i="7"/>
  <c r="H105" i="7"/>
  <c r="G106" i="7"/>
  <c r="H106" i="7"/>
  <c r="G107" i="7"/>
  <c r="H107" i="7"/>
  <c r="G108" i="7"/>
  <c r="H108" i="7"/>
  <c r="G109" i="7"/>
  <c r="H109" i="7"/>
  <c r="G110" i="7"/>
  <c r="H110" i="7"/>
  <c r="H26" i="4"/>
  <c r="AX15" i="2"/>
  <c r="AX14" i="2"/>
  <c r="AX16" i="2"/>
  <c r="AX17" i="2"/>
  <c r="AX18" i="2"/>
  <c r="AT20" i="2"/>
  <c r="AT21" i="2"/>
  <c r="AX21" i="2"/>
  <c r="AT22" i="2"/>
  <c r="AT23" i="2"/>
  <c r="AT24" i="2"/>
  <c r="AT25" i="2"/>
  <c r="AT26" i="2"/>
  <c r="AT27" i="2"/>
  <c r="AX27" i="2"/>
  <c r="AX25" i="2"/>
  <c r="AX24" i="2"/>
  <c r="AX20" i="2"/>
  <c r="AT28" i="2"/>
  <c r="AX23" i="2"/>
  <c r="AX26" i="2"/>
  <c r="AX22" i="2"/>
  <c r="AX28" i="2"/>
  <c r="AT29" i="2"/>
  <c r="AX29" i="2"/>
  <c r="H26" i="7"/>
  <c r="G25" i="4"/>
  <c r="G13" i="4"/>
  <c r="G29" i="4"/>
  <c r="G31" i="4"/>
  <c r="AQ33" i="2"/>
  <c r="AQ34" i="2"/>
  <c r="AQ32" i="2"/>
  <c r="G27" i="2"/>
  <c r="AA3" i="5"/>
  <c r="AQ36" i="2"/>
  <c r="AW9" i="2"/>
  <c r="AA5" i="5"/>
  <c r="AW17" i="2"/>
  <c r="AW13" i="2"/>
  <c r="AA23" i="5"/>
  <c r="AA7" i="5"/>
  <c r="AA22" i="5"/>
  <c r="AA19" i="5"/>
  <c r="AW6" i="2"/>
  <c r="AW10" i="2"/>
  <c r="AW19" i="2"/>
  <c r="AA17" i="5"/>
  <c r="AW16" i="2"/>
  <c r="AA8" i="5"/>
  <c r="AA21" i="5"/>
  <c r="AA25" i="5"/>
  <c r="AW26" i="2"/>
  <c r="AW21" i="2"/>
  <c r="AW28" i="2"/>
  <c r="AW18" i="2"/>
  <c r="AA10" i="5"/>
  <c r="AW11" i="2"/>
  <c r="AA13" i="5"/>
  <c r="AW22" i="2"/>
  <c r="AA20" i="5"/>
  <c r="AW15" i="2"/>
  <c r="AW23" i="2"/>
  <c r="AW24" i="2"/>
  <c r="AA12" i="5"/>
  <c r="AA6" i="5"/>
  <c r="AW14" i="2"/>
  <c r="AA18" i="5"/>
  <c r="AW29" i="2"/>
  <c r="AA15" i="5"/>
  <c r="AW25" i="2"/>
  <c r="AA14" i="5"/>
  <c r="AA4" i="5"/>
  <c r="AW27" i="2"/>
  <c r="AW7" i="2"/>
  <c r="AA24" i="5"/>
  <c r="AW8" i="2"/>
  <c r="AA9" i="5"/>
  <c r="AW12" i="2"/>
  <c r="AA11" i="5"/>
  <c r="AW20" i="2"/>
  <c r="AA16" i="5"/>
  <c r="AA26" i="5"/>
  <c r="G29" i="2"/>
  <c r="G22" i="4"/>
  <c r="D13" i="5"/>
  <c r="D15" i="5"/>
  <c r="H13" i="5"/>
  <c r="H15" i="5"/>
  <c r="F13" i="5"/>
  <c r="F15" i="5"/>
  <c r="AI25" i="5"/>
  <c r="AI18" i="5"/>
  <c r="AI9" i="5"/>
  <c r="AI12" i="5"/>
  <c r="AI19" i="5"/>
  <c r="AI8" i="5"/>
  <c r="AI7" i="5"/>
  <c r="AI11" i="5"/>
  <c r="AI23" i="5"/>
  <c r="AI24" i="5"/>
  <c r="AI5" i="5"/>
  <c r="AI4" i="5"/>
  <c r="AI16" i="5"/>
  <c r="AI6" i="5"/>
  <c r="AI14" i="5"/>
  <c r="AI20" i="5"/>
  <c r="AI13" i="5"/>
  <c r="AI21" i="5"/>
  <c r="AI22" i="5"/>
  <c r="AI3" i="5"/>
  <c r="AI17" i="5"/>
  <c r="AI10" i="5"/>
  <c r="AI26" i="5"/>
  <c r="AI15" i="5"/>
  <c r="AK5" i="5"/>
  <c r="AK4" i="5"/>
  <c r="AK19" i="5"/>
  <c r="AK3" i="5"/>
  <c r="AK8" i="5"/>
  <c r="AK24" i="5"/>
  <c r="AK18" i="5"/>
  <c r="AK16" i="5"/>
  <c r="AK7" i="5"/>
  <c r="AK13" i="5"/>
  <c r="AK15" i="5"/>
  <c r="AK10" i="5"/>
  <c r="AK9" i="5"/>
  <c r="AK25" i="5"/>
  <c r="AK12" i="5"/>
  <c r="AK21" i="5"/>
  <c r="AK17" i="5"/>
  <c r="AK11" i="5"/>
  <c r="AK20" i="5"/>
  <c r="AK23" i="5"/>
  <c r="AK26" i="5"/>
  <c r="AK6" i="5"/>
  <c r="AK14" i="5"/>
  <c r="AK22" i="5"/>
  <c r="AJ21" i="5"/>
  <c r="AJ20" i="5"/>
  <c r="AJ22" i="5"/>
  <c r="AJ16" i="5"/>
  <c r="AJ24" i="5"/>
  <c r="AJ26" i="5"/>
  <c r="AJ25" i="5"/>
  <c r="AJ18" i="5"/>
  <c r="AJ17" i="5"/>
  <c r="AJ15" i="5"/>
  <c r="AJ8" i="5"/>
  <c r="AJ3" i="5"/>
  <c r="AJ14" i="5"/>
  <c r="AJ4" i="5"/>
  <c r="AJ12" i="5"/>
  <c r="AJ23" i="5"/>
  <c r="AJ9" i="5"/>
  <c r="AJ19" i="5"/>
  <c r="AJ10" i="5"/>
  <c r="AJ7" i="5"/>
  <c r="AJ11" i="5"/>
  <c r="AJ5" i="5"/>
  <c r="AJ6" i="5"/>
  <c r="AJ13" i="5"/>
  <c r="D17" i="5"/>
  <c r="F17" i="5"/>
  <c r="H17" i="5"/>
</calcChain>
</file>

<file path=xl/comments1.xml><?xml version="1.0" encoding="utf-8"?>
<comments xmlns="http://schemas.openxmlformats.org/spreadsheetml/2006/main">
  <authors>
    <author>PYCROFT, Emily</author>
  </authors>
  <commentList>
    <comment ref="E15" authorId="0" shapeId="0">
      <text>
        <r>
          <rPr>
            <b/>
            <sz val="8"/>
            <color indexed="81"/>
            <rFont val="Arial"/>
            <family val="2"/>
          </rPr>
          <t xml:space="preserve">N.B. </t>
        </r>
        <r>
          <rPr>
            <sz val="8"/>
            <color indexed="81"/>
            <rFont val="Arial"/>
            <family val="2"/>
          </rPr>
          <t>If a pupil has been awarded a Level P4 or above in Reading, please input this result, even if they have been awarded a P3ii or below in English overall. Otherwise, please select the pupil's overall English result</t>
        </r>
        <r>
          <rPr>
            <sz val="9"/>
            <color indexed="81"/>
            <rFont val="Arial"/>
            <family val="2"/>
          </rPr>
          <t>.</t>
        </r>
      </text>
    </comment>
    <comment ref="G15" authorId="0" shapeId="0">
      <text>
        <r>
          <rPr>
            <b/>
            <sz val="8"/>
            <color indexed="81"/>
            <rFont val="Arial"/>
            <family val="2"/>
          </rPr>
          <t xml:space="preserve">N.B. </t>
        </r>
        <r>
          <rPr>
            <sz val="8"/>
            <color indexed="81"/>
            <rFont val="Arial"/>
            <family val="2"/>
          </rPr>
          <t>If a pupil has been awarded a Level P4 or above in Writing, please input this result, even if they have been awarded a P3ii or below in English overall. Otherwise, please select the pupil's overall English result.</t>
        </r>
      </text>
    </comment>
    <comment ref="K15" authorId="0" shapeId="0">
      <text>
        <r>
          <rPr>
            <b/>
            <sz val="8"/>
            <color indexed="81"/>
            <rFont val="Arial"/>
            <family val="2"/>
          </rPr>
          <t xml:space="preserve">N.B. </t>
        </r>
        <r>
          <rPr>
            <sz val="8"/>
            <color indexed="81"/>
            <rFont val="Arial"/>
            <family val="2"/>
          </rPr>
          <t>If a pupil has been awarded an overall Maths result of P1i - P3ii, please input this result, even if they were awarded Level P4 or above for one or more of 'Using Maths', 'Number', or 'Shapes, Spaces and Measures'. If their overall Maths result is Level P4 or above, please select 'P4 - P8 LEVEL' from the drop-down and input their results for each assessment below.</t>
        </r>
        <r>
          <rPr>
            <sz val="9"/>
            <color indexed="81"/>
            <rFont val="Tahoma"/>
            <family val="2"/>
          </rPr>
          <t xml:space="preserve"> </t>
        </r>
      </text>
    </comment>
  </commentList>
</comments>
</file>

<file path=xl/comments2.xml><?xml version="1.0" encoding="utf-8"?>
<comments xmlns="http://schemas.openxmlformats.org/spreadsheetml/2006/main">
  <authors>
    <author>MANCHESTER, Simon</author>
    <author>PYCROFT, Emily</author>
  </authors>
  <commentList>
    <comment ref="AO6" authorId="0" shapeId="0">
      <text>
        <r>
          <rPr>
            <b/>
            <sz val="9"/>
            <color indexed="81"/>
            <rFont val="Tahoma"/>
            <family val="2"/>
          </rPr>
          <t>MANCHESTER, Simon:</t>
        </r>
        <r>
          <rPr>
            <sz val="9"/>
            <color indexed="81"/>
            <rFont val="Tahoma"/>
            <family val="2"/>
          </rPr>
          <t xml:space="preserve">
Was linked to cell N24</t>
        </r>
      </text>
    </comment>
    <comment ref="E13" authorId="1" shapeId="0">
      <text>
        <r>
          <rPr>
            <b/>
            <sz val="8"/>
            <color indexed="81"/>
            <rFont val="Arial"/>
            <family val="2"/>
          </rPr>
          <t>N.B.</t>
        </r>
        <r>
          <rPr>
            <sz val="8"/>
            <color indexed="81"/>
            <rFont val="Arial"/>
            <family val="2"/>
          </rPr>
          <t xml:space="preserve"> If you are unsure of the pupil's scaled score, but have their raw mark, please follow the link at Step 2 on the Guidance sheet.</t>
        </r>
      </text>
    </comment>
    <comment ref="K13" authorId="1" shapeId="0">
      <text>
        <r>
          <rPr>
            <b/>
            <sz val="8"/>
            <color indexed="81"/>
            <rFont val="Arial"/>
            <family val="2"/>
          </rPr>
          <t>N.B.</t>
        </r>
        <r>
          <rPr>
            <sz val="8"/>
            <color indexed="81"/>
            <rFont val="Arial"/>
            <family val="2"/>
          </rPr>
          <t xml:space="preserve"> If you are unsure of the pupil's scaled score, but have their raw mark, please follow the link at Step 2 on the Guidance sheet. </t>
        </r>
      </text>
    </comment>
  </commentList>
</comments>
</file>

<file path=xl/sharedStrings.xml><?xml version="1.0" encoding="utf-8"?>
<sst xmlns="http://schemas.openxmlformats.org/spreadsheetml/2006/main" count="784" uniqueCount="365">
  <si>
    <t>A</t>
  </si>
  <si>
    <t>B</t>
  </si>
  <si>
    <t>N</t>
  </si>
  <si>
    <t>LEVEL 1</t>
  </si>
  <si>
    <t>LEVEL 3</t>
  </si>
  <si>
    <t>LEVEL 4</t>
  </si>
  <si>
    <t>-</t>
  </si>
  <si>
    <t>2</t>
  </si>
  <si>
    <t>3</t>
  </si>
  <si>
    <t>4</t>
  </si>
  <si>
    <t>5</t>
  </si>
  <si>
    <t>English</t>
  </si>
  <si>
    <t>Mathematics</t>
  </si>
  <si>
    <t>lower</t>
  </si>
  <si>
    <t>upper</t>
  </si>
  <si>
    <t>Points and Levels</t>
  </si>
  <si>
    <t>6</t>
  </si>
  <si>
    <t>7</t>
  </si>
  <si>
    <t>8</t>
  </si>
  <si>
    <t>E</t>
  </si>
  <si>
    <r>
      <t xml:space="preserve">KS2 </t>
    </r>
    <r>
      <rPr>
        <b/>
        <sz val="10"/>
        <rFont val="Arial"/>
        <family val="2"/>
      </rPr>
      <t>MATHS</t>
    </r>
    <r>
      <rPr>
        <sz val="10"/>
        <rFont val="Arial"/>
      </rPr>
      <t xml:space="preserve"> TEACHER ASSESSMENT DATA</t>
    </r>
  </si>
  <si>
    <t>KS2 SUBJECTS</t>
  </si>
  <si>
    <t>INPUT SHEET GUIDANCE</t>
  </si>
  <si>
    <t>CALCULATION CELL</t>
  </si>
  <si>
    <r>
      <t xml:space="preserve">KS2 </t>
    </r>
    <r>
      <rPr>
        <b/>
        <sz val="10"/>
        <rFont val="Arial"/>
        <family val="2"/>
      </rPr>
      <t>MATHS</t>
    </r>
    <r>
      <rPr>
        <sz val="10"/>
        <rFont val="Arial"/>
      </rPr>
      <t xml:space="preserve"> TEST OUTCOME</t>
    </r>
  </si>
  <si>
    <t>DATA INPUT CELL</t>
  </si>
  <si>
    <t>NOT APPLICABLE</t>
  </si>
  <si>
    <t>CELL COLOUR GUIDE:</t>
  </si>
  <si>
    <t>HOW TO USE THE READY RECKONER</t>
  </si>
  <si>
    <t xml:space="preserve">Step 1)    </t>
  </si>
  <si>
    <t>Step 2)</t>
  </si>
  <si>
    <t>Step 3)</t>
  </si>
  <si>
    <t>Step 4)</t>
  </si>
  <si>
    <t>Step 5)</t>
  </si>
  <si>
    <t>M</t>
  </si>
  <si>
    <t>Q</t>
  </si>
  <si>
    <t>T</t>
  </si>
  <si>
    <t>X</t>
  </si>
  <si>
    <t>To Single Measure Ready Reckoner  ---&gt;</t>
  </si>
  <si>
    <t>To All Measures Ready Reckoner  ---&gt;</t>
  </si>
  <si>
    <t>INDIVIDUAL PUPIL READY RECKONER GUIDANCE</t>
  </si>
  <si>
    <t>INDIVIDUAL PUPIL KS2 DATA INPUT SHEET</t>
  </si>
  <si>
    <t>INDIVIDUAL PUPIL KS1 DATA INPUT SHEET</t>
  </si>
  <si>
    <t>LEVEL 2C</t>
  </si>
  <si>
    <t>LEVEL 2B</t>
  </si>
  <si>
    <t>LEVEL 2A</t>
  </si>
  <si>
    <t>KS1 SUBJECTS</t>
  </si>
  <si>
    <t>This section shows the pupil's actual KS2 attainment</t>
  </si>
  <si>
    <t>2) ACTUAL KS2 ATTAINMENT</t>
  </si>
  <si>
    <t>3) ESTIMATED KS2 ATTAINMENT</t>
  </si>
  <si>
    <t>FROM DATA INPUT SHEETS</t>
  </si>
  <si>
    <t>To KS1 Data Input Sheet  ---&gt;</t>
  </si>
  <si>
    <t>Back to Ready Reckoner Guidance &lt;---</t>
  </si>
  <si>
    <t>KS2 level</t>
  </si>
  <si>
    <t>Maths</t>
  </si>
  <si>
    <t>0-32</t>
  </si>
  <si>
    <t>33-35</t>
  </si>
  <si>
    <t>36-52</t>
  </si>
  <si>
    <t>53-77</t>
  </si>
  <si>
    <t>78-100</t>
  </si>
  <si>
    <t>0-14</t>
  </si>
  <si>
    <t>15-17</t>
  </si>
  <si>
    <t>18-45</t>
  </si>
  <si>
    <t>46-78</t>
  </si>
  <si>
    <t>79-100</t>
  </si>
  <si>
    <t>Mark ranges for Key Stage 2 levels, 2012</t>
  </si>
  <si>
    <r>
      <t xml:space="preserve">KS2 </t>
    </r>
    <r>
      <rPr>
        <b/>
        <sz val="10"/>
        <rFont val="Arial"/>
        <family val="2"/>
      </rPr>
      <t>READING</t>
    </r>
    <r>
      <rPr>
        <sz val="10"/>
        <rFont val="Arial"/>
        <family val="2"/>
      </rPr>
      <t xml:space="preserve"> TEACHER ASSESSMENT DATA</t>
    </r>
  </si>
  <si>
    <t>Reading</t>
  </si>
  <si>
    <t>READING - if Pupil gets Level 3 or above in tests</t>
  </si>
  <si>
    <t>MATHS - if Pupil gets Level 3 or above in tests</t>
  </si>
  <si>
    <t>Reading
Mark</t>
  </si>
  <si>
    <t>Mark 
to Level</t>
  </si>
  <si>
    <t>Reading FP</t>
  </si>
  <si>
    <t>Maths 
Mark</t>
  </si>
  <si>
    <t>Mark 
to 
Level</t>
  </si>
  <si>
    <t>Maths FP</t>
  </si>
  <si>
    <r>
      <t>Please enter</t>
    </r>
    <r>
      <rPr>
        <i/>
        <sz val="12"/>
        <rFont val="Arial"/>
        <family val="2"/>
      </rPr>
      <t xml:space="preserve"> the pupil's KS1 teacher assessment outcome for each subject</t>
    </r>
  </si>
  <si>
    <t>Compensatory Marks - if a pupil gets Level 2 in their maths test but Level 3 + in TA</t>
  </si>
  <si>
    <t>A - Absent</t>
  </si>
  <si>
    <t>M - Missing</t>
  </si>
  <si>
    <t>Q - Disregard</t>
  </si>
  <si>
    <t>X - Lost</t>
  </si>
  <si>
    <t>B - Working below level of test</t>
  </si>
  <si>
    <t>T - No access to test</t>
  </si>
  <si>
    <t>PRIOR ATTAINMENT GROUPS</t>
  </si>
  <si>
    <t xml:space="preserve">This sheet is the first data input sheet. Its purpose is to calculate a pupil's KS1 average point score (APS) </t>
  </si>
  <si>
    <t>D - Disapplied</t>
  </si>
  <si>
    <r>
      <t xml:space="preserve">KS1 </t>
    </r>
    <r>
      <rPr>
        <b/>
        <sz val="10"/>
        <rFont val="Arial"/>
        <family val="2"/>
      </rPr>
      <t>READING</t>
    </r>
    <r>
      <rPr>
        <sz val="10"/>
        <rFont val="Arial"/>
      </rPr>
      <t xml:space="preserve"> TEACHER ASSESSMENT LEVEL</t>
    </r>
  </si>
  <si>
    <r>
      <t xml:space="preserve">KS1 </t>
    </r>
    <r>
      <rPr>
        <b/>
        <sz val="10"/>
        <rFont val="Arial"/>
        <family val="2"/>
      </rPr>
      <t>WRITING</t>
    </r>
    <r>
      <rPr>
        <sz val="10"/>
        <rFont val="Arial"/>
      </rPr>
      <t xml:space="preserve"> TEACHER ASSESSMENT LEVEL</t>
    </r>
  </si>
  <si>
    <r>
      <t xml:space="preserve">KS1 </t>
    </r>
    <r>
      <rPr>
        <b/>
        <sz val="10"/>
        <rFont val="Arial"/>
        <family val="2"/>
      </rPr>
      <t xml:space="preserve">MATHS </t>
    </r>
    <r>
      <rPr>
        <sz val="10"/>
        <rFont val="Arial"/>
      </rPr>
      <t>TEACHER ASSESSMENT LEVEL</t>
    </r>
  </si>
  <si>
    <t>AVERAGE OF READING AND WRITING</t>
  </si>
  <si>
    <t>Lower</t>
  </si>
  <si>
    <t>Upper</t>
  </si>
  <si>
    <t>W - Working towards Level 1</t>
  </si>
  <si>
    <t>Working at Standard</t>
  </si>
  <si>
    <r>
      <t xml:space="preserve">KS2 </t>
    </r>
    <r>
      <rPr>
        <b/>
        <sz val="10"/>
        <rFont val="Arial"/>
        <family val="2"/>
      </rPr>
      <t>READING</t>
    </r>
    <r>
      <rPr>
        <sz val="10"/>
        <rFont val="Arial"/>
      </rPr>
      <t xml:space="preserve"> SCALED SCORE</t>
    </r>
  </si>
  <si>
    <r>
      <t xml:space="preserve">KS2 </t>
    </r>
    <r>
      <rPr>
        <b/>
        <sz val="10"/>
        <rFont val="Arial"/>
        <family val="2"/>
      </rPr>
      <t>WRITING SCALED</t>
    </r>
    <r>
      <rPr>
        <sz val="10"/>
        <rFont val="Arial"/>
      </rPr>
      <t xml:space="preserve"> SCORE </t>
    </r>
  </si>
  <si>
    <r>
      <t xml:space="preserve">KS2 </t>
    </r>
    <r>
      <rPr>
        <b/>
        <sz val="10"/>
        <rFont val="Arial"/>
        <family val="2"/>
      </rPr>
      <t>MATHS</t>
    </r>
    <r>
      <rPr>
        <sz val="10"/>
        <rFont val="Arial"/>
      </rPr>
      <t xml:space="preserve"> SCALED SCORE</t>
    </r>
  </si>
  <si>
    <t>P6</t>
  </si>
  <si>
    <t>P7</t>
  </si>
  <si>
    <t>P8</t>
  </si>
  <si>
    <t>P4-8 LEVEL</t>
  </si>
  <si>
    <t>Working at test standard</t>
  </si>
  <si>
    <r>
      <t xml:space="preserve">KS1 </t>
    </r>
    <r>
      <rPr>
        <b/>
        <sz val="10"/>
        <rFont val="Arial"/>
        <family val="2"/>
      </rPr>
      <t>MATHS</t>
    </r>
    <r>
      <rPr>
        <sz val="10"/>
        <rFont val="Arial"/>
        <family val="2"/>
      </rPr>
      <t xml:space="preserve"> REPORTABLE SCORE</t>
    </r>
  </si>
  <si>
    <t>Not assessed on P scales</t>
  </si>
  <si>
    <r>
      <t xml:space="preserve">KS1 </t>
    </r>
    <r>
      <rPr>
        <b/>
        <sz val="10"/>
        <rFont val="Arial"/>
        <family val="2"/>
      </rPr>
      <t xml:space="preserve">WRITING </t>
    </r>
    <r>
      <rPr>
        <sz val="10"/>
        <rFont val="Arial"/>
        <family val="2"/>
      </rPr>
      <t>REPORTABLE SCORE</t>
    </r>
  </si>
  <si>
    <r>
      <t xml:space="preserve">KS1 </t>
    </r>
    <r>
      <rPr>
        <b/>
        <sz val="10"/>
        <rFont val="Arial"/>
        <family val="2"/>
      </rPr>
      <t xml:space="preserve">NUMBER </t>
    </r>
    <r>
      <rPr>
        <sz val="10"/>
        <rFont val="Arial"/>
        <family val="2"/>
      </rPr>
      <t>REPORTABLE SCORE</t>
    </r>
  </si>
  <si>
    <r>
      <t xml:space="preserve">KS1 </t>
    </r>
    <r>
      <rPr>
        <b/>
        <sz val="10"/>
        <rFont val="Arial"/>
        <family val="2"/>
      </rPr>
      <t xml:space="preserve">USING MATHS </t>
    </r>
    <r>
      <rPr>
        <sz val="10"/>
        <rFont val="Arial"/>
        <family val="2"/>
      </rPr>
      <t>REPORTABLE SCORE</t>
    </r>
  </si>
  <si>
    <r>
      <t xml:space="preserve">KS1 </t>
    </r>
    <r>
      <rPr>
        <b/>
        <sz val="10"/>
        <rFont val="Arial"/>
        <family val="2"/>
      </rPr>
      <t xml:space="preserve">SHAPES, SPACES AND MEASURES </t>
    </r>
    <r>
      <rPr>
        <sz val="10"/>
        <rFont val="Arial"/>
        <family val="2"/>
      </rPr>
      <t>REPORTABLE SCORE</t>
    </r>
  </si>
  <si>
    <t xml:space="preserve">This sheet is the second data input sheet. Its purpose is to calculate a pupil's KS2 scaled scores </t>
  </si>
  <si>
    <t>WTS - working towards expected standard</t>
  </si>
  <si>
    <t>EXS - expected standard</t>
  </si>
  <si>
    <t>GDS - greater depth in expected standard</t>
  </si>
  <si>
    <t>L - Left</t>
  </si>
  <si>
    <t>P - Pupil has taken test in the past</t>
  </si>
  <si>
    <t>F - Pupil will take test in the future</t>
  </si>
  <si>
    <t>Z - Ineligible (pupil not at end of KS2)</t>
  </si>
  <si>
    <t>Pupil excluded</t>
  </si>
  <si>
    <t xml:space="preserve">P4 </t>
  </si>
  <si>
    <r>
      <t>KS1</t>
    </r>
    <r>
      <rPr>
        <b/>
        <sz val="10"/>
        <rFont val="Arial"/>
        <family val="2"/>
      </rPr>
      <t xml:space="preserve"> READING </t>
    </r>
    <r>
      <rPr>
        <sz val="10"/>
        <rFont val="Arial"/>
      </rPr>
      <t>REPORTABLE SCORE</t>
    </r>
  </si>
  <si>
    <t>Writing P scales</t>
  </si>
  <si>
    <t>Reading P scales</t>
  </si>
  <si>
    <t>P5 in Reading</t>
  </si>
  <si>
    <t>P6 in Reading</t>
  </si>
  <si>
    <t>P7 in Reading</t>
  </si>
  <si>
    <t>P8 in Reading</t>
  </si>
  <si>
    <t>P4  in Writing</t>
  </si>
  <si>
    <t xml:space="preserve">P5 in Writing </t>
  </si>
  <si>
    <t>P6 in Writing</t>
  </si>
  <si>
    <t>P7 in Writing</t>
  </si>
  <si>
    <t>P8 in Writing</t>
  </si>
  <si>
    <t>Maths P scales</t>
  </si>
  <si>
    <t>P4 in Reading</t>
  </si>
  <si>
    <t xml:space="preserve">P1i in Maths </t>
  </si>
  <si>
    <t>P1ii in Maths</t>
  </si>
  <si>
    <t>P2i in Maths</t>
  </si>
  <si>
    <t>P2ii in Maths</t>
  </si>
  <si>
    <t>P3i in Maths</t>
  </si>
  <si>
    <t>P3ii in Maths</t>
  </si>
  <si>
    <t xml:space="preserve">P5 </t>
  </si>
  <si>
    <t>Lookup R</t>
  </si>
  <si>
    <t>Lookup W</t>
  </si>
  <si>
    <t>Lookup M</t>
  </si>
  <si>
    <t>These cells convert the appropriate teacher assessment outcomes entered above to a KS1 fine point score for each subject</t>
  </si>
  <si>
    <r>
      <rPr>
        <b/>
        <i/>
        <sz val="12"/>
        <rFont val="Arial"/>
        <family val="2"/>
      </rPr>
      <t>Please enter</t>
    </r>
    <r>
      <rPr>
        <i/>
        <sz val="12"/>
        <rFont val="Arial"/>
        <family val="2"/>
      </rPr>
      <t xml:space="preserve"> the pupil's teacher assessment outcome for those entered as 'W - working towards Level 1' above</t>
    </r>
  </si>
  <si>
    <t>No</t>
  </si>
  <si>
    <t>Yes</t>
  </si>
  <si>
    <t>No teacher assessment data available</t>
  </si>
  <si>
    <t>Reading Mean</t>
  </si>
  <si>
    <t>Writing Mean</t>
  </si>
  <si>
    <t>Maths Mean</t>
  </si>
  <si>
    <t>--Select--</t>
  </si>
  <si>
    <t>My grp</t>
  </si>
  <si>
    <t>How to convert key stage 2 raw scores to scaled scores</t>
  </si>
  <si>
    <t>Working below Standard</t>
  </si>
  <si>
    <t>1) KS1-2 reading progress measure</t>
  </si>
  <si>
    <t>2) KS1-2 writing progress measure</t>
  </si>
  <si>
    <t>3) KS1-2 mathematics progress measure</t>
  </si>
  <si>
    <t>for the progress measure selected above</t>
  </si>
  <si>
    <t>4) PUPIL PROGRESS SCORE</t>
  </si>
  <si>
    <t>INDIVIDUAL PUPIL KS1 - 2 PROGRESS READY RECKONER</t>
  </si>
  <si>
    <t>KS1-2 writing progress measure</t>
  </si>
  <si>
    <t xml:space="preserve">This sheet is the ready reckoner for the KS1-2 progress measures. To calculate a pupil's progress score, you need to first choose the </t>
  </si>
  <si>
    <t>KS1-2 mathematics progress measure</t>
  </si>
  <si>
    <t>progress measure you would like to use</t>
  </si>
  <si>
    <t>1) WHICH PROGRESS MEASURE?</t>
  </si>
  <si>
    <t>KS1-2 reading progress measure</t>
  </si>
  <si>
    <t>PROGRESS SCORE</t>
  </si>
  <si>
    <t>INDIVIDUAL PUPIL KS1 - 2 PROGRESS READY RECKONER - ALL MEASURES</t>
  </si>
  <si>
    <t xml:space="preserve">Pupil progress score (calculated)      </t>
  </si>
  <si>
    <t>The purpose of this sheet is to allow the user to calculate the progress scores for all three</t>
  </si>
  <si>
    <t>KS1-2 progress measures at the same time</t>
  </si>
  <si>
    <t>Back to Single Measure Ready Reckoner &lt;---</t>
  </si>
  <si>
    <t>Back to All Measures Ready Reckoner &lt;---</t>
  </si>
  <si>
    <t>To KS2 Data Input Sheet ---&gt;</t>
  </si>
  <si>
    <r>
      <t xml:space="preserve">It is also possible to view progress scores for all three KS1-2 progress measures at the same time. To do this, go to the </t>
    </r>
    <r>
      <rPr>
        <b/>
        <sz val="12"/>
        <color indexed="18"/>
        <rFont val="Arial"/>
        <family val="2"/>
      </rPr>
      <t>'All Measures Ready Reckoner'</t>
    </r>
    <r>
      <rPr>
        <sz val="12"/>
        <color indexed="18"/>
        <rFont val="Arial"/>
        <family val="2"/>
      </rPr>
      <t xml:space="preserve"> sheet</t>
    </r>
  </si>
  <si>
    <t>Convert levels to fine points</t>
  </si>
  <si>
    <t>Calculating maths average for Levels P4-8</t>
  </si>
  <si>
    <t>My band?</t>
  </si>
  <si>
    <t>PsMathsAv</t>
  </si>
  <si>
    <t>The cell reports the KS1 Prior Attainment Group (PAG) for this pupil</t>
  </si>
  <si>
    <t>Find the group</t>
  </si>
  <si>
    <t xml:space="preserve">Grp </t>
  </si>
  <si>
    <t>Grp no</t>
  </si>
  <si>
    <t>R - Special consideration</t>
  </si>
  <si>
    <t>M - Special consideration</t>
  </si>
  <si>
    <t>No result</t>
  </si>
  <si>
    <t>Prior Attainment Group (PAG)</t>
  </si>
  <si>
    <t>KS1 average points score</t>
  </si>
  <si>
    <t>Average KS2 Reading Score for PAG</t>
  </si>
  <si>
    <t>Average KS2 Writing Score for PAG</t>
  </si>
  <si>
    <t>Average KS2 Maths Score for PAG</t>
  </si>
  <si>
    <t xml:space="preserve">&gt;=2.5 to &lt;2.75 </t>
  </si>
  <si>
    <t>&gt;=2.75 to &lt;3</t>
  </si>
  <si>
    <t>&gt;=3 to &lt;6</t>
  </si>
  <si>
    <t>&gt;=6 to &lt;9</t>
  </si>
  <si>
    <t>&gt;=9 to &lt;10</t>
  </si>
  <si>
    <t>&gt;=10 to &lt;12</t>
  </si>
  <si>
    <t>&gt;=12 to &lt;13</t>
  </si>
  <si>
    <t>&gt;=13 to &lt;14</t>
  </si>
  <si>
    <t>&gt;=14 to &lt;14.5</t>
  </si>
  <si>
    <t>&gt;=14.5 to &lt;15</t>
  </si>
  <si>
    <t>&gt;=15 to &lt;15.5</t>
  </si>
  <si>
    <t>&gt;=15.5 to &lt;16</t>
  </si>
  <si>
    <t>&gt;=16 to &lt;16.5</t>
  </si>
  <si>
    <t>&gt;=16.5 to &lt;17</t>
  </si>
  <si>
    <t>&gt;=17 to &lt;18</t>
  </si>
  <si>
    <t>&gt;=18 to &lt;19</t>
  </si>
  <si>
    <t>&gt;=19 to &lt;20</t>
  </si>
  <si>
    <t>&gt;=20 to &lt;21</t>
  </si>
  <si>
    <t>&gt;=21 to &lt;21.5</t>
  </si>
  <si>
    <t>&gt;= 21.5</t>
  </si>
  <si>
    <t>Pupil progress is calculated to 2 decimal places before aggregating to school level.</t>
  </si>
  <si>
    <r>
      <t xml:space="preserve">Go to sheet </t>
    </r>
    <r>
      <rPr>
        <b/>
        <sz val="12"/>
        <color indexed="18"/>
        <rFont val="Arial"/>
        <family val="2"/>
      </rPr>
      <t>'KS1 Data Input'</t>
    </r>
    <r>
      <rPr>
        <sz val="12"/>
        <color indexed="18"/>
        <rFont val="Arial"/>
        <family val="2"/>
      </rPr>
      <t xml:space="preserve"> and enter the pupil's key stage 1 (KS1) teacher assessment outcomes in KS1 reading, writing and mathematics.</t>
    </r>
  </si>
  <si>
    <r>
      <t xml:space="preserve">Once the KS1 prior attainment data is complete, go to the </t>
    </r>
    <r>
      <rPr>
        <b/>
        <sz val="12"/>
        <color indexed="18"/>
        <rFont val="Arial"/>
        <family val="2"/>
      </rPr>
      <t>'KS2 Data Input'</t>
    </r>
    <r>
      <rPr>
        <sz val="12"/>
        <color indexed="18"/>
        <rFont val="Arial"/>
        <family val="2"/>
      </rPr>
      <t xml:space="preserve"> sheet and enter the pupil's key stage 2 (KS2) attainment in reading, writing and mathematics.</t>
    </r>
  </si>
  <si>
    <t>using their KS1 teacher assessment outcomes in reading, writing and mathematics.</t>
  </si>
  <si>
    <t>These cells calculate the English component (based on reading and writing) and mathematics component of the KS1 APS</t>
  </si>
  <si>
    <t>This cell calculates the KS1 APS based on the English and mathematics components</t>
  </si>
  <si>
    <t>using their KS2 test outcomes in reading and mathematics, and their teacher assessment level in writing.</t>
  </si>
  <si>
    <t>B - Working below the standard of the test</t>
  </si>
  <si>
    <t>These cells show the KS2 scores used for each subject outcome</t>
  </si>
  <si>
    <r>
      <t xml:space="preserve">Has </t>
    </r>
    <r>
      <rPr>
        <b/>
        <i/>
        <sz val="12"/>
        <rFont val="Arial"/>
        <family val="2"/>
      </rPr>
      <t>special consideration</t>
    </r>
    <r>
      <rPr>
        <i/>
        <sz val="12"/>
        <rFont val="Arial"/>
        <family val="2"/>
      </rPr>
      <t xml:space="preserve"> been granted for this pupil in this subject? (3 scaled score points added for school performance measures - see link below) </t>
    </r>
  </si>
  <si>
    <t>=</t>
  </si>
  <si>
    <t xml:space="preserve">AVERAGE KS2 OUTCOME FOR PAG </t>
  </si>
  <si>
    <t xml:space="preserve">PROGRESS SCORE (Actual pupil outcome - group average)  </t>
  </si>
  <si>
    <t>Pupil's actual KS2 outcome
(From 'KS2 Data Input' sheet)</t>
  </si>
  <si>
    <t>This section identifies the prior attainment group (PAG) to which the pupil belongs and displays the average KS2 outcome for that group. This average is the pupil's estimated KS2 outcome.</t>
  </si>
  <si>
    <t xml:space="preserve">Average KS2 outcome for pupil's prior attainment group </t>
  </si>
  <si>
    <t xml:space="preserve">Within each prior attainment group, scores were averaged to find the mean KS2 outcome for the group. </t>
  </si>
  <si>
    <t xml:space="preserve">To determine progress, an individual pupil's KS2 outcome is compared to the average for the prior attainment group to which they belong. </t>
  </si>
  <si>
    <t>KS1 PRIOR ATTAINMENT GROUP (PAG)</t>
  </si>
  <si>
    <t>No scaled score awarded</t>
  </si>
  <si>
    <r>
      <t xml:space="preserve">Please enter </t>
    </r>
    <r>
      <rPr>
        <i/>
        <sz val="12"/>
        <rFont val="Arial"/>
        <family val="2"/>
      </rPr>
      <t xml:space="preserve">a KS2 Teacher Assessment if the test outcome is B (working below the standard of the test) or if the pupil entered the test but did not achieve a scaled score </t>
    </r>
  </si>
  <si>
    <t>P4</t>
  </si>
  <si>
    <t>BLW - below standard of pre-key stage (not on P scales)</t>
  </si>
  <si>
    <t>M - P scales</t>
  </si>
  <si>
    <r>
      <t>Please enter</t>
    </r>
    <r>
      <rPr>
        <i/>
        <sz val="12"/>
        <rFont val="Arial"/>
        <family val="2"/>
      </rPr>
      <t xml:space="preserve"> the pupil's KS2 scaled score for reading and mathematics and their Teacher Assessment (including P scales) for writing</t>
    </r>
  </si>
  <si>
    <t>P4 Reading</t>
  </si>
  <si>
    <t>P4 Writing</t>
  </si>
  <si>
    <t>Other</t>
  </si>
  <si>
    <t>&gt;0 to &lt;1.75</t>
  </si>
  <si>
    <t>&gt;=1.75 to &lt;2</t>
  </si>
  <si>
    <t>&gt;=2 to &lt;2.25</t>
  </si>
  <si>
    <t>&gt;=2.25 to &lt;2.75</t>
  </si>
  <si>
    <t>Grp 1: &gt; 0 to &lt; 1.75</t>
  </si>
  <si>
    <t>Grp 2: &gt;= 1.75 to &lt; 2</t>
  </si>
  <si>
    <t>Grp 3: &gt;= 2 to &lt; 2.25</t>
  </si>
  <si>
    <t>Grp 4: &gt;= 2.25 to &lt; 2.5</t>
  </si>
  <si>
    <t>Grp 5: &gt;= 2.5 to &lt; 2.75</t>
  </si>
  <si>
    <t>Grp 6: &gt;= 2.75 to &lt; 3</t>
  </si>
  <si>
    <t>Grp 7: &gt;= 3 to &lt; 6</t>
  </si>
  <si>
    <t>Grp 8: &gt;= 6 to &lt; 9</t>
  </si>
  <si>
    <t>Grp 9: &gt;= 9 to &lt; 10</t>
  </si>
  <si>
    <t>Grp 10: &gt;= 10 to &lt; 12</t>
  </si>
  <si>
    <t>Grp 11: &gt;= 12 to &lt; 13</t>
  </si>
  <si>
    <t>Grp 12: &gt;= 13 to &lt; 14</t>
  </si>
  <si>
    <t>Grp 13: &gt;= 14 to &lt; 14.5</t>
  </si>
  <si>
    <t>Grp 14: &gt;= 14.5 to &lt; 15</t>
  </si>
  <si>
    <t>Grp 15: &gt;= 15 to &lt; 15.5</t>
  </si>
  <si>
    <t>Grp 16: &gt;= 15.5 to &lt; 16</t>
  </si>
  <si>
    <t>Grp 17: &gt;= 16 to &lt; 16.5</t>
  </si>
  <si>
    <t>Grp 18: &gt;= 16.5 to &lt; 17</t>
  </si>
  <si>
    <t>Grp 19: &gt;= 17 to &lt; 18</t>
  </si>
  <si>
    <t>Grp 20: &gt;= 18 to &lt; 19</t>
  </si>
  <si>
    <t>Grp 21: &gt;= 19 to &lt; 20</t>
  </si>
  <si>
    <t>Grp 22: &gt;= 20 to &lt; 21</t>
  </si>
  <si>
    <t>Grp 23: &gt;= 21 to &lt; 21.5</t>
  </si>
  <si>
    <t>Grp 24: &gt;= 21.5</t>
  </si>
  <si>
    <t>Further information on special consideration</t>
  </si>
  <si>
    <t>U - Unable to access the test</t>
  </si>
  <si>
    <t>J - Just arrived - abilities not yet determined</t>
  </si>
  <si>
    <r>
      <t xml:space="preserve">KS2 </t>
    </r>
    <r>
      <rPr>
        <b/>
        <sz val="10"/>
        <rFont val="Arial"/>
        <family val="2"/>
      </rPr>
      <t>READING</t>
    </r>
    <r>
      <rPr>
        <sz val="10"/>
        <rFont val="Arial"/>
      </rPr>
      <t xml:space="preserve"> TEST OUTCOME</t>
    </r>
  </si>
  <si>
    <r>
      <t xml:space="preserve">KS2 </t>
    </r>
    <r>
      <rPr>
        <b/>
        <sz val="10"/>
        <rFont val="Arial"/>
        <family val="2"/>
      </rPr>
      <t>WRITING</t>
    </r>
    <r>
      <rPr>
        <sz val="10"/>
        <rFont val="Arial"/>
      </rPr>
      <t xml:space="preserve"> TEST OUTCOME</t>
    </r>
  </si>
  <si>
    <t>This ready reckoner allows the user to calculate a progress score for an individual pupil for the following progress measures:</t>
  </si>
  <si>
    <t>The following steps explain how to use the ready reckoner:</t>
  </si>
  <si>
    <t>For further information about the conversion of raw scores to scaled scores please refer to the guidance at the following link:</t>
  </si>
  <si>
    <r>
      <t xml:space="preserve">Next go to the </t>
    </r>
    <r>
      <rPr>
        <b/>
        <sz val="12"/>
        <color indexed="18"/>
        <rFont val="Arial"/>
        <family val="2"/>
      </rPr>
      <t xml:space="preserve">'Single Measure Ready Reckoner' </t>
    </r>
    <r>
      <rPr>
        <sz val="12"/>
        <color indexed="18"/>
        <rFont val="Arial"/>
        <family val="2"/>
      </rPr>
      <t>sheet and select the KS1-2 progress measure you wish to calculate. See the screenshot below showing the drop-down box to use.</t>
    </r>
  </si>
  <si>
    <t>Using the drop-down box, please select the KS1-2 progress measure you wish to use</t>
  </si>
  <si>
    <t>The table below shows the twenty-four prior attainment groups - groups which rank all KS2 students nationally, based on their KS1 APS.</t>
  </si>
  <si>
    <t>Writing</t>
  </si>
  <si>
    <t>Final Reading</t>
  </si>
  <si>
    <t>Final Writing</t>
  </si>
  <si>
    <t>Final Mathematics</t>
  </si>
  <si>
    <t>capping</t>
  </si>
  <si>
    <t>PAG</t>
  </si>
  <si>
    <t>but the disproportionate effect they have on a school's score has been reduced. For further information on pupils with extremely negative progress scores please refer to the following link…</t>
  </si>
  <si>
    <t>Primary school accountability</t>
  </si>
  <si>
    <t xml:space="preserve">Reading </t>
  </si>
  <si>
    <t xml:space="preserve">Writing </t>
  </si>
  <si>
    <t>N/A</t>
  </si>
  <si>
    <t>The table below shows the twenty-four prior attainment groups (PAGs) - groups which rank all KS2 students nationally, based on their KS1 APS.</t>
  </si>
  <si>
    <t xml:space="preserve">Within the PAGs there is a limit on how negative a pupil's progress score can be for each subject.  Some of the PAGs will not have any pupils </t>
  </si>
  <si>
    <t xml:space="preserve">to allow for extreme negative progress scores. </t>
  </si>
  <si>
    <t>progress score will be replaced with a minimum score set for that prior attainment group. This is determined by a set number of deviations below the mean.</t>
  </si>
  <si>
    <t xml:space="preserve">These pupils still have large negative scores (to reflect that the pupils have made  much less progress than other pupils in the same prior attainment group as them), </t>
  </si>
  <si>
    <r>
      <t xml:space="preserve">The pupil's progress score will then be shown in the dark blue box on the </t>
    </r>
    <r>
      <rPr>
        <b/>
        <sz val="12"/>
        <color indexed="18"/>
        <rFont val="Arial"/>
        <family val="2"/>
      </rPr>
      <t>'Single Measure Ready Reckoner'</t>
    </r>
    <r>
      <rPr>
        <sz val="12"/>
        <color indexed="18"/>
        <rFont val="Arial"/>
        <family val="2"/>
      </rPr>
      <t xml:space="preserve"> sheet, alongside the pupil's progress score that will be used for school's progress score calculation</t>
    </r>
  </si>
  <si>
    <t>There is also a chart comparing the pupil's actual KS2 attainment against their estimated KS2 attainment.</t>
  </si>
  <si>
    <t>Pupil's progress score used in the school calculation</t>
  </si>
  <si>
    <t>Pupil's progress score 
used in the school calculation</t>
  </si>
  <si>
    <t>PAG Limits</t>
  </si>
  <si>
    <t>that have a progress score below the limit set for that PAG. Typically, PAG 1-7 where the average scaled scores at KS2 are not high enough</t>
  </si>
  <si>
    <t>Following a change to the methodology in 2018, there is a limit on how negative a pupil's progress score can be when calculating the school average. Pupils with extremely negative</t>
  </si>
  <si>
    <t>ks1average_grp_p</t>
  </si>
  <si>
    <t>readavg</t>
  </si>
  <si>
    <t>writavg</t>
  </si>
  <si>
    <t>matavg</t>
  </si>
  <si>
    <t>WORKINGS - WILL HIDE OR DELETE</t>
  </si>
  <si>
    <t>&gt;=2.25 to &lt;2.5</t>
  </si>
  <si>
    <t>2018 Amended</t>
  </si>
  <si>
    <t>Cells AH3 to AH18 generate the diagonal line in the chart</t>
  </si>
  <si>
    <t>differences</t>
  </si>
  <si>
    <t>KS1AVERAGE_GRP_P</t>
  </si>
  <si>
    <t>Pupils within each prior attainment group</t>
  </si>
  <si>
    <t>Group average readprog score</t>
  </si>
  <si>
    <t>Group standard deviation readprog score</t>
  </si>
  <si>
    <t>Adjusted SD PAG</t>
  </si>
  <si>
    <t>Group average writprog score</t>
  </si>
  <si>
    <t>Group standard deviation writprog score</t>
  </si>
  <si>
    <t>Group average matprog score</t>
  </si>
  <si>
    <t>Group standard deviation matprog score</t>
  </si>
  <si>
    <t xml:space="preserve">  </t>
  </si>
  <si>
    <t>Please note that all attainment estimates and calculations relate to 2019 data only.</t>
  </si>
  <si>
    <t>The SQL code to do the calculations is in the file ‘2019 KS1-2 ready reckoner SQL for unamended and amended versions’ in the  
folder 
:\Value added\2019\Ready reckoners\KS1-KS2 amended\SQL Code
The PAG Limits code has several stages and needs running in sections until you produce the output from #step5. 
This process needs running for each of reading, writing and maths.</t>
  </si>
  <si>
    <t xml:space="preserve">PK1 - Standard 1 </t>
  </si>
  <si>
    <t>PK2 - Standard 2</t>
  </si>
  <si>
    <t>PK3 - Standard 3</t>
  </si>
  <si>
    <t>PK4 - Standard 4</t>
  </si>
  <si>
    <t>73</t>
  </si>
  <si>
    <t>PK5 - Standard 5</t>
  </si>
  <si>
    <t>76</t>
  </si>
  <si>
    <t>PK6 - Standard 6</t>
  </si>
  <si>
    <t>Standard 1 Reading</t>
  </si>
  <si>
    <t>Standard 2 Reading</t>
  </si>
  <si>
    <t xml:space="preserve">Standard 3 Reading </t>
  </si>
  <si>
    <t>Standard 4 Reading</t>
  </si>
  <si>
    <t>Standard 5 Reading</t>
  </si>
  <si>
    <t>Standard 6 Reading</t>
  </si>
  <si>
    <t>Standard 1 Writing</t>
  </si>
  <si>
    <t>Standard 2 Writing</t>
  </si>
  <si>
    <t xml:space="preserve">Standard 3 Writing </t>
  </si>
  <si>
    <t>Standard 4 Writing</t>
  </si>
  <si>
    <t>Standard 5 Writing</t>
  </si>
  <si>
    <t>Standard 6 Writing</t>
  </si>
  <si>
    <t>P4 in mathematics, numbers &amp; shapes</t>
  </si>
  <si>
    <t>P4 in 1 or 2 of mathematics, numbers &amp; shapes</t>
  </si>
  <si>
    <t>Standard 1 Maths</t>
  </si>
  <si>
    <t>Standard 2 Maths</t>
  </si>
  <si>
    <t>Standard 3 Maths</t>
  </si>
  <si>
    <t>Standard 4 Maths</t>
  </si>
  <si>
    <t>Standard 5 Maths</t>
  </si>
  <si>
    <t>Standard 6 Maths</t>
  </si>
  <si>
    <t>2014 Key Stage 2 Thresholds</t>
  </si>
  <si>
    <t>P1-P3 English</t>
  </si>
  <si>
    <t>P1 - P3 English</t>
  </si>
  <si>
    <t>P1-P3</t>
  </si>
  <si>
    <t>P1i in English</t>
  </si>
  <si>
    <t>P1ii in English</t>
  </si>
  <si>
    <t>P2i in English</t>
  </si>
  <si>
    <t>P2ii in English</t>
  </si>
  <si>
    <t>P3i in English</t>
  </si>
  <si>
    <t>P3ii in English</t>
  </si>
  <si>
    <t>2015 Key Stage 2 Thresholds</t>
  </si>
  <si>
    <t>2019 Amended</t>
  </si>
  <si>
    <t>PAG LIMITS QA</t>
  </si>
  <si>
    <t>Use amended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</si>
</sst>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7" formatCode="0.0000"/>
    <numFmt numFmtId="168" formatCode="0.0"/>
    <numFmt numFmtId="176" formatCode="0.000000"/>
  </numFmts>
  <fonts count="93" x14ac:knownFonts="1">
    <font>
      <sz val="10"/>
      <name val="Arial"/>
    </font>
    <font>
      <sz val="10"/>
      <name val="Arial"/>
    </font>
    <font>
      <b/>
      <sz val="10"/>
      <name val="Arial"/>
      <family val="2"/>
    </font>
    <font>
      <b/>
      <sz val="14"/>
      <name val="Arial"/>
      <family val="2"/>
    </font>
    <font>
      <sz val="8"/>
      <name val="Arial"/>
      <family val="2"/>
    </font>
    <font>
      <b/>
      <sz val="12"/>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
      <sz val="8"/>
      <name val="Arial"/>
      <family val="2"/>
    </font>
    <font>
      <sz val="8"/>
      <color indexed="12"/>
      <name val="Arial"/>
      <family val="2"/>
    </font>
    <font>
      <b/>
      <sz val="10"/>
      <color indexed="8"/>
      <name val="ARIAL"/>
      <family val="2"/>
    </font>
    <font>
      <sz val="16"/>
      <name val="Arial"/>
      <family val="2"/>
    </font>
    <font>
      <b/>
      <sz val="10"/>
      <name val="Arial"/>
      <family val="2"/>
    </font>
    <font>
      <sz val="12"/>
      <name val="Arial"/>
      <family val="2"/>
    </font>
    <font>
      <b/>
      <sz val="16"/>
      <name val="Arial"/>
      <family val="2"/>
    </font>
    <font>
      <b/>
      <sz val="14"/>
      <color indexed="9"/>
      <name val="Arial"/>
      <family val="2"/>
    </font>
    <font>
      <sz val="12"/>
      <name val="Arial"/>
      <family val="2"/>
    </font>
    <font>
      <sz val="10"/>
      <color indexed="22"/>
      <name val="Arial"/>
      <family val="2"/>
    </font>
    <font>
      <b/>
      <sz val="14"/>
      <color indexed="18"/>
      <name val="Arial"/>
      <family val="2"/>
    </font>
    <font>
      <sz val="10"/>
      <color indexed="8"/>
      <name val="Arial"/>
      <family val="2"/>
    </font>
    <font>
      <sz val="10"/>
      <color indexed="9"/>
      <name val="Arial"/>
      <family val="2"/>
    </font>
    <font>
      <sz val="10"/>
      <color indexed="10"/>
      <name val="Arial"/>
      <family val="2"/>
    </font>
    <font>
      <sz val="12"/>
      <color indexed="10"/>
      <name val="Arial"/>
      <family val="2"/>
    </font>
    <font>
      <sz val="8"/>
      <color indexed="8"/>
      <name val="Arial"/>
      <family val="2"/>
    </font>
    <font>
      <b/>
      <sz val="16"/>
      <color indexed="9"/>
      <name val="Arial"/>
      <family val="2"/>
    </font>
    <font>
      <b/>
      <u/>
      <sz val="14"/>
      <color indexed="18"/>
      <name val="Arial"/>
      <family val="2"/>
    </font>
    <font>
      <b/>
      <sz val="10"/>
      <color indexed="10"/>
      <name val="Arial"/>
      <family val="2"/>
    </font>
    <font>
      <sz val="12"/>
      <color indexed="8"/>
      <name val="Arial"/>
      <family val="2"/>
    </font>
    <font>
      <sz val="12"/>
      <color indexed="8"/>
      <name val="Arial"/>
      <family val="2"/>
    </font>
    <font>
      <i/>
      <sz val="12"/>
      <color indexed="8"/>
      <name val="Arial"/>
      <family val="2"/>
    </font>
    <font>
      <i/>
      <sz val="12"/>
      <name val="Arial"/>
      <family val="2"/>
    </font>
    <font>
      <b/>
      <sz val="12"/>
      <color indexed="18"/>
      <name val="Arial"/>
      <family val="2"/>
    </font>
    <font>
      <sz val="12"/>
      <color indexed="18"/>
      <name val="Arial"/>
      <family val="2"/>
    </font>
    <font>
      <sz val="10"/>
      <color indexed="18"/>
      <name val="Arial"/>
      <family val="2"/>
    </font>
    <font>
      <b/>
      <sz val="13"/>
      <color indexed="8"/>
      <name val="Arial"/>
      <family val="2"/>
    </font>
    <font>
      <b/>
      <sz val="14"/>
      <color indexed="8"/>
      <name val="Arial"/>
      <family val="2"/>
    </font>
    <font>
      <b/>
      <i/>
      <sz val="12"/>
      <name val="Arial"/>
      <family val="2"/>
    </font>
    <font>
      <b/>
      <i/>
      <sz val="11"/>
      <color indexed="48"/>
      <name val="Arial"/>
      <family val="2"/>
    </font>
    <font>
      <sz val="11"/>
      <name val="Arial"/>
      <family val="2"/>
    </font>
    <font>
      <b/>
      <i/>
      <sz val="13"/>
      <name val="Arial"/>
      <family val="2"/>
    </font>
    <font>
      <i/>
      <sz val="13"/>
      <name val="Arial"/>
      <family val="2"/>
    </font>
    <font>
      <u/>
      <sz val="14"/>
      <color indexed="12"/>
      <name val="Arial"/>
      <family val="2"/>
    </font>
    <font>
      <sz val="8"/>
      <color indexed="55"/>
      <name val="Arial"/>
      <family val="2"/>
    </font>
    <font>
      <b/>
      <sz val="7.5"/>
      <color indexed="8"/>
      <name val="Helvetica"/>
      <family val="2"/>
    </font>
    <font>
      <sz val="7.5"/>
      <color indexed="8"/>
      <name val="Helvetica"/>
      <family val="2"/>
    </font>
    <font>
      <u/>
      <sz val="14"/>
      <name val="Arial"/>
      <family val="2"/>
    </font>
    <font>
      <sz val="11"/>
      <name val="Calibri"/>
      <family val="2"/>
    </font>
    <font>
      <sz val="11"/>
      <color indexed="36"/>
      <name val="Calibri"/>
      <family val="2"/>
    </font>
    <font>
      <b/>
      <sz val="9"/>
      <name val="Arial"/>
      <family val="2"/>
    </font>
    <font>
      <sz val="9"/>
      <color indexed="81"/>
      <name val="Tahoma"/>
      <family val="2"/>
    </font>
    <font>
      <sz val="9"/>
      <color indexed="81"/>
      <name val="Arial"/>
      <family val="2"/>
    </font>
    <font>
      <b/>
      <sz val="8"/>
      <color indexed="81"/>
      <name val="Arial"/>
      <family val="2"/>
    </font>
    <font>
      <sz val="8"/>
      <color indexed="81"/>
      <name val="Arial"/>
      <family val="2"/>
    </font>
    <font>
      <b/>
      <i/>
      <sz val="14"/>
      <name val="Arial"/>
      <family val="2"/>
    </font>
    <font>
      <sz val="9"/>
      <color indexed="81"/>
      <name val="Tahoma"/>
      <family val="2"/>
    </font>
    <font>
      <b/>
      <sz val="9"/>
      <color indexed="81"/>
      <name val="Tahoma"/>
      <family val="2"/>
    </font>
    <font>
      <sz val="11"/>
      <color theme="1"/>
      <name val="Calibri"/>
      <family val="2"/>
      <scheme val="minor"/>
    </font>
    <font>
      <sz val="10"/>
      <color rgb="FFFF0000"/>
      <name val="Arial"/>
      <family val="2"/>
    </font>
    <font>
      <sz val="10"/>
      <color theme="0"/>
      <name val="Arial"/>
      <family val="2"/>
    </font>
    <font>
      <sz val="8"/>
      <color theme="0"/>
      <name val="Arial"/>
      <family val="2"/>
    </font>
    <font>
      <b/>
      <sz val="11"/>
      <color theme="0"/>
      <name val="Arial"/>
      <family val="2"/>
    </font>
    <font>
      <sz val="11"/>
      <color theme="0"/>
      <name val="Arial"/>
      <family val="2"/>
    </font>
    <font>
      <b/>
      <sz val="10"/>
      <color theme="0" tint="-0.499984740745262"/>
      <name val="Arial"/>
      <family val="2"/>
    </font>
    <font>
      <b/>
      <sz val="10"/>
      <color rgb="FFFF0000"/>
      <name val="Arial"/>
      <family val="2"/>
    </font>
    <font>
      <sz val="10"/>
      <color theme="1"/>
      <name val="Arial"/>
      <family val="2"/>
    </font>
    <font>
      <b/>
      <sz val="14"/>
      <color theme="1"/>
      <name val="Arial"/>
      <family val="2"/>
    </font>
    <font>
      <u/>
      <sz val="10"/>
      <color theme="1"/>
      <name val="Arial"/>
      <family val="2"/>
    </font>
    <font>
      <b/>
      <sz val="14"/>
      <color rgb="FFFF0000"/>
      <name val="Arial"/>
      <family val="2"/>
    </font>
    <font>
      <sz val="11"/>
      <color theme="1"/>
      <name val="Calibri"/>
      <family val="2"/>
    </font>
    <font>
      <b/>
      <sz val="10"/>
      <color theme="1"/>
      <name val="Arial"/>
      <family val="2"/>
    </font>
    <font>
      <b/>
      <sz val="10"/>
      <color theme="0"/>
      <name val="Arial"/>
      <family val="2"/>
    </font>
    <font>
      <sz val="11"/>
      <color theme="0"/>
      <name val="Calibri"/>
      <family val="2"/>
      <scheme val="minor"/>
    </font>
    <font>
      <sz val="14"/>
      <color theme="0"/>
      <name val="Arial"/>
      <family val="2"/>
    </font>
    <font>
      <sz val="11"/>
      <color theme="0"/>
      <name val="Calibri"/>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solid">
        <fgColor indexed="55"/>
        <bgColor indexed="64"/>
      </patternFill>
    </fill>
    <fill>
      <patternFill patternType="solid">
        <fgColor indexed="49"/>
        <bgColor indexed="64"/>
      </patternFill>
    </fill>
    <fill>
      <patternFill patternType="solid">
        <fgColor indexed="18"/>
        <bgColor indexed="64"/>
      </patternFill>
    </fill>
    <fill>
      <patternFill patternType="solid">
        <fgColor indexed="62"/>
        <bgColor indexed="64"/>
      </patternFill>
    </fill>
    <fill>
      <patternFill patternType="solid">
        <fgColor rgb="FF969696"/>
        <bgColor indexed="64"/>
      </patternFill>
    </fill>
    <fill>
      <patternFill patternType="solid">
        <fgColor theme="9" tint="0.39994506668294322"/>
        <bgColor indexed="64"/>
      </patternFill>
    </fill>
    <fill>
      <patternFill patternType="solid">
        <fgColor rgb="FF99CCFF"/>
        <bgColor indexed="64"/>
      </patternFill>
    </fill>
    <fill>
      <patternFill patternType="solid">
        <fgColor rgb="FF33CCCC"/>
        <bgColor indexed="64"/>
      </patternFill>
    </fill>
    <fill>
      <patternFill patternType="solid">
        <fgColor rgb="FFCCFFFF"/>
        <bgColor indexed="64"/>
      </patternFill>
    </fill>
    <fill>
      <patternFill patternType="solid">
        <fgColor theme="0"/>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rgb="FFFFFF0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s>
  <cellStyleXfs count="47">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alignment vertical="top"/>
      <protection locked="0"/>
    </xf>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12" fillId="0" borderId="0"/>
    <xf numFmtId="0" fontId="75" fillId="0" borderId="0"/>
    <xf numFmtId="0" fontId="12" fillId="0" borderId="0" applyNumberFormat="0" applyFill="0" applyBorder="0" applyAlignment="0" applyProtection="0"/>
    <xf numFmtId="0" fontId="12" fillId="0" borderId="0"/>
    <xf numFmtId="0" fontId="12"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460">
    <xf numFmtId="0" fontId="0" fillId="0" borderId="0" xfId="0"/>
    <xf numFmtId="0" fontId="6" fillId="0" borderId="0" xfId="0" applyFont="1"/>
    <xf numFmtId="0" fontId="0" fillId="0" borderId="0" xfId="0" applyAlignment="1">
      <alignment horizontal="center" vertical="center" wrapText="1"/>
    </xf>
    <xf numFmtId="0" fontId="26" fillId="0" borderId="0" xfId="40" applyFont="1"/>
    <xf numFmtId="4" fontId="27" fillId="0" borderId="0" xfId="0" applyNumberFormat="1" applyFont="1"/>
    <xf numFmtId="0" fontId="27" fillId="0" borderId="0" xfId="40" applyFont="1"/>
    <xf numFmtId="2" fontId="27" fillId="0" borderId="0" xfId="0" applyNumberFormat="1" applyFont="1"/>
    <xf numFmtId="2" fontId="27" fillId="0" borderId="0" xfId="40" applyNumberFormat="1" applyFont="1"/>
    <xf numFmtId="0" fontId="27" fillId="0" borderId="0" xfId="0" applyFont="1"/>
    <xf numFmtId="0" fontId="26" fillId="0" borderId="0" xfId="0" applyFont="1"/>
    <xf numFmtId="49" fontId="27" fillId="0" borderId="0" xfId="0" quotePrefix="1" applyNumberFormat="1" applyFont="1"/>
    <xf numFmtId="0" fontId="27" fillId="0" borderId="0" xfId="0" quotePrefix="1" applyNumberFormat="1" applyFont="1" applyAlignment="1">
      <alignment horizontal="left"/>
    </xf>
    <xf numFmtId="0" fontId="27" fillId="0" borderId="0" xfId="0" applyNumberFormat="1" applyFont="1" applyAlignment="1">
      <alignment horizontal="left"/>
    </xf>
    <xf numFmtId="49" fontId="27" fillId="0" borderId="0" xfId="0" applyNumberFormat="1" applyFont="1" applyAlignment="1">
      <alignment horizontal="left"/>
    </xf>
    <xf numFmtId="0" fontId="2" fillId="0" borderId="0" xfId="0" applyFont="1" applyAlignment="1">
      <alignment vertical="center" wrapText="1"/>
    </xf>
    <xf numFmtId="0" fontId="2" fillId="0" borderId="0" xfId="0" applyFont="1" applyAlignment="1">
      <alignment horizontal="center" vertical="center" wrapText="1"/>
    </xf>
    <xf numFmtId="0" fontId="0" fillId="0" borderId="0" xfId="0" applyAlignment="1">
      <alignment horizontal="center" vertical="center"/>
    </xf>
    <xf numFmtId="2" fontId="2" fillId="0" borderId="0" xfId="0" applyNumberFormat="1" applyFont="1" applyFill="1" applyBorder="1" applyAlignment="1">
      <alignment horizontal="center" vertical="center" wrapText="1"/>
    </xf>
    <xf numFmtId="0" fontId="0" fillId="0" borderId="0" xfId="0" applyFill="1"/>
    <xf numFmtId="2" fontId="30" fillId="0" borderId="0" xfId="0" applyNumberFormat="1" applyFont="1" applyFill="1" applyBorder="1" applyAlignment="1">
      <alignment horizontal="center" vertical="center"/>
    </xf>
    <xf numFmtId="0" fontId="3" fillId="0" borderId="0" xfId="0" applyFont="1" applyAlignment="1">
      <alignment horizontal="left"/>
    </xf>
    <xf numFmtId="0" fontId="6" fillId="0" borderId="0" xfId="0" applyFont="1" applyAlignment="1">
      <alignment horizontal="center"/>
    </xf>
    <xf numFmtId="0" fontId="0" fillId="0" borderId="0" xfId="0" applyAlignment="1">
      <alignment horizontal="left" vertical="center" wrapText="1"/>
    </xf>
    <xf numFmtId="0" fontId="6" fillId="0" borderId="0" xfId="0" applyFont="1" applyAlignment="1">
      <alignment horizontal="left" vertical="center" wrapText="1"/>
    </xf>
    <xf numFmtId="0" fontId="1" fillId="0" borderId="0" xfId="0" applyFont="1" applyAlignment="1">
      <alignment horizontal="center" vertical="center" wrapText="1"/>
    </xf>
    <xf numFmtId="0" fontId="12" fillId="0" borderId="0" xfId="0" applyFont="1" applyAlignment="1">
      <alignment horizontal="left" vertical="center" wrapText="1"/>
    </xf>
    <xf numFmtId="0" fontId="2" fillId="0" borderId="0" xfId="0" applyFont="1" applyAlignment="1">
      <alignment horizontal="left" vertical="center" wrapText="1"/>
    </xf>
    <xf numFmtId="0" fontId="33" fillId="0" borderId="0" xfId="0" applyFont="1" applyAlignment="1">
      <alignment horizontal="center" vertical="center"/>
    </xf>
    <xf numFmtId="0" fontId="0" fillId="24" borderId="10" xfId="0" applyFill="1" applyBorder="1" applyAlignment="1">
      <alignment horizontal="center"/>
    </xf>
    <xf numFmtId="0" fontId="33" fillId="0" borderId="0" xfId="0" applyFont="1" applyAlignment="1">
      <alignment horizontal="left"/>
    </xf>
    <xf numFmtId="0" fontId="0" fillId="25" borderId="10" xfId="0" applyFill="1" applyBorder="1" applyAlignment="1">
      <alignment horizontal="center"/>
    </xf>
    <xf numFmtId="0" fontId="0" fillId="26" borderId="10" xfId="0" applyFill="1" applyBorder="1" applyAlignment="1">
      <alignment horizontal="center"/>
    </xf>
    <xf numFmtId="0" fontId="3" fillId="0" borderId="0" xfId="0" applyFont="1"/>
    <xf numFmtId="0" fontId="5" fillId="0" borderId="0" xfId="0" applyFont="1" applyAlignment="1">
      <alignment vertical="center" wrapText="1"/>
    </xf>
    <xf numFmtId="0" fontId="32" fillId="0" borderId="0" xfId="0" applyFont="1" applyAlignment="1"/>
    <xf numFmtId="0" fontId="0" fillId="0" borderId="0" xfId="0" applyAlignment="1">
      <alignment vertical="center" wrapText="1"/>
    </xf>
    <xf numFmtId="0" fontId="0" fillId="0" borderId="0" xfId="0" applyBorder="1"/>
    <xf numFmtId="0" fontId="37" fillId="0" borderId="0" xfId="0" applyFont="1"/>
    <xf numFmtId="0" fontId="0" fillId="0" borderId="0" xfId="0" applyAlignment="1"/>
    <xf numFmtId="0" fontId="0" fillId="0" borderId="0" xfId="0" applyAlignment="1">
      <alignment wrapText="1"/>
    </xf>
    <xf numFmtId="0" fontId="35" fillId="0" borderId="0" xfId="0" applyFont="1"/>
    <xf numFmtId="0" fontId="35" fillId="0" borderId="0" xfId="0" applyFont="1" applyAlignment="1"/>
    <xf numFmtId="0" fontId="0" fillId="0" borderId="0" xfId="0" applyBorder="1" applyAlignment="1"/>
    <xf numFmtId="0" fontId="39" fillId="0" borderId="0" xfId="0" applyFont="1"/>
    <xf numFmtId="0" fontId="40" fillId="0" borderId="0" xfId="0" applyFont="1" applyBorder="1"/>
    <xf numFmtId="0" fontId="41" fillId="0" borderId="0" xfId="0" applyFont="1"/>
    <xf numFmtId="2" fontId="42" fillId="0" borderId="0" xfId="0" applyNumberFormat="1" applyFont="1"/>
    <xf numFmtId="0" fontId="42" fillId="0" borderId="0" xfId="0" applyFont="1"/>
    <xf numFmtId="0" fontId="42" fillId="0" borderId="0" xfId="0" applyFont="1" applyAlignment="1">
      <alignment horizontal="center"/>
    </xf>
    <xf numFmtId="0" fontId="38" fillId="0" borderId="0" xfId="0" applyFont="1" applyBorder="1" applyAlignment="1">
      <alignment horizontal="center"/>
    </xf>
    <xf numFmtId="0" fontId="36" fillId="0" borderId="0" xfId="0" applyFont="1" applyBorder="1" applyAlignment="1">
      <alignment horizontal="center"/>
    </xf>
    <xf numFmtId="0" fontId="3" fillId="0" borderId="0" xfId="0" applyFont="1" applyAlignment="1">
      <alignment horizontal="left" vertical="center"/>
    </xf>
    <xf numFmtId="0" fontId="44" fillId="0" borderId="0" xfId="0" applyFont="1"/>
    <xf numFmtId="0" fontId="45" fillId="0" borderId="0" xfId="0" applyFont="1" applyBorder="1" applyAlignment="1">
      <alignment horizontal="center"/>
    </xf>
    <xf numFmtId="0" fontId="47" fillId="0" borderId="0" xfId="0" applyFont="1"/>
    <xf numFmtId="0" fontId="6" fillId="0" borderId="0" xfId="0" applyFont="1" applyAlignment="1">
      <alignment horizontal="right" indent="1"/>
    </xf>
    <xf numFmtId="0" fontId="44" fillId="0" borderId="0" xfId="0" applyFont="1" applyAlignment="1"/>
    <xf numFmtId="0" fontId="0" fillId="0" borderId="0" xfId="0" applyBorder="1" applyAlignment="1">
      <alignment horizontal="center"/>
    </xf>
    <xf numFmtId="0" fontId="2" fillId="24" borderId="10" xfId="0" applyFont="1" applyFill="1" applyBorder="1" applyAlignment="1" applyProtection="1">
      <alignment horizontal="center" vertical="center" wrapText="1"/>
      <protection locked="0"/>
    </xf>
    <xf numFmtId="0" fontId="42" fillId="0" borderId="0" xfId="0" quotePrefix="1" applyNumberFormat="1" applyFont="1"/>
    <xf numFmtId="2" fontId="27" fillId="0" borderId="0" xfId="0" quotePrefix="1" applyNumberFormat="1" applyFont="1" applyAlignment="1">
      <alignment horizontal="center"/>
    </xf>
    <xf numFmtId="4" fontId="27" fillId="0" borderId="0" xfId="0" applyNumberFormat="1" applyFont="1" applyAlignment="1">
      <alignment horizontal="center"/>
    </xf>
    <xf numFmtId="2" fontId="27" fillId="0" borderId="0" xfId="0" applyNumberFormat="1" applyFont="1" applyAlignment="1">
      <alignment horizontal="center"/>
    </xf>
    <xf numFmtId="0" fontId="27" fillId="0" borderId="0" xfId="40" applyFont="1" applyAlignment="1">
      <alignment horizontal="center"/>
    </xf>
    <xf numFmtId="0" fontId="26" fillId="0" borderId="0" xfId="40" applyFont="1" applyAlignment="1">
      <alignment horizontal="center"/>
    </xf>
    <xf numFmtId="2" fontId="27" fillId="0" borderId="0" xfId="40" applyNumberFormat="1" applyFont="1" applyAlignment="1">
      <alignment horizontal="center"/>
    </xf>
    <xf numFmtId="49" fontId="27" fillId="0" borderId="0" xfId="0" applyNumberFormat="1" applyFont="1" applyAlignment="1">
      <alignment horizontal="center"/>
    </xf>
    <xf numFmtId="4" fontId="28" fillId="0" borderId="0" xfId="0" applyNumberFormat="1" applyFont="1" applyAlignment="1">
      <alignment horizontal="center"/>
    </xf>
    <xf numFmtId="0" fontId="27" fillId="0" borderId="0" xfId="0" quotePrefix="1" applyNumberFormat="1" applyFont="1" applyAlignment="1">
      <alignment horizontal="center"/>
    </xf>
    <xf numFmtId="2" fontId="0" fillId="0" borderId="0" xfId="0" applyNumberFormat="1"/>
    <xf numFmtId="0" fontId="0" fillId="0" borderId="0" xfId="0" applyAlignment="1">
      <alignment horizontal="right"/>
    </xf>
    <xf numFmtId="0" fontId="35" fillId="0" borderId="0" xfId="0" applyFont="1" applyAlignment="1">
      <alignment horizontal="center" vertical="center" wrapText="1"/>
    </xf>
    <xf numFmtId="2" fontId="0" fillId="0" borderId="0" xfId="0" applyNumberFormat="1" applyAlignment="1">
      <alignment horizontal="right"/>
    </xf>
    <xf numFmtId="0" fontId="0" fillId="0" borderId="0" xfId="0" applyBorder="1" applyAlignment="1">
      <alignment wrapText="1"/>
    </xf>
    <xf numFmtId="0" fontId="12" fillId="0" borderId="0" xfId="0" applyFont="1"/>
    <xf numFmtId="0" fontId="49" fillId="0" borderId="0" xfId="0" applyFont="1" applyAlignment="1">
      <alignment horizontal="left" vertical="top"/>
    </xf>
    <xf numFmtId="0" fontId="48" fillId="0" borderId="0" xfId="0" applyFont="1" applyAlignment="1">
      <alignment vertical="center"/>
    </xf>
    <xf numFmtId="0" fontId="56" fillId="0" borderId="0" xfId="0" applyFont="1"/>
    <xf numFmtId="0" fontId="46" fillId="0" borderId="0" xfId="0" applyFont="1"/>
    <xf numFmtId="0" fontId="32" fillId="0" borderId="0" xfId="0" applyFont="1"/>
    <xf numFmtId="0" fontId="57" fillId="0" borderId="10" xfId="0" applyFont="1" applyBorder="1" applyAlignment="1">
      <alignment horizontal="center" vertical="center" wrapText="1"/>
    </xf>
    <xf numFmtId="0" fontId="12" fillId="0" borderId="0" xfId="0" applyFont="1" applyAlignment="1">
      <alignment horizontal="center"/>
    </xf>
    <xf numFmtId="0" fontId="59" fillId="0" borderId="0" xfId="0" applyFont="1" applyAlignment="1">
      <alignment horizontal="left" vertical="center" wrapText="1"/>
    </xf>
    <xf numFmtId="0" fontId="12" fillId="0" borderId="0" xfId="0" applyFont="1" applyAlignment="1">
      <alignment horizontal="left"/>
    </xf>
    <xf numFmtId="0" fontId="0" fillId="0" borderId="0" xfId="0" applyFill="1" applyBorder="1"/>
    <xf numFmtId="0" fontId="45" fillId="0" borderId="0" xfId="0" applyFont="1" applyAlignment="1">
      <alignment horizontal="center" vertical="center" wrapText="1"/>
    </xf>
    <xf numFmtId="0" fontId="18" fillId="0" borderId="0" xfId="34" applyBorder="1" applyAlignment="1" applyProtection="1"/>
    <xf numFmtId="0" fontId="0" fillId="0" borderId="0" xfId="0" applyProtection="1">
      <protection locked="0"/>
    </xf>
    <xf numFmtId="0" fontId="0" fillId="0" borderId="0" xfId="0" applyProtection="1"/>
    <xf numFmtId="2" fontId="0" fillId="0" borderId="0" xfId="0" applyNumberFormat="1" applyProtection="1"/>
    <xf numFmtId="0" fontId="61" fillId="0" borderId="0" xfId="40" applyFont="1"/>
    <xf numFmtId="0" fontId="12" fillId="0" borderId="0" xfId="0" applyFont="1" applyAlignment="1">
      <alignment horizontal="right"/>
    </xf>
    <xf numFmtId="0" fontId="1" fillId="0" borderId="0" xfId="0" applyFont="1" applyAlignment="1">
      <alignment horizontal="center" wrapText="1"/>
    </xf>
    <xf numFmtId="0" fontId="2" fillId="0" borderId="0" xfId="0" applyFont="1" applyFill="1" applyBorder="1" applyAlignment="1" applyProtection="1">
      <alignment horizontal="center" vertical="center" wrapText="1"/>
      <protection locked="0"/>
    </xf>
    <xf numFmtId="0" fontId="34" fillId="0" borderId="0" xfId="0" applyFont="1" applyFill="1" applyBorder="1" applyAlignment="1">
      <alignment vertical="center" wrapText="1"/>
    </xf>
    <xf numFmtId="0" fontId="0" fillId="0" borderId="0" xfId="0" applyAlignment="1">
      <alignment horizontal="center" wrapText="1"/>
    </xf>
    <xf numFmtId="4" fontId="26" fillId="0" borderId="0" xfId="0" applyNumberFormat="1" applyFont="1" applyAlignment="1">
      <alignment horizontal="center" vertical="center" wrapText="1"/>
    </xf>
    <xf numFmtId="2" fontId="26" fillId="0" borderId="0" xfId="0" applyNumberFormat="1" applyFont="1" applyAlignment="1">
      <alignment horizontal="center" vertical="center" wrapText="1"/>
    </xf>
    <xf numFmtId="0" fontId="27" fillId="0" borderId="0" xfId="0" applyNumberFormat="1" applyFont="1" applyAlignment="1">
      <alignment horizontal="center"/>
    </xf>
    <xf numFmtId="0" fontId="27" fillId="0" borderId="0" xfId="0" applyFont="1" applyAlignment="1">
      <alignment horizontal="center"/>
    </xf>
    <xf numFmtId="0" fontId="1" fillId="0" borderId="0" xfId="0" applyFont="1"/>
    <xf numFmtId="4" fontId="27" fillId="0" borderId="0" xfId="0" applyNumberFormat="1" applyFont="1" applyFill="1" applyBorder="1" applyAlignment="1">
      <alignment horizontal="center"/>
    </xf>
    <xf numFmtId="0" fontId="27" fillId="0" borderId="0" xfId="40" applyFont="1" applyFill="1" applyBorder="1"/>
    <xf numFmtId="0" fontId="0" fillId="0" borderId="0" xfId="0" applyFill="1" applyBorder="1" applyAlignment="1">
      <alignment horizontal="left"/>
    </xf>
    <xf numFmtId="0" fontId="34" fillId="0" borderId="0" xfId="0" applyFont="1" applyFill="1" applyBorder="1" applyAlignment="1">
      <alignment horizontal="left" vertical="center" wrapText="1"/>
    </xf>
    <xf numFmtId="0" fontId="1" fillId="0" borderId="0" xfId="0" applyFont="1" applyFill="1" applyBorder="1" applyAlignment="1">
      <alignment horizontal="left" wrapText="1"/>
    </xf>
    <xf numFmtId="0" fontId="63" fillId="0" borderId="0" xfId="0" applyFont="1" applyFill="1" applyBorder="1" applyAlignment="1">
      <alignment horizontal="right" vertical="center" wrapText="1"/>
    </xf>
    <xf numFmtId="0" fontId="27" fillId="0" borderId="0" xfId="40" applyFont="1" applyFill="1" applyBorder="1" applyAlignment="1">
      <alignment horizontal="center"/>
    </xf>
    <xf numFmtId="0" fontId="63" fillId="0" borderId="0"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42" fillId="0" borderId="0" xfId="0" applyFont="1" applyAlignment="1">
      <alignment horizontal="right"/>
    </xf>
    <xf numFmtId="0" fontId="27" fillId="0" borderId="0" xfId="40" applyFont="1" applyBorder="1"/>
    <xf numFmtId="0" fontId="61" fillId="0" borderId="0" xfId="40" applyFont="1" applyFill="1" applyBorder="1"/>
    <xf numFmtId="1" fontId="27" fillId="0" borderId="0" xfId="0" applyNumberFormat="1" applyFont="1" applyAlignment="1">
      <alignment horizontal="center"/>
    </xf>
    <xf numFmtId="0" fontId="26" fillId="0" borderId="0" xfId="40" applyFont="1" applyAlignment="1">
      <alignment horizontal="center" vertical="center" wrapText="1"/>
    </xf>
    <xf numFmtId="0" fontId="27" fillId="0" borderId="0" xfId="40" applyFont="1" applyAlignment="1">
      <alignment horizontal="center" vertical="center" wrapText="1"/>
    </xf>
    <xf numFmtId="2" fontId="27" fillId="0" borderId="0" xfId="40" applyNumberFormat="1" applyFont="1" applyAlignment="1">
      <alignment horizontal="center" vertical="center" wrapText="1"/>
    </xf>
    <xf numFmtId="0" fontId="26" fillId="0" borderId="0" xfId="40" applyFont="1" applyBorder="1" applyAlignment="1">
      <alignment horizontal="center" vertical="center"/>
    </xf>
    <xf numFmtId="0" fontId="26" fillId="0" borderId="0" xfId="40" applyFont="1" applyAlignment="1">
      <alignment horizontal="center" vertical="center"/>
    </xf>
    <xf numFmtId="4" fontId="26" fillId="0" borderId="0" xfId="0" applyNumberFormat="1" applyFont="1" applyAlignment="1">
      <alignment horizontal="center" vertical="center"/>
    </xf>
    <xf numFmtId="2" fontId="26" fillId="0" borderId="0" xfId="0" applyNumberFormat="1" applyFont="1" applyAlignment="1">
      <alignment horizontal="center" vertical="center"/>
    </xf>
    <xf numFmtId="0" fontId="27" fillId="0" borderId="0" xfId="40" applyFont="1" applyAlignment="1">
      <alignment horizontal="center" vertical="center"/>
    </xf>
    <xf numFmtId="2" fontId="42" fillId="0" borderId="0" xfId="0" applyNumberFormat="1" applyFont="1" applyAlignment="1">
      <alignment horizontal="center"/>
    </xf>
    <xf numFmtId="0" fontId="39" fillId="0" borderId="0" xfId="0" applyFont="1" applyBorder="1"/>
    <xf numFmtId="0" fontId="39" fillId="0" borderId="0" xfId="0" applyFont="1" applyFill="1" applyBorder="1" applyAlignment="1">
      <alignment horizontal="center" vertical="center"/>
    </xf>
    <xf numFmtId="0" fontId="29" fillId="24" borderId="10" xfId="0" applyFont="1" applyFill="1" applyBorder="1" applyAlignment="1" applyProtection="1">
      <alignment horizontal="center" vertical="center" wrapText="1"/>
      <protection locked="0"/>
    </xf>
    <xf numFmtId="0" fontId="0" fillId="0" borderId="0" xfId="0" applyFill="1" applyBorder="1" applyAlignment="1">
      <alignment horizontal="center" vertical="center" wrapText="1"/>
    </xf>
    <xf numFmtId="0" fontId="45" fillId="0" borderId="0" xfId="0" applyFont="1" applyFill="1" applyBorder="1" applyAlignment="1">
      <alignment horizontal="center" vertical="center" wrapText="1"/>
    </xf>
    <xf numFmtId="0" fontId="12" fillId="0" borderId="0" xfId="0" applyFont="1" applyAlignment="1">
      <alignment horizontal="center" vertical="center" wrapText="1"/>
    </xf>
    <xf numFmtId="0" fontId="42" fillId="0" borderId="0" xfId="0" applyFont="1" applyAlignment="1"/>
    <xf numFmtId="0" fontId="12" fillId="0" borderId="0" xfId="0" applyFont="1" applyFill="1" applyBorder="1"/>
    <xf numFmtId="0" fontId="2" fillId="0" borderId="0" xfId="0" applyFont="1"/>
    <xf numFmtId="0" fontId="2" fillId="0" borderId="0" xfId="0" applyFont="1" applyAlignment="1"/>
    <xf numFmtId="0" fontId="5" fillId="0" borderId="0" xfId="0" applyFont="1" applyAlignment="1">
      <alignment horizontal="center" vertical="center" wrapText="1"/>
    </xf>
    <xf numFmtId="0" fontId="57" fillId="0" borderId="0" xfId="0" applyFont="1" applyBorder="1" applyAlignment="1">
      <alignment horizontal="center" vertical="center" wrapText="1"/>
    </xf>
    <xf numFmtId="2" fontId="3" fillId="0" borderId="0" xfId="0" applyNumberFormat="1" applyFont="1" applyFill="1" applyBorder="1" applyAlignment="1" applyProtection="1">
      <alignment horizontal="center" vertical="center" wrapText="1"/>
      <protection hidden="1"/>
    </xf>
    <xf numFmtId="2" fontId="12" fillId="0" borderId="0" xfId="0" applyNumberFormat="1" applyFont="1" applyFill="1"/>
    <xf numFmtId="167" fontId="66" fillId="0" borderId="0" xfId="0" applyNumberFormat="1" applyFont="1" applyFill="1" applyBorder="1" applyAlignment="1">
      <alignment horizontal="center"/>
    </xf>
    <xf numFmtId="176" fontId="66" fillId="0" borderId="0" xfId="0" applyNumberFormat="1" applyFont="1" applyFill="1" applyBorder="1" applyAlignment="1">
      <alignment horizontal="center"/>
    </xf>
    <xf numFmtId="0" fontId="66" fillId="0" borderId="0" xfId="0" applyFont="1" applyFill="1" applyBorder="1" applyAlignment="1">
      <alignment horizontal="center"/>
    </xf>
    <xf numFmtId="0" fontId="66" fillId="0" borderId="0" xfId="41" applyFont="1" applyFill="1" applyBorder="1" applyAlignment="1">
      <alignment horizontal="center"/>
    </xf>
    <xf numFmtId="0" fontId="4" fillId="0" borderId="0" xfId="0" applyFont="1" applyFill="1" applyBorder="1" applyAlignment="1">
      <alignment vertical="top" wrapText="1"/>
    </xf>
    <xf numFmtId="0" fontId="0" fillId="0" borderId="0" xfId="0" applyFont="1" applyFill="1" applyBorder="1" applyAlignment="1">
      <alignment horizontal="center"/>
    </xf>
    <xf numFmtId="0" fontId="65" fillId="0" borderId="0" xfId="0" applyFont="1" applyFill="1" applyBorder="1" applyAlignment="1">
      <alignment horizontal="center" vertical="top" wrapText="1"/>
    </xf>
    <xf numFmtId="0" fontId="67" fillId="0" borderId="0" xfId="0" applyFont="1" applyFill="1" applyBorder="1" applyAlignment="1">
      <alignment vertical="top" wrapText="1"/>
    </xf>
    <xf numFmtId="0" fontId="3" fillId="0" borderId="0" xfId="0" applyFont="1" applyProtection="1"/>
    <xf numFmtId="0" fontId="46" fillId="0" borderId="0" xfId="0" applyFont="1" applyProtection="1"/>
    <xf numFmtId="0" fontId="35" fillId="0" borderId="0" xfId="0" applyFont="1" applyProtection="1"/>
    <xf numFmtId="0" fontId="51" fillId="0" borderId="0" xfId="0" quotePrefix="1" applyFont="1" applyProtection="1"/>
    <xf numFmtId="0" fontId="0" fillId="0" borderId="0" xfId="0" applyBorder="1" applyProtection="1"/>
    <xf numFmtId="0" fontId="53" fillId="0" borderId="0" xfId="0" applyFont="1" applyProtection="1"/>
    <xf numFmtId="0" fontId="32" fillId="0" borderId="0" xfId="0" applyFont="1" applyProtection="1"/>
    <xf numFmtId="0" fontId="51" fillId="0" borderId="0" xfId="0" applyFont="1" applyProtection="1"/>
    <xf numFmtId="0" fontId="52" fillId="0" borderId="0" xfId="0" applyFont="1" applyProtection="1"/>
    <xf numFmtId="2" fontId="27" fillId="0" borderId="11" xfId="0" applyNumberFormat="1" applyFont="1" applyBorder="1" applyAlignment="1">
      <alignment horizontal="center"/>
    </xf>
    <xf numFmtId="2" fontId="27" fillId="0" borderId="12" xfId="0" applyNumberFormat="1" applyFont="1" applyBorder="1" applyAlignment="1">
      <alignment horizontal="center"/>
    </xf>
    <xf numFmtId="2" fontId="27" fillId="0" borderId="13" xfId="0" applyNumberFormat="1" applyFont="1" applyBorder="1" applyAlignment="1">
      <alignment horizontal="center"/>
    </xf>
    <xf numFmtId="2" fontId="39" fillId="0" borderId="0" xfId="0" applyNumberFormat="1" applyFont="1"/>
    <xf numFmtId="0" fontId="12" fillId="0" borderId="0" xfId="0" applyFont="1" applyAlignment="1" applyProtection="1">
      <alignment horizontal="center"/>
    </xf>
    <xf numFmtId="0" fontId="0" fillId="0" borderId="0" xfId="0" applyAlignment="1" applyProtection="1">
      <alignment horizontal="center"/>
    </xf>
    <xf numFmtId="14" fontId="0" fillId="0" borderId="0" xfId="0" applyNumberFormat="1" applyAlignment="1" applyProtection="1">
      <alignment horizontal="center"/>
    </xf>
    <xf numFmtId="0" fontId="76" fillId="0" borderId="0" xfId="0" applyFont="1"/>
    <xf numFmtId="2" fontId="77" fillId="0" borderId="0" xfId="0" applyNumberFormat="1" applyFont="1" applyAlignment="1">
      <alignment horizontal="center"/>
    </xf>
    <xf numFmtId="0" fontId="77" fillId="0" borderId="0" xfId="0" applyFont="1" applyBorder="1" applyAlignment="1">
      <alignment horizontal="center"/>
    </xf>
    <xf numFmtId="0" fontId="77" fillId="0" borderId="0" xfId="0" applyFont="1"/>
    <xf numFmtId="0" fontId="44" fillId="0" borderId="0" xfId="0" applyFont="1" applyBorder="1" applyAlignment="1"/>
    <xf numFmtId="0" fontId="78" fillId="0" borderId="0" xfId="0" applyFont="1"/>
    <xf numFmtId="2" fontId="78" fillId="0" borderId="0" xfId="0" applyNumberFormat="1" applyFont="1"/>
    <xf numFmtId="0" fontId="79" fillId="0" borderId="0" xfId="0" applyFont="1"/>
    <xf numFmtId="0" fontId="78" fillId="0" borderId="0" xfId="40" applyFont="1"/>
    <xf numFmtId="0" fontId="79" fillId="0" borderId="0" xfId="0" applyFont="1" applyBorder="1" applyAlignment="1">
      <alignment vertical="top" wrapText="1"/>
    </xf>
    <xf numFmtId="0" fontId="80" fillId="0" borderId="0" xfId="0" applyFont="1" applyBorder="1" applyAlignment="1">
      <alignment vertical="top" wrapText="1"/>
    </xf>
    <xf numFmtId="2" fontId="78" fillId="0" borderId="0" xfId="40" applyNumberFormat="1" applyFont="1"/>
    <xf numFmtId="0" fontId="27" fillId="0" borderId="0" xfId="0" applyFont="1" applyBorder="1"/>
    <xf numFmtId="0" fontId="80" fillId="0" borderId="0" xfId="0" applyFont="1" applyBorder="1"/>
    <xf numFmtId="0" fontId="77" fillId="0" borderId="0" xfId="0" applyFont="1" applyBorder="1"/>
    <xf numFmtId="0" fontId="78" fillId="0" borderId="0" xfId="40" applyFont="1" applyBorder="1"/>
    <xf numFmtId="0" fontId="78" fillId="0" borderId="0" xfId="0" applyFont="1" applyBorder="1"/>
    <xf numFmtId="2" fontId="78" fillId="0" borderId="0" xfId="0" applyNumberFormat="1" applyFont="1" applyBorder="1"/>
    <xf numFmtId="176" fontId="0" fillId="0" borderId="0" xfId="0" applyNumberFormat="1"/>
    <xf numFmtId="167" fontId="0" fillId="0" borderId="0" xfId="0" applyNumberFormat="1"/>
    <xf numFmtId="1" fontId="42" fillId="0" borderId="0" xfId="0" applyNumberFormat="1" applyFont="1"/>
    <xf numFmtId="2" fontId="33" fillId="0" borderId="0" xfId="0" applyNumberFormat="1" applyFont="1" applyFill="1" applyBorder="1" applyAlignment="1">
      <alignment horizontal="center" vertical="center"/>
    </xf>
    <xf numFmtId="0" fontId="54" fillId="0" borderId="0" xfId="34" applyFont="1" applyBorder="1" applyAlignment="1" applyProtection="1">
      <alignment wrapText="1"/>
    </xf>
    <xf numFmtId="2" fontId="2" fillId="0" borderId="0" xfId="0" applyNumberFormat="1" applyFont="1" applyFill="1" applyBorder="1" applyAlignment="1">
      <alignment horizontal="center" vertical="center"/>
    </xf>
    <xf numFmtId="2" fontId="12" fillId="0" borderId="0" xfId="0" applyNumberFormat="1" applyFont="1"/>
    <xf numFmtId="0" fontId="48" fillId="0" borderId="0" xfId="0" applyFont="1" applyAlignment="1">
      <alignment horizontal="left" vertical="center" wrapText="1"/>
    </xf>
    <xf numFmtId="0" fontId="12" fillId="0" borderId="0" xfId="0" applyFont="1" applyFill="1" applyBorder="1" applyAlignment="1">
      <alignment horizontal="left"/>
    </xf>
    <xf numFmtId="0" fontId="48" fillId="0" borderId="0" xfId="0" applyFont="1" applyAlignment="1">
      <alignment wrapText="1"/>
    </xf>
    <xf numFmtId="0" fontId="49" fillId="0" borderId="0" xfId="0" applyFont="1" applyAlignment="1">
      <alignment horizontal="left" vertical="center" wrapText="1"/>
    </xf>
    <xf numFmtId="0" fontId="44" fillId="0" borderId="0" xfId="0" applyFont="1" applyAlignment="1">
      <alignment horizontal="left" vertical="center" wrapText="1"/>
    </xf>
    <xf numFmtId="0" fontId="44" fillId="0" borderId="0" xfId="0" applyFont="1" applyAlignment="1">
      <alignment horizontal="left" vertical="center"/>
    </xf>
    <xf numFmtId="0" fontId="12" fillId="0" borderId="0" xfId="0" applyFont="1" applyProtection="1"/>
    <xf numFmtId="2" fontId="2" fillId="0" borderId="0" xfId="0" applyNumberFormat="1" applyFont="1"/>
    <xf numFmtId="2" fontId="3" fillId="0" borderId="0" xfId="0" applyNumberFormat="1" applyFont="1" applyFill="1" applyBorder="1" applyAlignment="1">
      <alignment horizontal="center" vertical="center" wrapText="1"/>
    </xf>
    <xf numFmtId="2" fontId="34" fillId="0" borderId="0" xfId="0" applyNumberFormat="1" applyFont="1" applyFill="1" applyBorder="1" applyAlignment="1" applyProtection="1">
      <alignment horizontal="center" vertical="center" wrapText="1"/>
      <protection hidden="1"/>
    </xf>
    <xf numFmtId="0" fontId="34"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34"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9" fillId="0" borderId="0" xfId="34" applyFont="1" applyFill="1" applyBorder="1" applyAlignment="1" applyProtection="1">
      <alignment horizontal="center" vertical="center" wrapText="1"/>
      <protection locked="0"/>
    </xf>
    <xf numFmtId="0" fontId="0" fillId="0" borderId="0" xfId="0" applyFill="1" applyBorder="1" applyAlignment="1">
      <alignment horizontal="center"/>
    </xf>
    <xf numFmtId="0" fontId="6" fillId="0" borderId="0" xfId="0" applyFont="1" applyAlignment="1"/>
    <xf numFmtId="0" fontId="49" fillId="0" borderId="14" xfId="0" applyFont="1" applyBorder="1" applyAlignment="1">
      <alignment vertical="top" wrapText="1"/>
    </xf>
    <xf numFmtId="0" fontId="0" fillId="30" borderId="10" xfId="0" applyFill="1" applyBorder="1" applyAlignment="1">
      <alignment horizontal="center"/>
    </xf>
    <xf numFmtId="0" fontId="5" fillId="0" borderId="0" xfId="0" applyFont="1" applyFill="1" applyBorder="1" applyAlignment="1">
      <alignment horizontal="left" vertical="center" wrapText="1"/>
    </xf>
    <xf numFmtId="2" fontId="0" fillId="0" borderId="0" xfId="0" applyNumberFormat="1" applyFill="1" applyBorder="1"/>
    <xf numFmtId="1" fontId="12" fillId="0" borderId="0" xfId="0" applyNumberFormat="1" applyFont="1"/>
    <xf numFmtId="2" fontId="12" fillId="0" borderId="0" xfId="0" applyNumberFormat="1" applyFont="1" applyBorder="1" applyAlignment="1">
      <alignment horizontal="center" vertical="center" wrapText="1"/>
    </xf>
    <xf numFmtId="2" fontId="12" fillId="0" borderId="0" xfId="0" applyNumberFormat="1" applyFont="1" applyFill="1" applyBorder="1" applyAlignment="1">
      <alignment horizontal="center"/>
    </xf>
    <xf numFmtId="2" fontId="12" fillId="0" borderId="0" xfId="0" applyNumberFormat="1" applyFont="1" applyBorder="1" applyAlignment="1">
      <alignment horizontal="center"/>
    </xf>
    <xf numFmtId="0" fontId="5" fillId="0" borderId="0" xfId="34" applyFont="1" applyBorder="1" applyAlignment="1" applyProtection="1">
      <protection locked="0"/>
    </xf>
    <xf numFmtId="0" fontId="6" fillId="31" borderId="10" xfId="0" applyFont="1" applyFill="1" applyBorder="1" applyAlignment="1">
      <alignment horizontal="center"/>
    </xf>
    <xf numFmtId="0" fontId="3" fillId="0" borderId="0" xfId="34" applyFont="1" applyFill="1" applyBorder="1" applyAlignment="1" applyProtection="1">
      <alignment vertical="center" wrapText="1"/>
      <protection locked="0"/>
    </xf>
    <xf numFmtId="0" fontId="18" fillId="0" borderId="0" xfId="34" quotePrefix="1" applyAlignment="1" applyProtection="1"/>
    <xf numFmtId="1" fontId="2" fillId="32" borderId="10" xfId="0" applyNumberFormat="1" applyFont="1" applyFill="1" applyBorder="1" applyAlignment="1">
      <alignment horizontal="center" vertical="center" wrapText="1"/>
    </xf>
    <xf numFmtId="1" fontId="3" fillId="32" borderId="10" xfId="0" applyNumberFormat="1" applyFont="1" applyFill="1" applyBorder="1" applyAlignment="1" applyProtection="1">
      <alignment horizontal="center" vertical="center" wrapText="1"/>
      <protection hidden="1"/>
    </xf>
    <xf numFmtId="2" fontId="2" fillId="32" borderId="10" xfId="0" applyNumberFormat="1" applyFont="1" applyFill="1" applyBorder="1" applyAlignment="1">
      <alignment horizontal="center" vertical="center" wrapText="1"/>
    </xf>
    <xf numFmtId="2" fontId="2" fillId="32" borderId="10" xfId="0" applyNumberFormat="1" applyFont="1" applyFill="1" applyBorder="1" applyAlignment="1">
      <alignment horizontal="center" vertical="center"/>
    </xf>
    <xf numFmtId="0" fontId="49" fillId="0" borderId="0" xfId="0" applyFont="1" applyAlignment="1">
      <alignment vertical="center"/>
    </xf>
    <xf numFmtId="2" fontId="3" fillId="33" borderId="10" xfId="0" applyNumberFormat="1" applyFont="1" applyFill="1" applyBorder="1" applyAlignment="1">
      <alignment horizontal="center" vertical="center" wrapText="1"/>
    </xf>
    <xf numFmtId="2" fontId="34" fillId="28" borderId="10" xfId="0" applyNumberFormat="1" applyFont="1" applyFill="1" applyBorder="1" applyAlignment="1" applyProtection="1">
      <alignment horizontal="center" vertical="center" wrapText="1"/>
      <protection hidden="1"/>
    </xf>
    <xf numFmtId="0" fontId="3" fillId="0" borderId="0" xfId="0" applyFont="1" applyAlignment="1">
      <alignment vertical="center"/>
    </xf>
    <xf numFmtId="0" fontId="3" fillId="0" borderId="0" xfId="0" applyFont="1" applyBorder="1" applyAlignment="1">
      <alignment vertical="center"/>
    </xf>
    <xf numFmtId="0" fontId="54" fillId="0" borderId="0" xfId="0" applyFont="1" applyAlignment="1">
      <alignment horizontal="left" vertical="center" wrapText="1"/>
    </xf>
    <xf numFmtId="0" fontId="2" fillId="34" borderId="10" xfId="0" applyFont="1" applyFill="1" applyBorder="1" applyAlignment="1" applyProtection="1">
      <alignment horizontal="center" vertical="center" wrapText="1"/>
      <protection locked="0"/>
    </xf>
    <xf numFmtId="0" fontId="12" fillId="0" borderId="0" xfId="0" applyFont="1" applyBorder="1"/>
    <xf numFmtId="0" fontId="55" fillId="0" borderId="0" xfId="0" applyFont="1" applyAlignment="1">
      <alignment horizontal="left" vertical="center" wrapText="1"/>
    </xf>
    <xf numFmtId="0" fontId="49" fillId="0" borderId="0" xfId="0" applyFont="1" applyFill="1" applyBorder="1" applyAlignment="1">
      <alignment horizontal="left" vertical="center" wrapText="1"/>
    </xf>
    <xf numFmtId="0" fontId="6" fillId="0" borderId="0" xfId="0" applyFont="1" applyFill="1" applyBorder="1" applyAlignment="1"/>
    <xf numFmtId="0" fontId="2" fillId="35" borderId="0" xfId="0" applyFont="1" applyFill="1" applyBorder="1" applyAlignment="1" applyProtection="1">
      <alignment horizontal="center" vertical="center" wrapText="1"/>
      <protection locked="0"/>
    </xf>
    <xf numFmtId="1" fontId="2" fillId="35" borderId="0" xfId="0" applyNumberFormat="1" applyFont="1" applyFill="1" applyBorder="1" applyAlignment="1">
      <alignment horizontal="center" vertical="center" wrapText="1"/>
    </xf>
    <xf numFmtId="0" fontId="1" fillId="35" borderId="0" xfId="0" applyFont="1" applyFill="1"/>
    <xf numFmtId="1" fontId="12" fillId="0" borderId="0" xfId="0" applyNumberFormat="1" applyFont="1" applyFill="1" applyBorder="1" applyAlignment="1">
      <alignment horizontal="center" vertical="center" wrapText="1"/>
    </xf>
    <xf numFmtId="2" fontId="12" fillId="0" borderId="0" xfId="0" applyNumberFormat="1" applyFont="1" applyFill="1" applyBorder="1" applyAlignment="1">
      <alignment horizontal="center" vertical="center" wrapText="1"/>
    </xf>
    <xf numFmtId="168" fontId="0" fillId="0" borderId="0" xfId="0" applyNumberFormat="1" applyFill="1"/>
    <xf numFmtId="168" fontId="77" fillId="35" borderId="0" xfId="0" applyNumberFormat="1" applyFont="1" applyFill="1" applyBorder="1" applyAlignment="1">
      <alignment horizontal="center"/>
    </xf>
    <xf numFmtId="0" fontId="81" fillId="36" borderId="10" xfId="0" applyFont="1" applyFill="1" applyBorder="1" applyAlignment="1" applyProtection="1">
      <alignment horizontal="center" vertical="center" wrapText="1"/>
      <protection locked="0"/>
    </xf>
    <xf numFmtId="0" fontId="82" fillId="0" borderId="0" xfId="0" applyFont="1"/>
    <xf numFmtId="0" fontId="76" fillId="0" borderId="0" xfId="0" applyFont="1" applyAlignment="1">
      <alignment horizontal="center"/>
    </xf>
    <xf numFmtId="0" fontId="0" fillId="0" borderId="0" xfId="0" applyFont="1" applyAlignment="1">
      <alignment horizontal="center" vertical="center" wrapText="1"/>
    </xf>
    <xf numFmtId="0" fontId="76" fillId="0" borderId="0" xfId="0" applyFont="1"/>
    <xf numFmtId="0" fontId="18" fillId="0" borderId="0" xfId="34" applyAlignment="1" applyProtection="1"/>
    <xf numFmtId="0" fontId="51" fillId="0" borderId="0" xfId="0" applyFont="1" applyAlignment="1" applyProtection="1"/>
    <xf numFmtId="2" fontId="32" fillId="0" borderId="15" xfId="0" applyNumberFormat="1" applyFont="1" applyBorder="1" applyAlignment="1">
      <alignment horizontal="center" vertical="center" wrapText="1"/>
    </xf>
    <xf numFmtId="2" fontId="32" fillId="0" borderId="15" xfId="0" applyNumberFormat="1" applyFont="1" applyBorder="1" applyAlignment="1">
      <alignment horizontal="center" vertical="center"/>
    </xf>
    <xf numFmtId="0" fontId="5" fillId="0" borderId="15" xfId="0" applyFont="1" applyFill="1" applyBorder="1" applyAlignment="1">
      <alignment horizontal="center" vertical="center" wrapText="1"/>
    </xf>
    <xf numFmtId="0" fontId="32" fillId="0" borderId="15" xfId="0" applyFont="1" applyBorder="1" applyAlignment="1">
      <alignment horizontal="center" vertical="center" wrapText="1"/>
    </xf>
    <xf numFmtId="0" fontId="32" fillId="0" borderId="15" xfId="0" applyFont="1" applyBorder="1" applyAlignment="1">
      <alignment horizontal="left" vertical="center" wrapText="1"/>
    </xf>
    <xf numFmtId="0" fontId="83" fillId="0" borderId="0" xfId="0" applyFont="1"/>
    <xf numFmtId="0" fontId="83" fillId="0" borderId="0" xfId="0" applyFont="1" applyFill="1" applyBorder="1"/>
    <xf numFmtId="0" fontId="84" fillId="0" borderId="0" xfId="0" applyFont="1" applyFill="1" applyBorder="1" applyAlignment="1">
      <alignment vertical="center" wrapText="1"/>
    </xf>
    <xf numFmtId="0" fontId="85" fillId="0" borderId="0" xfId="34" quotePrefix="1" applyFont="1" applyAlignment="1" applyProtection="1"/>
    <xf numFmtId="0" fontId="83" fillId="0" borderId="0" xfId="0" applyFont="1" applyFill="1" applyBorder="1" applyAlignment="1">
      <alignment horizontal="center"/>
    </xf>
    <xf numFmtId="0" fontId="5" fillId="35" borderId="0" xfId="34" applyFont="1" applyFill="1" applyBorder="1" applyAlignment="1" applyProtection="1">
      <alignment horizontal="center" vertical="center" wrapText="1"/>
      <protection locked="0"/>
    </xf>
    <xf numFmtId="0" fontId="72" fillId="0" borderId="0" xfId="0" applyFont="1" applyBorder="1" applyAlignment="1">
      <alignment vertical="center" wrapText="1"/>
    </xf>
    <xf numFmtId="0" fontId="3" fillId="0" borderId="0" xfId="0" applyFont="1" applyBorder="1" applyAlignment="1">
      <alignment vertical="center" wrapText="1"/>
    </xf>
    <xf numFmtId="0" fontId="58" fillId="0" borderId="0" xfId="0" applyFont="1" applyBorder="1" applyAlignment="1">
      <alignment vertical="center" wrapText="1"/>
    </xf>
    <xf numFmtId="0" fontId="77" fillId="0" borderId="0" xfId="0" applyFont="1" applyAlignment="1">
      <alignment horizontal="center"/>
    </xf>
    <xf numFmtId="0" fontId="76" fillId="0" borderId="0" xfId="0" applyFont="1" applyProtection="1"/>
    <xf numFmtId="0" fontId="76" fillId="0" borderId="0" xfId="0" applyFont="1" applyFill="1" applyBorder="1" applyProtection="1"/>
    <xf numFmtId="0" fontId="76" fillId="0" borderId="0" xfId="0" applyFont="1" applyFill="1" applyBorder="1"/>
    <xf numFmtId="0" fontId="86" fillId="0" borderId="0" xfId="0" applyFont="1" applyFill="1" applyBorder="1" applyAlignment="1">
      <alignment vertical="center" wrapText="1"/>
    </xf>
    <xf numFmtId="0" fontId="82" fillId="0" borderId="0" xfId="0" applyFont="1" applyFill="1" applyBorder="1" applyAlignment="1">
      <alignment horizontal="center" vertical="center"/>
    </xf>
    <xf numFmtId="0" fontId="76" fillId="0" borderId="0" xfId="0" applyFont="1" applyAlignment="1">
      <alignment horizontal="center" vertical="center" wrapText="1"/>
    </xf>
    <xf numFmtId="0" fontId="76" fillId="0" borderId="0" xfId="0" applyFont="1" applyFill="1" applyBorder="1" applyAlignment="1">
      <alignment horizontal="center"/>
    </xf>
    <xf numFmtId="0" fontId="82" fillId="0" borderId="0" xfId="0" applyFont="1" applyFill="1" applyBorder="1" applyAlignment="1" applyProtection="1">
      <alignment horizontal="center" vertical="center" wrapText="1"/>
      <protection locked="0"/>
    </xf>
    <xf numFmtId="0" fontId="82" fillId="0" borderId="0" xfId="0" applyFont="1" applyFill="1" applyBorder="1" applyAlignment="1">
      <alignment horizontal="center" vertical="center" wrapText="1"/>
    </xf>
    <xf numFmtId="0" fontId="77" fillId="0" borderId="0" xfId="0" applyFont="1" applyFill="1"/>
    <xf numFmtId="1" fontId="77" fillId="0" borderId="0" xfId="0" applyNumberFormat="1" applyFont="1"/>
    <xf numFmtId="2" fontId="12" fillId="0" borderId="0" xfId="0" applyNumberFormat="1" applyFont="1" applyAlignment="1">
      <alignment horizontal="right"/>
    </xf>
    <xf numFmtId="0" fontId="12" fillId="0" borderId="0" xfId="0" applyFont="1" applyFill="1" applyBorder="1" applyAlignment="1">
      <alignment horizontal="left" wrapText="1"/>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12" fillId="0" borderId="0" xfId="0" applyFont="1" applyFill="1"/>
    <xf numFmtId="0" fontId="2" fillId="0" borderId="0" xfId="34" applyFont="1" applyFill="1" applyBorder="1" applyAlignment="1" applyProtection="1">
      <alignment horizontal="center" vertical="center" wrapText="1"/>
      <protection locked="0"/>
    </xf>
    <xf numFmtId="0" fontId="0" fillId="0" borderId="0" xfId="0" applyAlignment="1">
      <alignment horizontal="left" vertical="top" wrapText="1"/>
    </xf>
    <xf numFmtId="0" fontId="2" fillId="0" borderId="0" xfId="0" applyFont="1" applyFill="1"/>
    <xf numFmtId="0" fontId="12" fillId="37" borderId="0" xfId="0" applyFont="1" applyFill="1" applyAlignment="1">
      <alignment vertical="top" wrapText="1"/>
    </xf>
    <xf numFmtId="0" fontId="12" fillId="0" borderId="0" xfId="0" applyFont="1" applyFill="1" applyAlignment="1">
      <alignment horizontal="left" wrapText="1"/>
    </xf>
    <xf numFmtId="0" fontId="12" fillId="0" borderId="0" xfId="0" applyFont="1" applyFill="1" applyAlignment="1">
      <alignment vertical="top" wrapText="1"/>
    </xf>
    <xf numFmtId="0" fontId="0" fillId="0" borderId="0" xfId="0" applyFont="1" applyAlignment="1">
      <alignment horizontal="left" vertical="top" wrapText="1"/>
    </xf>
    <xf numFmtId="0" fontId="65" fillId="0" borderId="0" xfId="0" applyFont="1" applyFill="1" applyBorder="1" applyAlignment="1">
      <alignment horizontal="center"/>
    </xf>
    <xf numFmtId="176" fontId="65" fillId="0" borderId="0" xfId="0" applyNumberFormat="1" applyFont="1" applyFill="1" applyBorder="1" applyAlignment="1">
      <alignment horizontal="center"/>
    </xf>
    <xf numFmtId="0" fontId="12" fillId="0" borderId="0" xfId="0" applyFont="1" applyBorder="1" applyAlignment="1"/>
    <xf numFmtId="2" fontId="77" fillId="0" borderId="0" xfId="0" applyNumberFormat="1" applyFont="1"/>
    <xf numFmtId="0" fontId="83" fillId="35" borderId="0" xfId="0" applyFont="1" applyFill="1"/>
    <xf numFmtId="0" fontId="83" fillId="0" borderId="0" xfId="0" applyFont="1" applyFill="1"/>
    <xf numFmtId="0" fontId="83" fillId="0" borderId="0" xfId="0" applyFont="1" applyFill="1" applyBorder="1" applyAlignment="1">
      <alignment horizontal="center" vertical="center" wrapText="1"/>
    </xf>
    <xf numFmtId="2" fontId="83" fillId="0" borderId="0" xfId="0" applyNumberFormat="1" applyFont="1" applyFill="1"/>
    <xf numFmtId="167" fontId="87" fillId="0" borderId="0" xfId="0" applyNumberFormat="1" applyFont="1" applyFill="1" applyBorder="1" applyAlignment="1">
      <alignment horizontal="center"/>
    </xf>
    <xf numFmtId="0" fontId="87" fillId="0" borderId="0" xfId="0" applyFont="1" applyFill="1" applyBorder="1" applyAlignment="1">
      <alignment horizontal="center"/>
    </xf>
    <xf numFmtId="0" fontId="83" fillId="0" borderId="0" xfId="0" applyFont="1" applyFill="1" applyBorder="1" applyAlignment="1">
      <alignment horizontal="center" vertical="center"/>
    </xf>
    <xf numFmtId="0" fontId="87" fillId="0" borderId="0" xfId="0" applyFont="1" applyFill="1" applyBorder="1" applyAlignment="1">
      <alignment horizontal="center" vertical="top" wrapText="1"/>
    </xf>
    <xf numFmtId="0" fontId="83" fillId="0" borderId="0" xfId="0" applyFont="1" applyFill="1" applyAlignment="1">
      <alignment horizontal="center" vertical="center"/>
    </xf>
    <xf numFmtId="0" fontId="83" fillId="0" borderId="0" xfId="0" applyFont="1" applyFill="1" applyAlignment="1">
      <alignment horizontal="center"/>
    </xf>
    <xf numFmtId="0" fontId="83" fillId="0" borderId="0" xfId="0" applyFont="1" applyFill="1" applyAlignment="1">
      <alignment horizontal="left"/>
    </xf>
    <xf numFmtId="0" fontId="75" fillId="0" borderId="0" xfId="39" applyFont="1" applyFill="1" applyBorder="1" applyAlignment="1">
      <alignment horizontal="center"/>
    </xf>
    <xf numFmtId="49" fontId="83" fillId="0" borderId="0" xfId="0" applyNumberFormat="1" applyFont="1" applyFill="1" applyAlignment="1">
      <alignment horizontal="center"/>
    </xf>
    <xf numFmtId="2" fontId="83" fillId="0" borderId="0" xfId="0" applyNumberFormat="1" applyFont="1" applyAlignment="1">
      <alignment horizontal="center" vertical="center"/>
    </xf>
    <xf numFmtId="2" fontId="83" fillId="0" borderId="0" xfId="0" applyNumberFormat="1" applyFont="1"/>
    <xf numFmtId="0" fontId="83" fillId="0" borderId="0" xfId="0" applyFont="1" applyAlignment="1">
      <alignment horizontal="right"/>
    </xf>
    <xf numFmtId="0" fontId="77" fillId="35" borderId="0" xfId="0" applyFont="1" applyFill="1"/>
    <xf numFmtId="0" fontId="89" fillId="35" borderId="0" xfId="0" applyFont="1" applyFill="1"/>
    <xf numFmtId="0" fontId="89" fillId="35" borderId="0" xfId="0" applyFont="1" applyFill="1" applyAlignment="1">
      <alignment horizontal="left"/>
    </xf>
    <xf numFmtId="0" fontId="77" fillId="35" borderId="0" xfId="0" applyFont="1" applyFill="1" applyAlignment="1">
      <alignment horizontal="right"/>
    </xf>
    <xf numFmtId="0" fontId="77" fillId="35" borderId="0" xfId="0" applyFont="1" applyFill="1" applyAlignment="1">
      <alignment horizontal="left"/>
    </xf>
    <xf numFmtId="0" fontId="77" fillId="35" borderId="0" xfId="0" quotePrefix="1" applyFont="1" applyFill="1"/>
    <xf numFmtId="0" fontId="77" fillId="35" borderId="0" xfId="0" quotePrefix="1" applyFont="1" applyFill="1" applyAlignment="1">
      <alignment horizontal="left"/>
    </xf>
    <xf numFmtId="2" fontId="77" fillId="35" borderId="0" xfId="0" applyNumberFormat="1" applyFont="1" applyFill="1" applyAlignment="1">
      <alignment horizontal="center"/>
    </xf>
    <xf numFmtId="0" fontId="77" fillId="35" borderId="0" xfId="0" applyFont="1" applyFill="1" applyAlignment="1">
      <alignment horizontal="center"/>
    </xf>
    <xf numFmtId="2" fontId="77" fillId="35" borderId="0" xfId="0" applyNumberFormat="1" applyFont="1" applyFill="1" applyAlignment="1">
      <alignment horizontal="right"/>
    </xf>
    <xf numFmtId="2" fontId="77" fillId="35" borderId="0" xfId="0" applyNumberFormat="1" applyFont="1" applyFill="1" applyAlignment="1">
      <alignment horizontal="left"/>
    </xf>
    <xf numFmtId="0" fontId="89" fillId="35" borderId="0" xfId="0" applyFont="1" applyFill="1" applyAlignment="1">
      <alignment horizontal="center"/>
    </xf>
    <xf numFmtId="2" fontId="77" fillId="35" borderId="0" xfId="0" applyNumberFormat="1" applyFont="1" applyFill="1"/>
    <xf numFmtId="0" fontId="77" fillId="35" borderId="0" xfId="0" applyFont="1" applyFill="1" applyAlignment="1">
      <alignment horizontal="center" vertical="center"/>
    </xf>
    <xf numFmtId="0" fontId="89" fillId="35" borderId="0" xfId="0" applyFont="1" applyFill="1" applyAlignment="1">
      <alignment horizontal="center" wrapText="1"/>
    </xf>
    <xf numFmtId="0" fontId="77" fillId="35" borderId="0" xfId="0" applyFont="1" applyFill="1" applyBorder="1" applyAlignment="1">
      <alignment horizontal="left"/>
    </xf>
    <xf numFmtId="0" fontId="77" fillId="0" borderId="0" xfId="0" quotePrefix="1" applyFont="1" applyFill="1"/>
    <xf numFmtId="0" fontId="89" fillId="0" borderId="0" xfId="0" applyFont="1" applyFill="1"/>
    <xf numFmtId="0" fontId="77" fillId="0" borderId="0" xfId="0" applyFont="1" applyFill="1" applyAlignment="1">
      <alignment horizontal="center" vertical="center"/>
    </xf>
    <xf numFmtId="0" fontId="77" fillId="38" borderId="0" xfId="0" applyFont="1" applyFill="1"/>
    <xf numFmtId="0" fontId="77" fillId="0" borderId="0" xfId="0" quotePrefix="1" applyFont="1" applyFill="1" applyAlignment="1">
      <alignment horizontal="center"/>
    </xf>
    <xf numFmtId="0" fontId="77" fillId="0" borderId="0" xfId="0" applyFont="1" applyFill="1" applyAlignment="1">
      <alignment horizontal="center"/>
    </xf>
    <xf numFmtId="0" fontId="77" fillId="38" borderId="0" xfId="0" quotePrefix="1" applyFont="1" applyFill="1"/>
    <xf numFmtId="0" fontId="77" fillId="0" borderId="0" xfId="0" applyFont="1" applyFill="1" applyAlignment="1">
      <alignment horizontal="left"/>
    </xf>
    <xf numFmtId="0" fontId="77" fillId="38" borderId="0" xfId="0" applyFont="1" applyFill="1" applyAlignment="1">
      <alignment horizontal="center"/>
    </xf>
    <xf numFmtId="0" fontId="77" fillId="38" borderId="0" xfId="0" applyFont="1" applyFill="1" applyAlignment="1">
      <alignment horizontal="center" vertical="center"/>
    </xf>
    <xf numFmtId="0" fontId="77" fillId="38" borderId="0" xfId="0" applyFont="1" applyFill="1" applyAlignment="1">
      <alignment horizontal="left"/>
    </xf>
    <xf numFmtId="1" fontId="77" fillId="38" borderId="0" xfId="0" applyNumberFormat="1" applyFont="1" applyFill="1" applyAlignment="1">
      <alignment horizontal="center" vertical="center"/>
    </xf>
    <xf numFmtId="49" fontId="77" fillId="0" borderId="0" xfId="0" applyNumberFormat="1" applyFont="1" applyFill="1" applyAlignment="1">
      <alignment horizontal="center" vertical="center"/>
    </xf>
    <xf numFmtId="49" fontId="77" fillId="38" borderId="0" xfId="0" applyNumberFormat="1" applyFont="1" applyFill="1" applyAlignment="1">
      <alignment horizontal="center" vertical="center"/>
    </xf>
    <xf numFmtId="0" fontId="77" fillId="0" borderId="0" xfId="0" applyFont="1" applyFill="1" applyAlignment="1">
      <alignment horizontal="center" vertical="center" wrapText="1"/>
    </xf>
    <xf numFmtId="1" fontId="77" fillId="0" borderId="0" xfId="0" applyNumberFormat="1" applyFont="1" applyFill="1" applyAlignment="1">
      <alignment horizontal="center"/>
    </xf>
    <xf numFmtId="0" fontId="90" fillId="0" borderId="0" xfId="39" applyFont="1" applyFill="1" applyBorder="1" applyAlignment="1">
      <alignment horizontal="center" vertical="center"/>
    </xf>
    <xf numFmtId="1" fontId="90" fillId="0" borderId="0" xfId="39" applyNumberFormat="1" applyFont="1" applyFill="1" applyBorder="1" applyAlignment="1">
      <alignment horizontal="center" vertical="center"/>
    </xf>
    <xf numFmtId="2" fontId="77" fillId="0" borderId="0" xfId="0" applyNumberFormat="1" applyFont="1" applyFill="1"/>
    <xf numFmtId="0" fontId="91" fillId="35" borderId="0" xfId="0" quotePrefix="1" applyFont="1" applyFill="1"/>
    <xf numFmtId="0" fontId="91" fillId="35" borderId="0" xfId="0" applyFont="1" applyFill="1"/>
    <xf numFmtId="2" fontId="77" fillId="35" borderId="0" xfId="0" applyNumberFormat="1" applyFont="1" applyFill="1" applyBorder="1" applyAlignment="1">
      <alignment horizontal="center" vertical="center" wrapText="1"/>
    </xf>
    <xf numFmtId="0" fontId="77" fillId="0" borderId="0" xfId="0" applyFont="1" applyAlignment="1">
      <alignment horizontal="right"/>
    </xf>
    <xf numFmtId="0" fontId="77" fillId="0" borderId="0" xfId="0" applyFont="1" applyAlignment="1">
      <alignment vertical="top" wrapText="1"/>
    </xf>
    <xf numFmtId="0" fontId="77" fillId="0" borderId="0" xfId="0" applyFont="1" applyBorder="1" applyAlignment="1">
      <alignment horizontal="center" vertical="top"/>
    </xf>
    <xf numFmtId="2" fontId="77" fillId="35" borderId="0" xfId="0" applyNumberFormat="1" applyFont="1" applyFill="1" applyBorder="1" applyAlignment="1">
      <alignment horizontal="center" vertical="top" wrapText="1"/>
    </xf>
    <xf numFmtId="0" fontId="77" fillId="0" borderId="0" xfId="0" applyFont="1" applyAlignment="1">
      <alignment horizontal="center" vertical="top"/>
    </xf>
    <xf numFmtId="2" fontId="77" fillId="0" borderId="0" xfId="0" applyNumberFormat="1" applyFont="1" applyAlignment="1">
      <alignment horizontal="center" vertical="top"/>
    </xf>
    <xf numFmtId="0" fontId="89" fillId="0" borderId="0" xfId="0" applyFont="1"/>
    <xf numFmtId="0" fontId="89" fillId="0" borderId="0" xfId="0" applyFont="1" applyFill="1" applyAlignment="1">
      <alignment horizontal="left" vertical="top"/>
    </xf>
    <xf numFmtId="0" fontId="92" fillId="0" borderId="0" xfId="0" applyFont="1" applyFill="1" applyBorder="1" applyAlignment="1">
      <alignment horizontal="center" vertical="top" wrapText="1"/>
    </xf>
    <xf numFmtId="167" fontId="92" fillId="0" borderId="0" xfId="0" applyNumberFormat="1" applyFont="1" applyFill="1" applyBorder="1" applyAlignment="1">
      <alignment horizontal="center"/>
    </xf>
    <xf numFmtId="0" fontId="92" fillId="0" borderId="0" xfId="41" applyFont="1" applyFill="1" applyBorder="1" applyAlignment="1">
      <alignment horizontal="center"/>
    </xf>
    <xf numFmtId="0" fontId="92" fillId="0" borderId="0" xfId="0" applyFont="1" applyFill="1" applyBorder="1" applyAlignment="1">
      <alignment horizontal="center"/>
    </xf>
    <xf numFmtId="0" fontId="77" fillId="0" borderId="0" xfId="0" applyFont="1" applyFill="1" applyBorder="1"/>
    <xf numFmtId="0" fontId="77" fillId="0" borderId="0" xfId="0" applyFont="1" applyFill="1" applyBorder="1" applyAlignment="1">
      <alignment horizontal="center" vertical="center"/>
    </xf>
    <xf numFmtId="0" fontId="77" fillId="0" borderId="0" xfId="0" applyFont="1" applyFill="1" applyBorder="1" applyAlignment="1">
      <alignment horizontal="center" vertical="center" wrapText="1"/>
    </xf>
    <xf numFmtId="0" fontId="77" fillId="0" borderId="0" xfId="0" applyFont="1" applyFill="1" applyAlignment="1">
      <alignment horizontal="left" vertical="top"/>
    </xf>
    <xf numFmtId="176" fontId="92" fillId="0" borderId="0" xfId="0" applyNumberFormat="1" applyFont="1" applyFill="1" applyBorder="1" applyAlignment="1">
      <alignment horizontal="center"/>
    </xf>
    <xf numFmtId="0" fontId="92" fillId="0" borderId="0" xfId="0" applyFont="1" applyFill="1" applyBorder="1" applyAlignment="1">
      <alignment horizontal="left" vertical="top"/>
    </xf>
    <xf numFmtId="0" fontId="77" fillId="0" borderId="0" xfId="0" applyFont="1" applyFill="1" applyAlignment="1">
      <alignment horizontal="center" vertical="top"/>
    </xf>
    <xf numFmtId="176" fontId="92" fillId="0" borderId="0" xfId="0" applyNumberFormat="1" applyFont="1" applyFill="1" applyBorder="1" applyAlignment="1">
      <alignment horizontal="center" vertical="top"/>
    </xf>
    <xf numFmtId="0" fontId="77" fillId="0" borderId="0" xfId="0" applyFont="1" applyFill="1" applyBorder="1" applyAlignment="1">
      <alignment horizontal="left" vertical="top"/>
    </xf>
    <xf numFmtId="0" fontId="77" fillId="0" borderId="0" xfId="0" applyFont="1" applyFill="1" applyBorder="1" applyAlignment="1">
      <alignment horizontal="center" vertical="top"/>
    </xf>
    <xf numFmtId="2" fontId="77" fillId="0" borderId="0" xfId="0" applyNumberFormat="1" applyFont="1" applyFill="1" applyAlignment="1">
      <alignment vertical="top"/>
    </xf>
    <xf numFmtId="0" fontId="77" fillId="0" borderId="0" xfId="0" applyFont="1" applyFill="1" applyAlignment="1">
      <alignment vertical="center"/>
    </xf>
    <xf numFmtId="2" fontId="92" fillId="0" borderId="0" xfId="0" applyNumberFormat="1" applyFont="1" applyFill="1" applyBorder="1" applyAlignment="1">
      <alignment horizontal="right" vertical="top" wrapText="1"/>
    </xf>
    <xf numFmtId="2" fontId="92" fillId="0" borderId="0" xfId="0" applyNumberFormat="1" applyFont="1" applyFill="1" applyBorder="1" applyAlignment="1">
      <alignment horizontal="right"/>
    </xf>
    <xf numFmtId="0" fontId="77" fillId="0" borderId="0" xfId="0" applyFont="1" applyFill="1" applyBorder="1" applyAlignment="1">
      <alignment horizontal="right" vertical="center" wrapText="1"/>
    </xf>
    <xf numFmtId="2" fontId="77" fillId="0" borderId="0" xfId="0" applyNumberFormat="1" applyFont="1" applyFill="1" applyAlignment="1">
      <alignment horizontal="right"/>
    </xf>
    <xf numFmtId="0" fontId="77" fillId="0" borderId="0" xfId="0" applyFont="1" applyFill="1" applyBorder="1" applyAlignment="1">
      <alignment horizontal="right" vertical="center"/>
    </xf>
    <xf numFmtId="2" fontId="77" fillId="0" borderId="0" xfId="0" applyNumberFormat="1" applyFont="1" applyFill="1" applyBorder="1"/>
    <xf numFmtId="0" fontId="77" fillId="0" borderId="0" xfId="0" applyFont="1" applyFill="1" applyAlignment="1"/>
    <xf numFmtId="0" fontId="77" fillId="0" borderId="0" xfId="0" applyFont="1" applyFill="1" applyAlignment="1">
      <alignment horizontal="right"/>
    </xf>
    <xf numFmtId="1" fontId="92" fillId="0" borderId="0" xfId="0" applyNumberFormat="1" applyFont="1" applyFill="1" applyBorder="1" applyAlignment="1">
      <alignment horizontal="right" vertical="top" wrapText="1"/>
    </xf>
    <xf numFmtId="2" fontId="77" fillId="0" borderId="0" xfId="0" applyNumberFormat="1" applyFont="1" applyFill="1" applyBorder="1" applyAlignment="1">
      <alignment horizontal="right"/>
    </xf>
    <xf numFmtId="1" fontId="92" fillId="0" borderId="0" xfId="0" applyNumberFormat="1" applyFont="1" applyFill="1" applyBorder="1" applyAlignment="1">
      <alignment horizontal="right"/>
    </xf>
    <xf numFmtId="0" fontId="5" fillId="31" borderId="16" xfId="34" applyFont="1" applyFill="1" applyBorder="1" applyAlignment="1" applyProtection="1">
      <alignment horizontal="center" vertical="center" wrapText="1"/>
      <protection locked="0"/>
    </xf>
    <xf numFmtId="0" fontId="5" fillId="31" borderId="17" xfId="34" applyFont="1" applyFill="1" applyBorder="1" applyAlignment="1" applyProtection="1">
      <alignment horizontal="center" vertical="center" wrapText="1"/>
      <protection locked="0"/>
    </xf>
    <xf numFmtId="0" fontId="5" fillId="31" borderId="18" xfId="34" applyFont="1" applyFill="1" applyBorder="1" applyAlignment="1" applyProtection="1">
      <alignment horizontal="center" vertical="center" wrapText="1"/>
      <protection locked="0"/>
    </xf>
    <xf numFmtId="0" fontId="5" fillId="31" borderId="14" xfId="34" applyFont="1" applyFill="1" applyBorder="1" applyAlignment="1" applyProtection="1">
      <alignment horizontal="center" vertical="center" wrapText="1"/>
      <protection locked="0"/>
    </xf>
    <xf numFmtId="0" fontId="5" fillId="31" borderId="19" xfId="34" applyFont="1" applyFill="1" applyBorder="1" applyAlignment="1" applyProtection="1">
      <alignment horizontal="center" vertical="center" wrapText="1"/>
      <protection locked="0"/>
    </xf>
    <xf numFmtId="0" fontId="5" fillId="31" borderId="20" xfId="34" applyFont="1" applyFill="1" applyBorder="1" applyAlignment="1" applyProtection="1">
      <alignment horizontal="center" vertical="center" wrapText="1"/>
      <protection locked="0"/>
    </xf>
    <xf numFmtId="0" fontId="18" fillId="0" borderId="0" xfId="34" applyAlignment="1" applyProtection="1">
      <alignment horizontal="left"/>
      <protection locked="0"/>
    </xf>
    <xf numFmtId="0" fontId="18" fillId="0" borderId="0" xfId="34" applyAlignment="1" applyProtection="1">
      <alignment horizontal="center"/>
      <protection locked="0"/>
    </xf>
    <xf numFmtId="0" fontId="89" fillId="35" borderId="0" xfId="0" applyFont="1" applyFill="1" applyAlignment="1">
      <alignment horizontal="center" wrapText="1"/>
    </xf>
    <xf numFmtId="0" fontId="88" fillId="0" borderId="0" xfId="0" applyFont="1" applyFill="1" applyBorder="1" applyAlignment="1">
      <alignment horizontal="center" vertical="center"/>
    </xf>
    <xf numFmtId="0" fontId="49" fillId="0" borderId="0" xfId="0" applyFont="1" applyAlignment="1">
      <alignment horizontal="left" vertical="center" wrapText="1"/>
    </xf>
    <xf numFmtId="2" fontId="2" fillId="0" borderId="0" xfId="0" applyNumberFormat="1" applyFont="1" applyFill="1" applyBorder="1" applyAlignment="1">
      <alignment horizontal="center" vertical="center" wrapText="1"/>
    </xf>
    <xf numFmtId="0" fontId="44" fillId="0" borderId="0" xfId="0" applyFont="1" applyAlignment="1">
      <alignment horizontal="left" vertical="center" wrapText="1"/>
    </xf>
    <xf numFmtId="0" fontId="44" fillId="0" borderId="0" xfId="0" applyFont="1" applyAlignment="1">
      <alignment horizontal="left" vertical="center"/>
    </xf>
    <xf numFmtId="0" fontId="55" fillId="0" borderId="0" xfId="0" applyFont="1" applyAlignment="1">
      <alignment horizontal="left" vertical="center" wrapText="1"/>
    </xf>
    <xf numFmtId="0" fontId="6" fillId="0" borderId="0" xfId="0" applyFont="1" applyAlignment="1"/>
    <xf numFmtId="0" fontId="49" fillId="0" borderId="0" xfId="0" applyFont="1" applyAlignment="1">
      <alignment horizontal="left" vertical="top" wrapText="1"/>
    </xf>
    <xf numFmtId="0" fontId="5" fillId="31" borderId="21" xfId="38" applyFont="1" applyFill="1" applyBorder="1" applyAlignment="1" applyProtection="1">
      <alignment horizontal="center" vertical="center" wrapText="1"/>
      <protection locked="0"/>
    </xf>
    <xf numFmtId="0" fontId="5" fillId="31" borderId="22" xfId="38" applyFont="1" applyFill="1" applyBorder="1" applyAlignment="1" applyProtection="1">
      <alignment horizontal="center" vertical="center" wrapText="1"/>
      <protection locked="0"/>
    </xf>
    <xf numFmtId="2" fontId="3" fillId="32" borderId="23" xfId="0" applyNumberFormat="1" applyFont="1" applyFill="1" applyBorder="1" applyAlignment="1">
      <alignment horizontal="center" vertical="center"/>
    </xf>
    <xf numFmtId="2" fontId="3" fillId="32" borderId="24" xfId="0" applyNumberFormat="1" applyFont="1" applyFill="1" applyBorder="1" applyAlignment="1">
      <alignment horizontal="center" vertical="center"/>
    </xf>
    <xf numFmtId="2" fontId="3" fillId="32" borderId="25" xfId="0" applyNumberFormat="1" applyFont="1" applyFill="1" applyBorder="1" applyAlignment="1">
      <alignment horizontal="center" vertical="center"/>
    </xf>
    <xf numFmtId="0" fontId="34" fillId="29" borderId="18" xfId="0" applyFont="1" applyFill="1" applyBorder="1" applyAlignment="1">
      <alignment horizontal="center" vertical="center" wrapText="1"/>
    </xf>
    <xf numFmtId="0" fontId="34" fillId="29" borderId="0" xfId="0" applyFont="1" applyFill="1" applyBorder="1" applyAlignment="1">
      <alignment horizontal="center" vertical="center" wrapText="1"/>
    </xf>
    <xf numFmtId="0" fontId="89" fillId="35" borderId="0" xfId="0" applyFont="1" applyFill="1" applyAlignment="1">
      <alignment horizontal="center"/>
    </xf>
    <xf numFmtId="0" fontId="49" fillId="0" borderId="0" xfId="0" applyFont="1" applyAlignment="1"/>
    <xf numFmtId="0" fontId="5" fillId="31" borderId="21" xfId="34" applyFont="1" applyFill="1" applyBorder="1" applyAlignment="1" applyProtection="1">
      <alignment horizontal="center" vertical="center" wrapText="1"/>
      <protection locked="0"/>
    </xf>
    <xf numFmtId="0" fontId="5" fillId="31" borderId="26" xfId="34" applyFont="1" applyFill="1" applyBorder="1" applyAlignment="1" applyProtection="1">
      <alignment horizontal="center" vertical="center" wrapText="1"/>
      <protection locked="0"/>
    </xf>
    <xf numFmtId="0" fontId="5" fillId="31" borderId="22" xfId="34" applyFont="1" applyFill="1" applyBorder="1" applyAlignment="1" applyProtection="1">
      <alignment horizontal="center" vertical="center" wrapText="1"/>
      <protection locked="0"/>
    </xf>
    <xf numFmtId="0" fontId="18" fillId="0" borderId="0" xfId="34" applyAlignment="1" applyProtection="1">
      <protection locked="0"/>
    </xf>
    <xf numFmtId="0" fontId="77" fillId="0" borderId="0" xfId="0" applyFont="1" applyFill="1" applyAlignment="1">
      <alignment horizontal="center"/>
    </xf>
    <xf numFmtId="0" fontId="12" fillId="0" borderId="0" xfId="0" applyFont="1" applyFill="1" applyBorder="1" applyAlignment="1">
      <alignment horizontal="center" vertical="center" wrapText="1"/>
    </xf>
    <xf numFmtId="0" fontId="6" fillId="0" borderId="0" xfId="0" applyFont="1" applyBorder="1" applyAlignment="1">
      <alignment horizontal="center"/>
    </xf>
    <xf numFmtId="2" fontId="54" fillId="32" borderId="23" xfId="0" applyNumberFormat="1" applyFont="1" applyFill="1" applyBorder="1" applyAlignment="1">
      <alignment horizontal="center" vertical="center" wrapText="1"/>
    </xf>
    <xf numFmtId="2" fontId="54" fillId="32" borderId="24" xfId="0" applyNumberFormat="1" applyFont="1" applyFill="1" applyBorder="1" applyAlignment="1">
      <alignment horizontal="center" vertical="center" wrapText="1"/>
    </xf>
    <xf numFmtId="2" fontId="54" fillId="32" borderId="25" xfId="0" applyNumberFormat="1" applyFont="1" applyFill="1" applyBorder="1" applyAlignment="1">
      <alignment horizontal="center" vertical="center" wrapText="1"/>
    </xf>
    <xf numFmtId="2" fontId="43" fillId="28" borderId="23" xfId="0" applyNumberFormat="1" applyFont="1" applyFill="1" applyBorder="1" applyAlignment="1">
      <alignment horizontal="center" vertical="center"/>
    </xf>
    <xf numFmtId="2" fontId="43" fillId="28" borderId="24" xfId="0" applyNumberFormat="1" applyFont="1" applyFill="1" applyBorder="1" applyAlignment="1">
      <alignment horizontal="center" vertical="center"/>
    </xf>
    <xf numFmtId="2" fontId="43" fillId="28" borderId="25" xfId="0" applyNumberFormat="1" applyFont="1" applyFill="1" applyBorder="1" applyAlignment="1">
      <alignment horizontal="center" vertical="center"/>
    </xf>
    <xf numFmtId="0" fontId="39" fillId="28" borderId="23" xfId="0" applyFont="1" applyFill="1" applyBorder="1" applyAlignment="1">
      <alignment horizontal="center"/>
    </xf>
    <xf numFmtId="0" fontId="39" fillId="0" borderId="25" xfId="0" applyFont="1" applyBorder="1" applyAlignment="1">
      <alignment horizontal="center"/>
    </xf>
    <xf numFmtId="0" fontId="60" fillId="0" borderId="0" xfId="34" applyFont="1" applyBorder="1" applyAlignment="1" applyProtection="1">
      <alignment horizontal="center" vertical="center" wrapText="1"/>
      <protection locked="0"/>
    </xf>
    <xf numFmtId="0" fontId="60" fillId="0" borderId="0" xfId="34" applyFont="1" applyAlignment="1" applyProtection="1">
      <alignment wrapText="1"/>
      <protection locked="0"/>
    </xf>
    <xf numFmtId="0" fontId="60" fillId="0" borderId="0" xfId="34" applyFont="1" applyAlignment="1" applyProtection="1">
      <alignment horizontal="center" vertical="center" wrapText="1"/>
      <protection locked="0"/>
    </xf>
    <xf numFmtId="0" fontId="48" fillId="0" borderId="0" xfId="0" applyFont="1" applyAlignment="1">
      <alignment horizontal="left" vertical="center" wrapText="1"/>
    </xf>
    <xf numFmtId="0" fontId="49" fillId="0" borderId="0" xfId="0" applyFont="1" applyAlignment="1">
      <alignment vertical="center" wrapText="1"/>
    </xf>
    <xf numFmtId="2" fontId="33" fillId="27" borderId="23" xfId="0" applyNumberFormat="1" applyFont="1" applyFill="1" applyBorder="1" applyAlignment="1">
      <alignment horizontal="center" vertical="center" wrapText="1"/>
    </xf>
    <xf numFmtId="2" fontId="33" fillId="27" borderId="24" xfId="0" applyNumberFormat="1" applyFont="1" applyFill="1" applyBorder="1" applyAlignment="1">
      <alignment horizontal="center" vertical="center" wrapText="1"/>
    </xf>
    <xf numFmtId="2" fontId="33" fillId="27" borderId="25" xfId="0" applyNumberFormat="1" applyFont="1" applyFill="1" applyBorder="1" applyAlignment="1">
      <alignment horizontal="center" vertical="center" wrapText="1"/>
    </xf>
    <xf numFmtId="0" fontId="3" fillId="24" borderId="23" xfId="0" applyFont="1" applyFill="1" applyBorder="1" applyAlignment="1" applyProtection="1">
      <alignment horizontal="center" vertical="center" wrapText="1"/>
      <protection locked="0"/>
    </xf>
    <xf numFmtId="0" fontId="0" fillId="0" borderId="24" xfId="0" applyBorder="1" applyAlignment="1" applyProtection="1">
      <alignment vertical="center" wrapText="1"/>
      <protection locked="0"/>
    </xf>
    <xf numFmtId="0" fontId="0" fillId="0" borderId="25" xfId="0" applyBorder="1" applyAlignment="1" applyProtection="1">
      <alignment vertical="center" wrapText="1"/>
      <protection locked="0"/>
    </xf>
    <xf numFmtId="0" fontId="64" fillId="0" borderId="0" xfId="34" applyFont="1" applyAlignment="1" applyProtection="1">
      <alignment horizontal="center" vertical="center" wrapText="1"/>
    </xf>
    <xf numFmtId="2" fontId="43" fillId="28" borderId="23" xfId="0" applyNumberFormat="1" applyFont="1" applyFill="1" applyBorder="1" applyAlignment="1">
      <alignment horizontal="center" vertical="center" wrapText="1"/>
    </xf>
    <xf numFmtId="0" fontId="72" fillId="0" borderId="0" xfId="0" applyFont="1" applyBorder="1" applyAlignment="1">
      <alignment horizontal="left" vertical="center" wrapText="1"/>
    </xf>
    <xf numFmtId="0" fontId="3" fillId="0" borderId="0" xfId="0" applyFont="1" applyBorder="1" applyAlignment="1">
      <alignment horizontal="left" vertical="center" wrapText="1"/>
    </xf>
    <xf numFmtId="0" fontId="54" fillId="0" borderId="0" xfId="0" applyFont="1" applyAlignment="1">
      <alignment horizontal="left" vertical="center" wrapText="1"/>
    </xf>
    <xf numFmtId="0" fontId="6" fillId="31" borderId="23" xfId="0" applyFont="1" applyFill="1" applyBorder="1" applyAlignment="1">
      <alignment horizontal="center"/>
    </xf>
    <xf numFmtId="0" fontId="6" fillId="31" borderId="25" xfId="0" applyFont="1" applyFill="1" applyBorder="1" applyAlignment="1">
      <alignment horizontal="center"/>
    </xf>
    <xf numFmtId="0" fontId="0" fillId="24" borderId="23" xfId="0" applyFill="1" applyBorder="1" applyAlignment="1">
      <alignment horizontal="center"/>
    </xf>
    <xf numFmtId="0" fontId="0" fillId="0" borderId="25" xfId="0" applyBorder="1" applyAlignment="1">
      <alignment horizontal="center"/>
    </xf>
    <xf numFmtId="0" fontId="0" fillId="25" borderId="23" xfId="0" applyFill="1" applyBorder="1" applyAlignment="1">
      <alignment horizontal="center"/>
    </xf>
    <xf numFmtId="0" fontId="12" fillId="27" borderId="23" xfId="0" applyFont="1" applyFill="1" applyBorder="1" applyAlignment="1">
      <alignment horizontal="center"/>
    </xf>
    <xf numFmtId="0" fontId="0" fillId="27" borderId="25" xfId="0" applyFill="1" applyBorder="1" applyAlignment="1">
      <alignment horizontal="center"/>
    </xf>
    <xf numFmtId="1" fontId="33" fillId="25" borderId="16" xfId="0" applyNumberFormat="1" applyFont="1" applyFill="1" applyBorder="1" applyAlignment="1" applyProtection="1">
      <alignment horizontal="center" vertical="center" wrapText="1"/>
    </xf>
    <xf numFmtId="1" fontId="0" fillId="25" borderId="27" xfId="0" applyNumberFormat="1" applyFill="1" applyBorder="1" applyProtection="1"/>
    <xf numFmtId="1" fontId="0" fillId="25" borderId="17" xfId="0" applyNumberFormat="1" applyFill="1" applyBorder="1" applyProtection="1"/>
    <xf numFmtId="1" fontId="0" fillId="25" borderId="19" xfId="0" applyNumberFormat="1" applyFill="1" applyBorder="1" applyProtection="1"/>
    <xf numFmtId="1" fontId="0" fillId="25" borderId="28" xfId="0" applyNumberFormat="1" applyFill="1" applyBorder="1" applyProtection="1"/>
    <xf numFmtId="1" fontId="0" fillId="25" borderId="20" xfId="0" applyNumberFormat="1" applyFill="1" applyBorder="1" applyProtection="1"/>
    <xf numFmtId="0" fontId="0" fillId="27" borderId="24" xfId="0" applyFill="1" applyBorder="1" applyAlignment="1">
      <alignment horizontal="center"/>
    </xf>
    <xf numFmtId="0" fontId="39" fillId="28" borderId="19" xfId="0" applyFont="1" applyFill="1" applyBorder="1" applyAlignment="1">
      <alignment horizontal="center"/>
    </xf>
    <xf numFmtId="0" fontId="39" fillId="28" borderId="28" xfId="0" applyFont="1" applyFill="1" applyBorder="1" applyAlignment="1">
      <alignment horizontal="center"/>
    </xf>
    <xf numFmtId="0" fontId="39" fillId="28" borderId="20" xfId="0" applyFont="1" applyFill="1" applyBorder="1" applyAlignment="1">
      <alignment horizontal="center"/>
    </xf>
    <xf numFmtId="0" fontId="6" fillId="31" borderId="24" xfId="0" applyFont="1" applyFill="1" applyBorder="1" applyAlignment="1">
      <alignment horizontal="center"/>
    </xf>
    <xf numFmtId="0" fontId="5" fillId="31" borderId="23" xfId="34" applyFont="1" applyFill="1" applyBorder="1" applyAlignment="1" applyProtection="1">
      <alignment horizontal="center" vertical="center" wrapText="1"/>
      <protection locked="0"/>
    </xf>
    <xf numFmtId="0" fontId="5" fillId="31" borderId="25" xfId="34" applyFont="1" applyFill="1" applyBorder="1" applyAlignment="1" applyProtection="1">
      <alignment horizontal="center" vertical="center" wrapText="1"/>
      <protection locked="0"/>
    </xf>
    <xf numFmtId="0" fontId="0" fillId="32" borderId="16" xfId="0" applyFill="1" applyBorder="1" applyAlignment="1">
      <alignment horizontal="center"/>
    </xf>
    <xf numFmtId="0" fontId="0" fillId="32" borderId="27" xfId="0" applyFill="1" applyBorder="1" applyAlignment="1">
      <alignment horizontal="center"/>
    </xf>
    <xf numFmtId="0" fontId="0" fillId="32" borderId="17" xfId="0" applyFill="1" applyBorder="1" applyAlignment="1">
      <alignment horizontal="center"/>
    </xf>
    <xf numFmtId="0" fontId="5" fillId="31" borderId="26" xfId="38" applyFont="1" applyFill="1" applyBorder="1" applyAlignment="1" applyProtection="1">
      <alignment horizontal="center" vertical="center" wrapText="1"/>
      <protection locked="0"/>
    </xf>
    <xf numFmtId="0" fontId="12" fillId="37" borderId="0" xfId="0" applyFont="1" applyFill="1" applyAlignment="1">
      <alignment horizontal="left" wrapText="1"/>
    </xf>
    <xf numFmtId="0" fontId="42" fillId="0" borderId="0" xfId="0" applyFont="1" applyAlignment="1">
      <alignment horizontal="center"/>
    </xf>
    <xf numFmtId="0" fontId="26" fillId="0" borderId="0" xfId="40" applyFont="1" applyBorder="1" applyAlignment="1">
      <alignment horizontal="center" vertical="center" wrapText="1"/>
    </xf>
    <xf numFmtId="0" fontId="26" fillId="0" borderId="0" xfId="40" applyFont="1" applyAlignment="1">
      <alignment horizontal="center" vertic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3" xfId="39"/>
    <cellStyle name="Normal_KS2 Fine grades 2000 (version 1)" xfId="40"/>
    <cellStyle name="Normal_Model Coefficients" xfId="41"/>
    <cellStyle name="Note" xfId="42" builtinId="10" customBuiltin="1"/>
    <cellStyle name="Output" xfId="43" builtinId="21" customBuiltin="1"/>
    <cellStyle name="Title" xfId="44" builtinId="15" customBuiltin="1"/>
    <cellStyle name="Total" xfId="45" builtinId="25" customBuiltin="1"/>
    <cellStyle name="Warning Text" xfId="46" builtinId="11" customBuiltin="1"/>
  </cellStyles>
  <dxfs count="23">
    <dxf>
      <font>
        <color auto="1"/>
      </font>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ill>
        <patternFill>
          <bgColor indexed="10"/>
        </patternFill>
      </fill>
    </dxf>
    <dxf>
      <font>
        <color rgb="FF969696"/>
      </font>
      <fill>
        <patternFill>
          <bgColor rgb="FF969696"/>
        </patternFill>
      </fill>
    </dxf>
    <dxf>
      <font>
        <color rgb="FF969696"/>
      </font>
      <fill>
        <patternFill>
          <bgColor rgb="FF969696"/>
        </patternFill>
      </fill>
    </dxf>
    <dxf>
      <font>
        <color auto="1"/>
      </font>
      <fill>
        <patternFill>
          <bgColor rgb="FFCCFFFF"/>
        </patternFill>
      </fill>
    </dxf>
    <dxf>
      <font>
        <color auto="1"/>
      </font>
      <fill>
        <patternFill>
          <bgColor rgb="FFCCFFFF"/>
        </patternFill>
      </fill>
    </dxf>
    <dxf>
      <fill>
        <patternFill>
          <bgColor rgb="FFFF0000"/>
        </patternFill>
      </fill>
    </dxf>
    <dxf>
      <font>
        <condense val="0"/>
        <extend val="0"/>
        <color indexed="55"/>
      </font>
      <fill>
        <patternFill patternType="solid">
          <bgColor indexed="55"/>
        </patternFill>
      </fill>
    </dxf>
    <dxf>
      <font>
        <condense val="0"/>
        <extend val="0"/>
        <color indexed="55"/>
      </font>
      <fill>
        <patternFill patternType="solid">
          <bgColor indexed="55"/>
        </patternFill>
      </fill>
    </dxf>
    <dxf>
      <font>
        <color rgb="FF969696"/>
      </font>
      <fill>
        <patternFill>
          <bgColor rgb="FF969696"/>
        </patternFill>
      </fill>
    </dxf>
    <dxf>
      <fill>
        <patternFill>
          <bgColor rgb="FFFF0000"/>
        </patternFill>
      </fill>
    </dxf>
    <dxf>
      <font>
        <color rgb="FF969696"/>
      </font>
      <fill>
        <patternFill>
          <bgColor rgb="FF969696"/>
        </patternFill>
      </fill>
    </dxf>
    <dxf>
      <font>
        <color rgb="FF969696"/>
      </font>
      <fill>
        <patternFill>
          <bgColor rgb="FF969696"/>
        </patternFill>
      </fill>
    </dxf>
    <dxf>
      <font>
        <color rgb="FF969696"/>
      </font>
      <fill>
        <patternFill>
          <bgColor rgb="FF969696"/>
        </patternFill>
      </fill>
    </dxf>
    <dxf>
      <fill>
        <patternFill>
          <bgColor rgb="FFFF0000"/>
        </patternFill>
      </fill>
    </dxf>
    <dxf>
      <font>
        <color rgb="FF969696"/>
      </font>
      <fill>
        <patternFill>
          <bgColor rgb="FF969696"/>
        </patternFill>
      </fill>
    </dxf>
    <dxf>
      <font>
        <color rgb="FF969696"/>
      </font>
      <fill>
        <patternFill>
          <bgColor rgb="FF969696"/>
        </patternFill>
      </fill>
    </dxf>
    <dxf>
      <font>
        <color rgb="FF969696"/>
      </font>
      <fill>
        <patternFill>
          <bgColor rgb="FF96969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marker>
            <c:symbol val="none"/>
          </c:marker>
          <c:xVal>
            <c:numRef>
              <c:f>'Single Measure Ready Reckoner'!$AH$1:$AH$18</c:f>
              <c:numCache>
                <c:formatCode>General</c:formatCode>
                <c:ptCount val="18"/>
                <c:pt idx="2">
                  <c:v>50</c:v>
                </c:pt>
                <c:pt idx="3">
                  <c:v>55</c:v>
                </c:pt>
                <c:pt idx="4">
                  <c:v>65</c:v>
                </c:pt>
                <c:pt idx="5" formatCode="0">
                  <c:v>70</c:v>
                </c:pt>
                <c:pt idx="6" formatCode="0">
                  <c:v>75</c:v>
                </c:pt>
                <c:pt idx="7" formatCode="0">
                  <c:v>80</c:v>
                </c:pt>
                <c:pt idx="8" formatCode="0">
                  <c:v>85</c:v>
                </c:pt>
                <c:pt idx="9" formatCode="0">
                  <c:v>90</c:v>
                </c:pt>
                <c:pt idx="10" formatCode="0">
                  <c:v>95</c:v>
                </c:pt>
                <c:pt idx="11" formatCode="0">
                  <c:v>100</c:v>
                </c:pt>
                <c:pt idx="12" formatCode="0">
                  <c:v>105</c:v>
                </c:pt>
                <c:pt idx="13" formatCode="0">
                  <c:v>110</c:v>
                </c:pt>
                <c:pt idx="14" formatCode="0">
                  <c:v>115</c:v>
                </c:pt>
                <c:pt idx="15" formatCode="0">
                  <c:v>120</c:v>
                </c:pt>
                <c:pt idx="16" formatCode="0">
                  <c:v>125</c:v>
                </c:pt>
                <c:pt idx="17" formatCode="0">
                  <c:v>130</c:v>
                </c:pt>
              </c:numCache>
            </c:numRef>
          </c:xVal>
          <c:yVal>
            <c:numRef>
              <c:f>'Single Measure Ready Reckoner'!$AH$1:$AH$18</c:f>
              <c:numCache>
                <c:formatCode>General</c:formatCode>
                <c:ptCount val="18"/>
                <c:pt idx="2">
                  <c:v>50</c:v>
                </c:pt>
                <c:pt idx="3">
                  <c:v>55</c:v>
                </c:pt>
                <c:pt idx="4">
                  <c:v>65</c:v>
                </c:pt>
                <c:pt idx="5" formatCode="0">
                  <c:v>70</c:v>
                </c:pt>
                <c:pt idx="6" formatCode="0">
                  <c:v>75</c:v>
                </c:pt>
                <c:pt idx="7" formatCode="0">
                  <c:v>80</c:v>
                </c:pt>
                <c:pt idx="8" formatCode="0">
                  <c:v>85</c:v>
                </c:pt>
                <c:pt idx="9" formatCode="0">
                  <c:v>90</c:v>
                </c:pt>
                <c:pt idx="10" formatCode="0">
                  <c:v>95</c:v>
                </c:pt>
                <c:pt idx="11" formatCode="0">
                  <c:v>100</c:v>
                </c:pt>
                <c:pt idx="12" formatCode="0">
                  <c:v>105</c:v>
                </c:pt>
                <c:pt idx="13" formatCode="0">
                  <c:v>110</c:v>
                </c:pt>
                <c:pt idx="14" formatCode="0">
                  <c:v>115</c:v>
                </c:pt>
                <c:pt idx="15" formatCode="0">
                  <c:v>120</c:v>
                </c:pt>
                <c:pt idx="16" formatCode="0">
                  <c:v>125</c:v>
                </c:pt>
                <c:pt idx="17" formatCode="0">
                  <c:v>130</c:v>
                </c:pt>
              </c:numCache>
            </c:numRef>
          </c:yVal>
          <c:smooth val="0"/>
          <c:extLst>
            <c:ext xmlns:c16="http://schemas.microsoft.com/office/drawing/2014/chart" uri="{C3380CC4-5D6E-409C-BE32-E72D297353CC}">
              <c16:uniqueId val="{00000000-8DF1-4077-8035-D513C0E4191E}"/>
            </c:ext>
          </c:extLst>
        </c:ser>
        <c:ser>
          <c:idx val="1"/>
          <c:order val="1"/>
          <c:tx>
            <c:v>Pupil </c:v>
          </c:tx>
          <c:marker>
            <c:symbol val="circle"/>
            <c:size val="10"/>
          </c:marker>
          <c:xVal>
            <c:strRef>
              <c:f>'Single Measure Ready Reckoner'!$G$25</c:f>
              <c:strCache>
                <c:ptCount val="1"/>
                <c:pt idx="0">
                  <c:v>Please select the progress measure you wish to use</c:v>
                </c:pt>
              </c:strCache>
            </c:strRef>
          </c:xVal>
          <c:yVal>
            <c:numRef>
              <c:f>'Single Measure Ready Reckoner'!$G$13</c:f>
              <c:numCache>
                <c:formatCode>0</c:formatCode>
                <c:ptCount val="1"/>
                <c:pt idx="0">
                  <c:v>0</c:v>
                </c:pt>
              </c:numCache>
            </c:numRef>
          </c:yVal>
          <c:smooth val="0"/>
          <c:extLst>
            <c:ext xmlns:c16="http://schemas.microsoft.com/office/drawing/2014/chart" uri="{C3380CC4-5D6E-409C-BE32-E72D297353CC}">
              <c16:uniqueId val="{00000001-8DF1-4077-8035-D513C0E4191E}"/>
            </c:ext>
          </c:extLst>
        </c:ser>
        <c:dLbls>
          <c:showLegendKey val="0"/>
          <c:showVal val="0"/>
          <c:showCatName val="0"/>
          <c:showSerName val="0"/>
          <c:showPercent val="0"/>
          <c:showBubbleSize val="0"/>
        </c:dLbls>
        <c:axId val="240166216"/>
        <c:axId val="1"/>
      </c:scatterChart>
      <c:valAx>
        <c:axId val="240166216"/>
        <c:scaling>
          <c:orientation val="minMax"/>
          <c:max val="130"/>
          <c:min val="50"/>
        </c:scaling>
        <c:delete val="0"/>
        <c:axPos val="b"/>
        <c:majorGridlines>
          <c:spPr>
            <a:ln>
              <a:solidFill>
                <a:schemeClr val="bg1">
                  <a:lumMod val="50000"/>
                </a:schemeClr>
              </a:solidFill>
              <a:prstDash val="dash"/>
            </a:ln>
          </c:spPr>
        </c:majorGridlines>
        <c:title>
          <c:tx>
            <c:rich>
              <a:bodyPr/>
              <a:lstStyle/>
              <a:p>
                <a:pPr>
                  <a:defRPr sz="1400" b="1" i="0" u="none" strike="noStrike" baseline="0">
                    <a:solidFill>
                      <a:srgbClr val="000000"/>
                    </a:solidFill>
                    <a:latin typeface="Calibri"/>
                    <a:ea typeface="Calibri"/>
                    <a:cs typeface="Calibri"/>
                  </a:defRPr>
                </a:pPr>
                <a:r>
                  <a:rPr lang="en-GB"/>
                  <a:t>Average KS2 Outcome</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majorUnit val="10"/>
        <c:minorUnit val="10"/>
      </c:valAx>
      <c:valAx>
        <c:axId val="1"/>
        <c:scaling>
          <c:orientation val="minMax"/>
          <c:max val="130"/>
          <c:min val="50"/>
        </c:scaling>
        <c:delete val="0"/>
        <c:axPos val="l"/>
        <c:majorGridlines>
          <c:spPr>
            <a:ln>
              <a:solidFill>
                <a:schemeClr val="bg1">
                  <a:lumMod val="50000"/>
                </a:schemeClr>
              </a:solidFill>
              <a:prstDash val="dash"/>
            </a:ln>
          </c:spPr>
        </c:majorGridlines>
        <c:title>
          <c:tx>
            <c:rich>
              <a:bodyPr/>
              <a:lstStyle/>
              <a:p>
                <a:pPr>
                  <a:defRPr sz="1400" b="1" i="0" u="none" strike="noStrike" baseline="0">
                    <a:solidFill>
                      <a:srgbClr val="000000"/>
                    </a:solidFill>
                    <a:latin typeface="Calibri"/>
                    <a:ea typeface="Calibri"/>
                    <a:cs typeface="Calibri"/>
                  </a:defRPr>
                </a:pPr>
                <a:r>
                  <a:rPr lang="en-GB"/>
                  <a:t>Actual KS2 Outcome</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40166216"/>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214313</xdr:colOff>
      <xdr:row>24</xdr:row>
      <xdr:rowOff>219075</xdr:rowOff>
    </xdr:from>
    <xdr:to>
      <xdr:col>14</xdr:col>
      <xdr:colOff>123825</xdr:colOff>
      <xdr:row>25</xdr:row>
      <xdr:rowOff>0</xdr:rowOff>
    </xdr:to>
    <xdr:pic>
      <xdr:nvPicPr>
        <xdr:cNvPr id="87267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6975" y="4610100"/>
          <a:ext cx="6434138"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466725</xdr:colOff>
      <xdr:row>29</xdr:row>
      <xdr:rowOff>152400</xdr:rowOff>
    </xdr:from>
    <xdr:to>
      <xdr:col>13</xdr:col>
      <xdr:colOff>19050</xdr:colOff>
      <xdr:row>37</xdr:row>
      <xdr:rowOff>100013</xdr:rowOff>
    </xdr:to>
    <xdr:pic>
      <xdr:nvPicPr>
        <xdr:cNvPr id="872673"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66925" y="6477000"/>
          <a:ext cx="6076950" cy="1376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776288</xdr:colOff>
      <xdr:row>8</xdr:row>
      <xdr:rowOff>0</xdr:rowOff>
    </xdr:from>
    <xdr:to>
      <xdr:col>4</xdr:col>
      <xdr:colOff>776288</xdr:colOff>
      <xdr:row>8</xdr:row>
      <xdr:rowOff>0</xdr:rowOff>
    </xdr:to>
    <xdr:sp macro="" textlink="">
      <xdr:nvSpPr>
        <xdr:cNvPr id="946848" name="Line 1"/>
        <xdr:cNvSpPr>
          <a:spLocks noChangeShapeType="1"/>
        </xdr:cNvSpPr>
      </xdr:nvSpPr>
      <xdr:spPr bwMode="auto">
        <a:xfrm>
          <a:off x="6686550" y="1628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785813</xdr:colOff>
      <xdr:row>8</xdr:row>
      <xdr:rowOff>0</xdr:rowOff>
    </xdr:from>
    <xdr:to>
      <xdr:col>10</xdr:col>
      <xdr:colOff>785813</xdr:colOff>
      <xdr:row>8</xdr:row>
      <xdr:rowOff>0</xdr:rowOff>
    </xdr:to>
    <xdr:sp macro="" textlink="">
      <xdr:nvSpPr>
        <xdr:cNvPr id="946849" name="Line 2"/>
        <xdr:cNvSpPr>
          <a:spLocks noChangeShapeType="1"/>
        </xdr:cNvSpPr>
      </xdr:nvSpPr>
      <xdr:spPr bwMode="auto">
        <a:xfrm>
          <a:off x="13758863" y="1628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776288</xdr:colOff>
      <xdr:row>8</xdr:row>
      <xdr:rowOff>0</xdr:rowOff>
    </xdr:from>
    <xdr:to>
      <xdr:col>6</xdr:col>
      <xdr:colOff>776288</xdr:colOff>
      <xdr:row>8</xdr:row>
      <xdr:rowOff>0</xdr:rowOff>
    </xdr:to>
    <xdr:sp macro="" textlink="">
      <xdr:nvSpPr>
        <xdr:cNvPr id="946850" name="Line 3"/>
        <xdr:cNvSpPr>
          <a:spLocks noChangeShapeType="1"/>
        </xdr:cNvSpPr>
      </xdr:nvSpPr>
      <xdr:spPr bwMode="auto">
        <a:xfrm>
          <a:off x="9534525" y="1628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847725</xdr:colOff>
      <xdr:row>22</xdr:row>
      <xdr:rowOff>0</xdr:rowOff>
    </xdr:from>
    <xdr:to>
      <xdr:col>5</xdr:col>
      <xdr:colOff>152400</xdr:colOff>
      <xdr:row>24</xdr:row>
      <xdr:rowOff>0</xdr:rowOff>
    </xdr:to>
    <xdr:sp macro="" textlink="">
      <xdr:nvSpPr>
        <xdr:cNvPr id="946851" name="Line 7"/>
        <xdr:cNvSpPr>
          <a:spLocks noChangeShapeType="1"/>
        </xdr:cNvSpPr>
      </xdr:nvSpPr>
      <xdr:spPr bwMode="auto">
        <a:xfrm>
          <a:off x="6757988" y="5600700"/>
          <a:ext cx="957262"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0</xdr:rowOff>
    </xdr:from>
    <xdr:to>
      <xdr:col>6</xdr:col>
      <xdr:colOff>895350</xdr:colOff>
      <xdr:row>24</xdr:row>
      <xdr:rowOff>0</xdr:rowOff>
    </xdr:to>
    <xdr:sp macro="" textlink="">
      <xdr:nvSpPr>
        <xdr:cNvPr id="946852" name="Line 8"/>
        <xdr:cNvSpPr>
          <a:spLocks noChangeShapeType="1"/>
        </xdr:cNvSpPr>
      </xdr:nvSpPr>
      <xdr:spPr bwMode="auto">
        <a:xfrm flipH="1">
          <a:off x="8758238" y="5600700"/>
          <a:ext cx="89535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847725</xdr:colOff>
      <xdr:row>22</xdr:row>
      <xdr:rowOff>0</xdr:rowOff>
    </xdr:from>
    <xdr:to>
      <xdr:col>10</xdr:col>
      <xdr:colOff>847725</xdr:colOff>
      <xdr:row>24</xdr:row>
      <xdr:rowOff>9525</xdr:rowOff>
    </xdr:to>
    <xdr:sp macro="" textlink="">
      <xdr:nvSpPr>
        <xdr:cNvPr id="946853" name="Line 9"/>
        <xdr:cNvSpPr>
          <a:spLocks noChangeShapeType="1"/>
        </xdr:cNvSpPr>
      </xdr:nvSpPr>
      <xdr:spPr bwMode="auto">
        <a:xfrm flipH="1">
          <a:off x="13820775" y="5600700"/>
          <a:ext cx="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1490663</xdr:colOff>
      <xdr:row>25</xdr:row>
      <xdr:rowOff>9525</xdr:rowOff>
    </xdr:from>
    <xdr:to>
      <xdr:col>10</xdr:col>
      <xdr:colOff>80963</xdr:colOff>
      <xdr:row>26</xdr:row>
      <xdr:rowOff>9525</xdr:rowOff>
    </xdr:to>
    <xdr:sp macro="" textlink="">
      <xdr:nvSpPr>
        <xdr:cNvPr id="946854" name="Line 8"/>
        <xdr:cNvSpPr>
          <a:spLocks noChangeShapeType="1"/>
        </xdr:cNvSpPr>
      </xdr:nvSpPr>
      <xdr:spPr bwMode="auto">
        <a:xfrm flipH="1">
          <a:off x="12401550" y="6638925"/>
          <a:ext cx="652463"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928688</xdr:colOff>
      <xdr:row>25</xdr:row>
      <xdr:rowOff>28575</xdr:rowOff>
    </xdr:from>
    <xdr:to>
      <xdr:col>6</xdr:col>
      <xdr:colOff>19050</xdr:colOff>
      <xdr:row>26</xdr:row>
      <xdr:rowOff>0</xdr:rowOff>
    </xdr:to>
    <xdr:sp macro="" textlink="">
      <xdr:nvSpPr>
        <xdr:cNvPr id="946855" name="Line 7"/>
        <xdr:cNvSpPr>
          <a:spLocks noChangeShapeType="1"/>
        </xdr:cNvSpPr>
      </xdr:nvSpPr>
      <xdr:spPr bwMode="auto">
        <a:xfrm>
          <a:off x="8491538" y="6657975"/>
          <a:ext cx="285750" cy="409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804863</xdr:colOff>
      <xdr:row>16</xdr:row>
      <xdr:rowOff>9525</xdr:rowOff>
    </xdr:from>
    <xdr:to>
      <xdr:col>4</xdr:col>
      <xdr:colOff>804863</xdr:colOff>
      <xdr:row>19</xdr:row>
      <xdr:rowOff>466725</xdr:rowOff>
    </xdr:to>
    <xdr:sp macro="" textlink="">
      <xdr:nvSpPr>
        <xdr:cNvPr id="946856" name="Line 9"/>
        <xdr:cNvSpPr>
          <a:spLocks noChangeShapeType="1"/>
        </xdr:cNvSpPr>
      </xdr:nvSpPr>
      <xdr:spPr bwMode="auto">
        <a:xfrm flipH="1">
          <a:off x="6715125" y="3619500"/>
          <a:ext cx="0" cy="1438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885825</xdr:colOff>
      <xdr:row>16</xdr:row>
      <xdr:rowOff>0</xdr:rowOff>
    </xdr:from>
    <xdr:to>
      <xdr:col>6</xdr:col>
      <xdr:colOff>885825</xdr:colOff>
      <xdr:row>19</xdr:row>
      <xdr:rowOff>457200</xdr:rowOff>
    </xdr:to>
    <xdr:sp macro="" textlink="">
      <xdr:nvSpPr>
        <xdr:cNvPr id="946857" name="Line 9"/>
        <xdr:cNvSpPr>
          <a:spLocks noChangeShapeType="1"/>
        </xdr:cNvSpPr>
      </xdr:nvSpPr>
      <xdr:spPr bwMode="auto">
        <a:xfrm flipH="1">
          <a:off x="9644063" y="3609975"/>
          <a:ext cx="0" cy="1438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804863</xdr:colOff>
      <xdr:row>19</xdr:row>
      <xdr:rowOff>85725</xdr:rowOff>
    </xdr:from>
    <xdr:to>
      <xdr:col>10</xdr:col>
      <xdr:colOff>804863</xdr:colOff>
      <xdr:row>19</xdr:row>
      <xdr:rowOff>485775</xdr:rowOff>
    </xdr:to>
    <xdr:sp macro="" textlink="">
      <xdr:nvSpPr>
        <xdr:cNvPr id="946858" name="Line 9"/>
        <xdr:cNvSpPr>
          <a:spLocks noChangeShapeType="1"/>
        </xdr:cNvSpPr>
      </xdr:nvSpPr>
      <xdr:spPr bwMode="auto">
        <a:xfrm flipH="1">
          <a:off x="13777913" y="4676775"/>
          <a:ext cx="0" cy="400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757238</xdr:colOff>
      <xdr:row>19</xdr:row>
      <xdr:rowOff>104775</xdr:rowOff>
    </xdr:from>
    <xdr:to>
      <xdr:col>8</xdr:col>
      <xdr:colOff>757238</xdr:colOff>
      <xdr:row>19</xdr:row>
      <xdr:rowOff>504825</xdr:rowOff>
    </xdr:to>
    <xdr:sp macro="" textlink="">
      <xdr:nvSpPr>
        <xdr:cNvPr id="946859" name="Line 9"/>
        <xdr:cNvSpPr>
          <a:spLocks noChangeShapeType="1"/>
        </xdr:cNvSpPr>
      </xdr:nvSpPr>
      <xdr:spPr bwMode="auto">
        <a:xfrm flipH="1">
          <a:off x="11668125" y="4695825"/>
          <a:ext cx="0" cy="40005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876300</xdr:colOff>
      <xdr:row>19</xdr:row>
      <xdr:rowOff>85725</xdr:rowOff>
    </xdr:from>
    <xdr:to>
      <xdr:col>12</xdr:col>
      <xdr:colOff>876300</xdr:colOff>
      <xdr:row>19</xdr:row>
      <xdr:rowOff>485775</xdr:rowOff>
    </xdr:to>
    <xdr:sp macro="" textlink="">
      <xdr:nvSpPr>
        <xdr:cNvPr id="946860" name="Line 9"/>
        <xdr:cNvSpPr>
          <a:spLocks noChangeShapeType="1"/>
        </xdr:cNvSpPr>
      </xdr:nvSpPr>
      <xdr:spPr bwMode="auto">
        <a:xfrm flipH="1">
          <a:off x="15982950" y="4676775"/>
          <a:ext cx="0" cy="40005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885825</xdr:colOff>
      <xdr:row>22</xdr:row>
      <xdr:rowOff>0</xdr:rowOff>
    </xdr:from>
    <xdr:to>
      <xdr:col>10</xdr:col>
      <xdr:colOff>71438</xdr:colOff>
      <xdr:row>23</xdr:row>
      <xdr:rowOff>123825</xdr:rowOff>
    </xdr:to>
    <xdr:sp macro="" textlink="">
      <xdr:nvSpPr>
        <xdr:cNvPr id="946861" name="Line 9"/>
        <xdr:cNvSpPr>
          <a:spLocks noChangeShapeType="1"/>
        </xdr:cNvSpPr>
      </xdr:nvSpPr>
      <xdr:spPr bwMode="auto">
        <a:xfrm>
          <a:off x="11796713" y="5600700"/>
          <a:ext cx="1247775" cy="60007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1538288</xdr:colOff>
      <xdr:row>22</xdr:row>
      <xdr:rowOff>0</xdr:rowOff>
    </xdr:from>
    <xdr:to>
      <xdr:col>12</xdr:col>
      <xdr:colOff>747713</xdr:colOff>
      <xdr:row>23</xdr:row>
      <xdr:rowOff>114300</xdr:rowOff>
    </xdr:to>
    <xdr:sp macro="" textlink="">
      <xdr:nvSpPr>
        <xdr:cNvPr id="946862" name="Line 9"/>
        <xdr:cNvSpPr>
          <a:spLocks noChangeShapeType="1"/>
        </xdr:cNvSpPr>
      </xdr:nvSpPr>
      <xdr:spPr bwMode="auto">
        <a:xfrm flipH="1">
          <a:off x="14511338" y="5600700"/>
          <a:ext cx="1343025" cy="59055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8</xdr:row>
      <xdr:rowOff>228600</xdr:rowOff>
    </xdr:from>
    <xdr:to>
      <xdr:col>5</xdr:col>
      <xdr:colOff>990600</xdr:colOff>
      <xdr:row>8</xdr:row>
      <xdr:rowOff>228600</xdr:rowOff>
    </xdr:to>
    <xdr:sp macro="" textlink="">
      <xdr:nvSpPr>
        <xdr:cNvPr id="874835" name="Line 8"/>
        <xdr:cNvSpPr>
          <a:spLocks noChangeShapeType="1"/>
        </xdr:cNvSpPr>
      </xdr:nvSpPr>
      <xdr:spPr bwMode="auto">
        <a:xfrm>
          <a:off x="3919538" y="1914525"/>
          <a:ext cx="1276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1223963</xdr:colOff>
      <xdr:row>13</xdr:row>
      <xdr:rowOff>0</xdr:rowOff>
    </xdr:from>
    <xdr:to>
      <xdr:col>5</xdr:col>
      <xdr:colOff>990600</xdr:colOff>
      <xdr:row>13</xdr:row>
      <xdr:rowOff>0</xdr:rowOff>
    </xdr:to>
    <xdr:sp macro="" textlink="">
      <xdr:nvSpPr>
        <xdr:cNvPr id="874836" name="Line 13"/>
        <xdr:cNvSpPr>
          <a:spLocks noChangeShapeType="1"/>
        </xdr:cNvSpPr>
      </xdr:nvSpPr>
      <xdr:spPr bwMode="auto">
        <a:xfrm>
          <a:off x="3919538" y="2962275"/>
          <a:ext cx="1276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238125</xdr:colOff>
      <xdr:row>16</xdr:row>
      <xdr:rowOff>28575</xdr:rowOff>
    </xdr:from>
    <xdr:to>
      <xdr:col>17</xdr:col>
      <xdr:colOff>233363</xdr:colOff>
      <xdr:row>26</xdr:row>
      <xdr:rowOff>85725</xdr:rowOff>
    </xdr:to>
    <xdr:graphicFrame macro="">
      <xdr:nvGraphicFramePr>
        <xdr:cNvPr id="87483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0.15251</cdr:x>
      <cdr:y>0.39389</cdr:y>
    </cdr:from>
    <cdr:to>
      <cdr:x>0.99709</cdr:x>
      <cdr:y>0.54953</cdr:y>
    </cdr:to>
    <cdr:sp macro="" textlink="">
      <cdr:nvSpPr>
        <cdr:cNvPr id="2" name="TextBox 1"/>
        <cdr:cNvSpPr txBox="1"/>
      </cdr:nvSpPr>
      <cdr:spPr>
        <a:xfrm xmlns:a="http://schemas.openxmlformats.org/drawingml/2006/main" rot="18900000">
          <a:off x="553914" y="1102109"/>
          <a:ext cx="2417886" cy="4668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2000">
              <a:solidFill>
                <a:srgbClr val="969696"/>
              </a:solidFill>
            </a:rPr>
            <a:t>Actual</a:t>
          </a:r>
          <a:r>
            <a:rPr lang="en-GB" sz="2000" baseline="0">
              <a:solidFill>
                <a:srgbClr val="969696"/>
              </a:solidFill>
            </a:rPr>
            <a:t> = Average </a:t>
          </a:r>
          <a:endParaRPr lang="en-GB" sz="2000">
            <a:solidFill>
              <a:srgbClr val="969696"/>
            </a:solidFill>
          </a:endParaRPr>
        </a:p>
        <a:p xmlns:a="http://schemas.openxmlformats.org/drawingml/2006/main">
          <a:endParaRPr lang="en-GB" sz="1100"/>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704850</xdr:colOff>
      <xdr:row>9</xdr:row>
      <xdr:rowOff>76200</xdr:rowOff>
    </xdr:from>
    <xdr:to>
      <xdr:col>3</xdr:col>
      <xdr:colOff>704850</xdr:colOff>
      <xdr:row>9</xdr:row>
      <xdr:rowOff>542925</xdr:rowOff>
    </xdr:to>
    <xdr:sp macro="" textlink="">
      <xdr:nvSpPr>
        <xdr:cNvPr id="966976" name="Line 2"/>
        <xdr:cNvSpPr>
          <a:spLocks noChangeShapeType="1"/>
        </xdr:cNvSpPr>
      </xdr:nvSpPr>
      <xdr:spPr bwMode="auto">
        <a:xfrm>
          <a:off x="4014788" y="2562225"/>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747713</xdr:colOff>
      <xdr:row>9</xdr:row>
      <xdr:rowOff>76200</xdr:rowOff>
    </xdr:from>
    <xdr:to>
      <xdr:col>7</xdr:col>
      <xdr:colOff>747713</xdr:colOff>
      <xdr:row>9</xdr:row>
      <xdr:rowOff>542925</xdr:rowOff>
    </xdr:to>
    <xdr:sp macro="" textlink="">
      <xdr:nvSpPr>
        <xdr:cNvPr id="966977" name="Line 3"/>
        <xdr:cNvSpPr>
          <a:spLocks noChangeShapeType="1"/>
        </xdr:cNvSpPr>
      </xdr:nvSpPr>
      <xdr:spPr bwMode="auto">
        <a:xfrm>
          <a:off x="8467725" y="2562225"/>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685800</xdr:colOff>
      <xdr:row>11</xdr:row>
      <xdr:rowOff>76200</xdr:rowOff>
    </xdr:from>
    <xdr:to>
      <xdr:col>3</xdr:col>
      <xdr:colOff>685800</xdr:colOff>
      <xdr:row>11</xdr:row>
      <xdr:rowOff>542925</xdr:rowOff>
    </xdr:to>
    <xdr:sp macro="" textlink="">
      <xdr:nvSpPr>
        <xdr:cNvPr id="966978" name="Line 8"/>
        <xdr:cNvSpPr>
          <a:spLocks noChangeShapeType="1"/>
        </xdr:cNvSpPr>
      </xdr:nvSpPr>
      <xdr:spPr bwMode="auto">
        <a:xfrm>
          <a:off x="3995738" y="39624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723900</xdr:colOff>
      <xdr:row>11</xdr:row>
      <xdr:rowOff>76200</xdr:rowOff>
    </xdr:from>
    <xdr:to>
      <xdr:col>7</xdr:col>
      <xdr:colOff>723900</xdr:colOff>
      <xdr:row>11</xdr:row>
      <xdr:rowOff>542925</xdr:rowOff>
    </xdr:to>
    <xdr:sp macro="" textlink="">
      <xdr:nvSpPr>
        <xdr:cNvPr id="966979" name="Line 9"/>
        <xdr:cNvSpPr>
          <a:spLocks noChangeShapeType="1"/>
        </xdr:cNvSpPr>
      </xdr:nvSpPr>
      <xdr:spPr bwMode="auto">
        <a:xfrm>
          <a:off x="8443913" y="39624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723900</xdr:colOff>
      <xdr:row>13</xdr:row>
      <xdr:rowOff>76200</xdr:rowOff>
    </xdr:from>
    <xdr:to>
      <xdr:col>3</xdr:col>
      <xdr:colOff>723900</xdr:colOff>
      <xdr:row>13</xdr:row>
      <xdr:rowOff>561975</xdr:rowOff>
    </xdr:to>
    <xdr:sp macro="" textlink="">
      <xdr:nvSpPr>
        <xdr:cNvPr id="966980" name="Line 14"/>
        <xdr:cNvSpPr>
          <a:spLocks noChangeShapeType="1"/>
        </xdr:cNvSpPr>
      </xdr:nvSpPr>
      <xdr:spPr bwMode="auto">
        <a:xfrm>
          <a:off x="4033838" y="5238750"/>
          <a:ext cx="0"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733425</xdr:colOff>
      <xdr:row>13</xdr:row>
      <xdr:rowOff>76200</xdr:rowOff>
    </xdr:from>
    <xdr:to>
      <xdr:col>7</xdr:col>
      <xdr:colOff>733425</xdr:colOff>
      <xdr:row>13</xdr:row>
      <xdr:rowOff>561975</xdr:rowOff>
    </xdr:to>
    <xdr:sp macro="" textlink="">
      <xdr:nvSpPr>
        <xdr:cNvPr id="966981" name="Line 15"/>
        <xdr:cNvSpPr>
          <a:spLocks noChangeShapeType="1"/>
        </xdr:cNvSpPr>
      </xdr:nvSpPr>
      <xdr:spPr bwMode="auto">
        <a:xfrm>
          <a:off x="8453438" y="5238750"/>
          <a:ext cx="0"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704850</xdr:colOff>
      <xdr:row>9</xdr:row>
      <xdr:rowOff>76200</xdr:rowOff>
    </xdr:from>
    <xdr:to>
      <xdr:col>5</xdr:col>
      <xdr:colOff>704850</xdr:colOff>
      <xdr:row>9</xdr:row>
      <xdr:rowOff>542925</xdr:rowOff>
    </xdr:to>
    <xdr:sp macro="" textlink="">
      <xdr:nvSpPr>
        <xdr:cNvPr id="966982" name="Line 2"/>
        <xdr:cNvSpPr>
          <a:spLocks noChangeShapeType="1"/>
        </xdr:cNvSpPr>
      </xdr:nvSpPr>
      <xdr:spPr bwMode="auto">
        <a:xfrm>
          <a:off x="6219825" y="2562225"/>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685800</xdr:colOff>
      <xdr:row>11</xdr:row>
      <xdr:rowOff>76200</xdr:rowOff>
    </xdr:from>
    <xdr:to>
      <xdr:col>5</xdr:col>
      <xdr:colOff>685800</xdr:colOff>
      <xdr:row>11</xdr:row>
      <xdr:rowOff>542925</xdr:rowOff>
    </xdr:to>
    <xdr:sp macro="" textlink="">
      <xdr:nvSpPr>
        <xdr:cNvPr id="966983" name="Line 8"/>
        <xdr:cNvSpPr>
          <a:spLocks noChangeShapeType="1"/>
        </xdr:cNvSpPr>
      </xdr:nvSpPr>
      <xdr:spPr bwMode="auto">
        <a:xfrm>
          <a:off x="6200775" y="39624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723900</xdr:colOff>
      <xdr:row>13</xdr:row>
      <xdr:rowOff>76200</xdr:rowOff>
    </xdr:from>
    <xdr:to>
      <xdr:col>5</xdr:col>
      <xdr:colOff>723900</xdr:colOff>
      <xdr:row>13</xdr:row>
      <xdr:rowOff>561975</xdr:rowOff>
    </xdr:to>
    <xdr:sp macro="" textlink="">
      <xdr:nvSpPr>
        <xdr:cNvPr id="966984" name="Line 14"/>
        <xdr:cNvSpPr>
          <a:spLocks noChangeShapeType="1"/>
        </xdr:cNvSpPr>
      </xdr:nvSpPr>
      <xdr:spPr bwMode="auto">
        <a:xfrm>
          <a:off x="6238875" y="5238750"/>
          <a:ext cx="0"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723900</xdr:colOff>
      <xdr:row>13</xdr:row>
      <xdr:rowOff>66675</xdr:rowOff>
    </xdr:from>
    <xdr:to>
      <xdr:col>3</xdr:col>
      <xdr:colOff>723900</xdr:colOff>
      <xdr:row>13</xdr:row>
      <xdr:rowOff>552450</xdr:rowOff>
    </xdr:to>
    <xdr:sp macro="" textlink="">
      <xdr:nvSpPr>
        <xdr:cNvPr id="966985" name="Line 13"/>
        <xdr:cNvSpPr>
          <a:spLocks noChangeShapeType="1"/>
        </xdr:cNvSpPr>
      </xdr:nvSpPr>
      <xdr:spPr bwMode="auto">
        <a:xfrm>
          <a:off x="4033838" y="5229225"/>
          <a:ext cx="0"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723900</xdr:colOff>
      <xdr:row>13</xdr:row>
      <xdr:rowOff>66675</xdr:rowOff>
    </xdr:from>
    <xdr:to>
      <xdr:col>5</xdr:col>
      <xdr:colOff>723900</xdr:colOff>
      <xdr:row>13</xdr:row>
      <xdr:rowOff>552450</xdr:rowOff>
    </xdr:to>
    <xdr:sp macro="" textlink="">
      <xdr:nvSpPr>
        <xdr:cNvPr id="966986" name="Line 13"/>
        <xdr:cNvSpPr>
          <a:spLocks noChangeShapeType="1"/>
        </xdr:cNvSpPr>
      </xdr:nvSpPr>
      <xdr:spPr bwMode="auto">
        <a:xfrm>
          <a:off x="6238875" y="5229225"/>
          <a:ext cx="0"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723900</xdr:colOff>
      <xdr:row>13</xdr:row>
      <xdr:rowOff>66675</xdr:rowOff>
    </xdr:from>
    <xdr:to>
      <xdr:col>7</xdr:col>
      <xdr:colOff>723900</xdr:colOff>
      <xdr:row>13</xdr:row>
      <xdr:rowOff>552450</xdr:rowOff>
    </xdr:to>
    <xdr:sp macro="" textlink="">
      <xdr:nvSpPr>
        <xdr:cNvPr id="966987" name="Line 13"/>
        <xdr:cNvSpPr>
          <a:spLocks noChangeShapeType="1"/>
        </xdr:cNvSpPr>
      </xdr:nvSpPr>
      <xdr:spPr bwMode="auto">
        <a:xfrm>
          <a:off x="8443913" y="5229225"/>
          <a:ext cx="0"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onnetapp01\ASDDATA\Data\Value%20Added\2011\Communications\Ready%20Reckoner\20111130%20KS1-2%20amended%20-%20FINAL\2011%20KS2-4%20Ready%20Reckoner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KS2 Data Input"/>
      <sheetName val="1 Measure Ready Reckoner"/>
      <sheetName val="All Measures Ready Reckoner"/>
      <sheetName val="Model Coefficients"/>
      <sheetName val="Issues"/>
      <sheetName val="Chart Data"/>
      <sheetName val="KS2 Fine grades lookup"/>
    </sheetNames>
    <sheetDataSet>
      <sheetData sheetId="0" refreshError="1"/>
      <sheetData sheetId="1" refreshError="1"/>
      <sheetData sheetId="2">
        <row r="1">
          <cell r="Y1" t="str">
            <v>58 Points (A*)</v>
          </cell>
          <cell r="AE1">
            <v>1</v>
          </cell>
        </row>
        <row r="2">
          <cell r="AE2">
            <v>1</v>
          </cell>
        </row>
        <row r="3">
          <cell r="AE3">
            <v>1</v>
          </cell>
        </row>
        <row r="4">
          <cell r="AE4">
            <v>1</v>
          </cell>
        </row>
        <row r="5">
          <cell r="AE5">
            <v>1</v>
          </cell>
        </row>
        <row r="6">
          <cell r="X6" t="str">
            <v>Best 8 including English &amp; mathematics</v>
          </cell>
          <cell r="AE6">
            <v>1</v>
          </cell>
        </row>
        <row r="7">
          <cell r="AE7">
            <v>1</v>
          </cell>
        </row>
        <row r="8">
          <cell r="AE8">
            <v>1</v>
          </cell>
        </row>
        <row r="9">
          <cell r="G9" t="str">
            <v>English Baccalaureate - Maths Subject Area</v>
          </cell>
          <cell r="AE9">
            <v>1</v>
          </cell>
        </row>
        <row r="10">
          <cell r="AE10">
            <v>0</v>
          </cell>
        </row>
        <row r="11">
          <cell r="AE11">
            <v>0</v>
          </cell>
        </row>
        <row r="12">
          <cell r="AE12">
            <v>0</v>
          </cell>
        </row>
        <row r="13">
          <cell r="AE13">
            <v>0</v>
          </cell>
        </row>
        <row r="14">
          <cell r="AE14">
            <v>0</v>
          </cell>
        </row>
        <row r="15">
          <cell r="AE15">
            <v>0</v>
          </cell>
        </row>
        <row r="16">
          <cell r="AE16">
            <v>0</v>
          </cell>
        </row>
        <row r="17">
          <cell r="AE17">
            <v>0</v>
          </cell>
        </row>
        <row r="18">
          <cell r="AE18">
            <v>0</v>
          </cell>
        </row>
        <row r="19">
          <cell r="AE19">
            <v>0</v>
          </cell>
        </row>
        <row r="20">
          <cell r="AE20">
            <v>0</v>
          </cell>
        </row>
        <row r="21">
          <cell r="AE21">
            <v>0</v>
          </cell>
        </row>
        <row r="22">
          <cell r="AE22">
            <v>0</v>
          </cell>
        </row>
        <row r="23">
          <cell r="AE23">
            <v>0</v>
          </cell>
        </row>
        <row r="24">
          <cell r="AE24">
            <v>0</v>
          </cell>
        </row>
        <row r="25">
          <cell r="AE25">
            <v>0</v>
          </cell>
        </row>
        <row r="26">
          <cell r="AE26">
            <v>0</v>
          </cell>
        </row>
        <row r="27">
          <cell r="AE27">
            <v>0</v>
          </cell>
        </row>
        <row r="28">
          <cell r="AE28">
            <v>0</v>
          </cell>
        </row>
        <row r="29">
          <cell r="AE29">
            <v>0</v>
          </cell>
        </row>
        <row r="30">
          <cell r="AE30">
            <v>0</v>
          </cell>
        </row>
        <row r="31">
          <cell r="AE31">
            <v>0</v>
          </cell>
        </row>
        <row r="32">
          <cell r="AE32">
            <v>0</v>
          </cell>
        </row>
        <row r="33">
          <cell r="AE33">
            <v>0</v>
          </cell>
        </row>
        <row r="34">
          <cell r="AE34">
            <v>0</v>
          </cell>
        </row>
        <row r="35">
          <cell r="AE35">
            <v>0</v>
          </cell>
        </row>
        <row r="36">
          <cell r="AE36">
            <v>0</v>
          </cell>
        </row>
        <row r="37">
          <cell r="AE37">
            <v>0</v>
          </cell>
        </row>
        <row r="38">
          <cell r="AE38">
            <v>0</v>
          </cell>
        </row>
        <row r="39">
          <cell r="AE39">
            <v>0</v>
          </cell>
        </row>
        <row r="40">
          <cell r="AE40">
            <v>0</v>
          </cell>
        </row>
        <row r="41">
          <cell r="AE41">
            <v>0</v>
          </cell>
        </row>
        <row r="42">
          <cell r="AE42">
            <v>0</v>
          </cell>
        </row>
        <row r="43">
          <cell r="AE43">
            <v>0</v>
          </cell>
        </row>
        <row r="44">
          <cell r="AE44">
            <v>0</v>
          </cell>
        </row>
        <row r="45">
          <cell r="AE45">
            <v>0</v>
          </cell>
        </row>
        <row r="46">
          <cell r="AE46">
            <v>0</v>
          </cell>
        </row>
        <row r="47">
          <cell r="AE47">
            <v>0</v>
          </cell>
        </row>
        <row r="48">
          <cell r="AE48">
            <v>0</v>
          </cell>
        </row>
        <row r="49">
          <cell r="AE49">
            <v>0</v>
          </cell>
        </row>
        <row r="50">
          <cell r="AE50">
            <v>0</v>
          </cell>
        </row>
        <row r="51">
          <cell r="AE51">
            <v>0</v>
          </cell>
        </row>
        <row r="52">
          <cell r="AE52">
            <v>0</v>
          </cell>
        </row>
        <row r="53">
          <cell r="AE53">
            <v>0</v>
          </cell>
        </row>
        <row r="54">
          <cell r="AE54">
            <v>0</v>
          </cell>
        </row>
        <row r="55">
          <cell r="AE55">
            <v>0</v>
          </cell>
        </row>
        <row r="56">
          <cell r="AE56">
            <v>0</v>
          </cell>
        </row>
        <row r="57">
          <cell r="AE57">
            <v>0</v>
          </cell>
        </row>
        <row r="58">
          <cell r="AE58">
            <v>0</v>
          </cell>
        </row>
        <row r="59">
          <cell r="AE59">
            <v>0</v>
          </cell>
        </row>
        <row r="60">
          <cell r="AE60">
            <v>0</v>
          </cell>
        </row>
        <row r="61">
          <cell r="AE61">
            <v>0</v>
          </cell>
        </row>
        <row r="62">
          <cell r="AE62">
            <v>0</v>
          </cell>
        </row>
        <row r="63">
          <cell r="AE63">
            <v>0</v>
          </cell>
        </row>
        <row r="64">
          <cell r="AE64">
            <v>0</v>
          </cell>
        </row>
        <row r="65">
          <cell r="AE65">
            <v>0</v>
          </cell>
        </row>
        <row r="66">
          <cell r="AE66">
            <v>0</v>
          </cell>
        </row>
        <row r="67">
          <cell r="AE67">
            <v>0</v>
          </cell>
        </row>
        <row r="68">
          <cell r="AE68">
            <v>0</v>
          </cell>
        </row>
        <row r="69">
          <cell r="AE69">
            <v>0</v>
          </cell>
        </row>
        <row r="70">
          <cell r="AE70">
            <v>0</v>
          </cell>
        </row>
        <row r="71">
          <cell r="AE71">
            <v>0</v>
          </cell>
        </row>
        <row r="72">
          <cell r="AE72">
            <v>0</v>
          </cell>
        </row>
        <row r="73">
          <cell r="AE73">
            <v>0</v>
          </cell>
        </row>
        <row r="74">
          <cell r="AE74">
            <v>0</v>
          </cell>
        </row>
        <row r="75">
          <cell r="AE75">
            <v>0</v>
          </cell>
        </row>
        <row r="76">
          <cell r="AE76">
            <v>0</v>
          </cell>
        </row>
        <row r="77">
          <cell r="AE77">
            <v>0</v>
          </cell>
        </row>
        <row r="78">
          <cell r="AE78">
            <v>0</v>
          </cell>
        </row>
        <row r="79">
          <cell r="AE79">
            <v>0</v>
          </cell>
        </row>
        <row r="80">
          <cell r="AE80">
            <v>0</v>
          </cell>
        </row>
        <row r="81">
          <cell r="AE81">
            <v>0</v>
          </cell>
        </row>
        <row r="82">
          <cell r="AE82">
            <v>0</v>
          </cell>
        </row>
        <row r="83">
          <cell r="AE83">
            <v>0</v>
          </cell>
        </row>
        <row r="84">
          <cell r="AE84">
            <v>0</v>
          </cell>
        </row>
        <row r="85">
          <cell r="AE85">
            <v>0</v>
          </cell>
        </row>
        <row r="86">
          <cell r="AE86">
            <v>0</v>
          </cell>
        </row>
        <row r="87">
          <cell r="AE87">
            <v>0</v>
          </cell>
        </row>
        <row r="88">
          <cell r="AE88">
            <v>0</v>
          </cell>
        </row>
        <row r="89">
          <cell r="AE89">
            <v>0</v>
          </cell>
        </row>
        <row r="90">
          <cell r="AE90">
            <v>0</v>
          </cell>
        </row>
        <row r="91">
          <cell r="AE91">
            <v>0</v>
          </cell>
        </row>
        <row r="92">
          <cell r="AE92">
            <v>0</v>
          </cell>
        </row>
        <row r="93">
          <cell r="AE93">
            <v>0</v>
          </cell>
        </row>
        <row r="94">
          <cell r="AE94">
            <v>0</v>
          </cell>
        </row>
        <row r="95">
          <cell r="AE95">
            <v>0</v>
          </cell>
        </row>
        <row r="96">
          <cell r="AE96">
            <v>0</v>
          </cell>
        </row>
        <row r="97">
          <cell r="AE97">
            <v>0</v>
          </cell>
        </row>
        <row r="98">
          <cell r="AE98">
            <v>0</v>
          </cell>
        </row>
        <row r="99">
          <cell r="AE99">
            <v>0</v>
          </cell>
        </row>
        <row r="100">
          <cell r="AE100">
            <v>0</v>
          </cell>
        </row>
        <row r="101">
          <cell r="AE101">
            <v>0</v>
          </cell>
        </row>
        <row r="102">
          <cell r="AE102">
            <v>0</v>
          </cell>
        </row>
        <row r="103">
          <cell r="AE103">
            <v>0</v>
          </cell>
        </row>
        <row r="104">
          <cell r="AE104">
            <v>0</v>
          </cell>
        </row>
        <row r="105">
          <cell r="AE105">
            <v>0</v>
          </cell>
        </row>
        <row r="106">
          <cell r="AE106">
            <v>0</v>
          </cell>
        </row>
        <row r="107">
          <cell r="AE107">
            <v>0</v>
          </cell>
        </row>
        <row r="108">
          <cell r="AE108">
            <v>0</v>
          </cell>
        </row>
        <row r="109">
          <cell r="AE109">
            <v>0</v>
          </cell>
        </row>
        <row r="110">
          <cell r="AE110">
            <v>0</v>
          </cell>
        </row>
        <row r="111">
          <cell r="AE111">
            <v>0</v>
          </cell>
        </row>
        <row r="112">
          <cell r="AE112">
            <v>0</v>
          </cell>
        </row>
        <row r="113">
          <cell r="AE113">
            <v>0</v>
          </cell>
        </row>
        <row r="114">
          <cell r="AE114">
            <v>0</v>
          </cell>
        </row>
        <row r="115">
          <cell r="AE115">
            <v>0</v>
          </cell>
        </row>
        <row r="116">
          <cell r="AE116">
            <v>0</v>
          </cell>
        </row>
        <row r="117">
          <cell r="AE117">
            <v>0</v>
          </cell>
        </row>
        <row r="118">
          <cell r="AE118">
            <v>0</v>
          </cell>
        </row>
        <row r="119">
          <cell r="AE119">
            <v>0</v>
          </cell>
        </row>
        <row r="120">
          <cell r="AE120">
            <v>0</v>
          </cell>
        </row>
        <row r="121">
          <cell r="AE121">
            <v>0</v>
          </cell>
        </row>
        <row r="122">
          <cell r="AE122">
            <v>0</v>
          </cell>
        </row>
        <row r="123">
          <cell r="AE123">
            <v>0</v>
          </cell>
        </row>
        <row r="124">
          <cell r="AE124">
            <v>0</v>
          </cell>
        </row>
        <row r="125">
          <cell r="AE125">
            <v>0</v>
          </cell>
        </row>
        <row r="126">
          <cell r="AE126">
            <v>0</v>
          </cell>
        </row>
        <row r="127">
          <cell r="AE127">
            <v>0</v>
          </cell>
        </row>
        <row r="128">
          <cell r="AE128">
            <v>0</v>
          </cell>
        </row>
        <row r="129">
          <cell r="AE129">
            <v>0</v>
          </cell>
        </row>
        <row r="130">
          <cell r="AE130">
            <v>0</v>
          </cell>
        </row>
        <row r="131">
          <cell r="AE131">
            <v>0</v>
          </cell>
        </row>
        <row r="132">
          <cell r="AE132">
            <v>0</v>
          </cell>
        </row>
        <row r="133">
          <cell r="AE133">
            <v>0</v>
          </cell>
        </row>
        <row r="134">
          <cell r="AE134">
            <v>0</v>
          </cell>
        </row>
        <row r="135">
          <cell r="AE135">
            <v>0</v>
          </cell>
        </row>
        <row r="136">
          <cell r="AE136">
            <v>0</v>
          </cell>
        </row>
        <row r="137">
          <cell r="AE137">
            <v>0</v>
          </cell>
        </row>
        <row r="138">
          <cell r="AE138">
            <v>0</v>
          </cell>
        </row>
        <row r="139">
          <cell r="AE139">
            <v>0</v>
          </cell>
        </row>
        <row r="140">
          <cell r="AE140">
            <v>0</v>
          </cell>
        </row>
        <row r="141">
          <cell r="AE141">
            <v>0</v>
          </cell>
        </row>
        <row r="142">
          <cell r="AE142">
            <v>0</v>
          </cell>
        </row>
        <row r="143">
          <cell r="AE143">
            <v>0</v>
          </cell>
        </row>
        <row r="144">
          <cell r="AE144">
            <v>0</v>
          </cell>
        </row>
        <row r="145">
          <cell r="AE145">
            <v>0</v>
          </cell>
        </row>
        <row r="146">
          <cell r="AE146">
            <v>0</v>
          </cell>
        </row>
        <row r="147">
          <cell r="AE147">
            <v>0</v>
          </cell>
        </row>
        <row r="148">
          <cell r="AE148">
            <v>0</v>
          </cell>
        </row>
        <row r="149">
          <cell r="AE149">
            <v>0</v>
          </cell>
        </row>
        <row r="150">
          <cell r="AE150">
            <v>0</v>
          </cell>
        </row>
        <row r="151">
          <cell r="AE151">
            <v>0</v>
          </cell>
        </row>
        <row r="152">
          <cell r="AE152">
            <v>0</v>
          </cell>
        </row>
        <row r="153">
          <cell r="AE153">
            <v>0</v>
          </cell>
        </row>
        <row r="154">
          <cell r="AE154">
            <v>0</v>
          </cell>
        </row>
        <row r="155">
          <cell r="AE155">
            <v>0</v>
          </cell>
        </row>
        <row r="156">
          <cell r="AE156">
            <v>0</v>
          </cell>
        </row>
        <row r="157">
          <cell r="AE157">
            <v>0</v>
          </cell>
        </row>
        <row r="158">
          <cell r="AE158">
            <v>0</v>
          </cell>
        </row>
        <row r="159">
          <cell r="AE159">
            <v>0</v>
          </cell>
        </row>
        <row r="160">
          <cell r="AE160">
            <v>0</v>
          </cell>
        </row>
        <row r="161">
          <cell r="AE161">
            <v>0</v>
          </cell>
        </row>
        <row r="162">
          <cell r="AE162">
            <v>0</v>
          </cell>
        </row>
        <row r="163">
          <cell r="AE163">
            <v>0</v>
          </cell>
        </row>
        <row r="164">
          <cell r="AE164">
            <v>0</v>
          </cell>
        </row>
        <row r="165">
          <cell r="AE165">
            <v>0</v>
          </cell>
        </row>
        <row r="166">
          <cell r="AE166">
            <v>0</v>
          </cell>
        </row>
        <row r="167">
          <cell r="AE167">
            <v>0</v>
          </cell>
        </row>
        <row r="168">
          <cell r="AE168">
            <v>0</v>
          </cell>
        </row>
        <row r="169">
          <cell r="AE169">
            <v>0</v>
          </cell>
        </row>
        <row r="170">
          <cell r="AE170">
            <v>0</v>
          </cell>
        </row>
        <row r="171">
          <cell r="AE171">
            <v>0</v>
          </cell>
        </row>
        <row r="172">
          <cell r="AE172">
            <v>0</v>
          </cell>
        </row>
        <row r="173">
          <cell r="AE173">
            <v>0</v>
          </cell>
        </row>
        <row r="174">
          <cell r="AE174">
            <v>0</v>
          </cell>
        </row>
        <row r="175">
          <cell r="AE175">
            <v>0</v>
          </cell>
        </row>
        <row r="176">
          <cell r="AE176">
            <v>0</v>
          </cell>
        </row>
        <row r="177">
          <cell r="AE177">
            <v>0</v>
          </cell>
        </row>
        <row r="178">
          <cell r="AE178">
            <v>0</v>
          </cell>
        </row>
        <row r="179">
          <cell r="AE179">
            <v>0</v>
          </cell>
        </row>
        <row r="180">
          <cell r="AE180">
            <v>0</v>
          </cell>
        </row>
        <row r="181">
          <cell r="AE181">
            <v>0</v>
          </cell>
        </row>
        <row r="182">
          <cell r="AE182">
            <v>0</v>
          </cell>
        </row>
        <row r="183">
          <cell r="AE183">
            <v>0</v>
          </cell>
        </row>
        <row r="184">
          <cell r="AE184">
            <v>0</v>
          </cell>
        </row>
        <row r="185">
          <cell r="AE185">
            <v>0</v>
          </cell>
        </row>
        <row r="186">
          <cell r="AE186">
            <v>0</v>
          </cell>
        </row>
        <row r="187">
          <cell r="AE187">
            <v>0</v>
          </cell>
        </row>
        <row r="188">
          <cell r="AE188">
            <v>0</v>
          </cell>
        </row>
        <row r="189">
          <cell r="AE189">
            <v>0</v>
          </cell>
        </row>
        <row r="190">
          <cell r="AE190">
            <v>0</v>
          </cell>
        </row>
        <row r="191">
          <cell r="AE191">
            <v>0</v>
          </cell>
        </row>
        <row r="192">
          <cell r="AE192">
            <v>0</v>
          </cell>
        </row>
        <row r="193">
          <cell r="AE193">
            <v>0</v>
          </cell>
        </row>
        <row r="194">
          <cell r="AE194">
            <v>0</v>
          </cell>
        </row>
        <row r="195">
          <cell r="AE195">
            <v>0</v>
          </cell>
        </row>
        <row r="196">
          <cell r="AE196">
            <v>0</v>
          </cell>
        </row>
        <row r="197">
          <cell r="AE197">
            <v>0</v>
          </cell>
        </row>
        <row r="198">
          <cell r="AE198">
            <v>0</v>
          </cell>
        </row>
        <row r="199">
          <cell r="AE199">
            <v>0</v>
          </cell>
        </row>
        <row r="200">
          <cell r="AE200">
            <v>0</v>
          </cell>
        </row>
        <row r="201">
          <cell r="AE201">
            <v>0</v>
          </cell>
        </row>
        <row r="202">
          <cell r="AE202">
            <v>0</v>
          </cell>
        </row>
        <row r="203">
          <cell r="AE203">
            <v>0</v>
          </cell>
        </row>
        <row r="204">
          <cell r="AE204">
            <v>0</v>
          </cell>
        </row>
        <row r="205">
          <cell r="AE205">
            <v>0</v>
          </cell>
        </row>
        <row r="206">
          <cell r="AE206">
            <v>0</v>
          </cell>
        </row>
        <row r="207">
          <cell r="AE207">
            <v>0</v>
          </cell>
        </row>
        <row r="208">
          <cell r="AE208">
            <v>0</v>
          </cell>
        </row>
        <row r="209">
          <cell r="AE209">
            <v>0</v>
          </cell>
        </row>
        <row r="210">
          <cell r="AE210">
            <v>0</v>
          </cell>
        </row>
        <row r="211">
          <cell r="AE211">
            <v>0</v>
          </cell>
        </row>
        <row r="212">
          <cell r="AE212">
            <v>0</v>
          </cell>
        </row>
        <row r="213">
          <cell r="AE213">
            <v>0</v>
          </cell>
        </row>
        <row r="214">
          <cell r="AE214">
            <v>0</v>
          </cell>
        </row>
        <row r="215">
          <cell r="AE215">
            <v>0</v>
          </cell>
        </row>
        <row r="216">
          <cell r="AE216">
            <v>0</v>
          </cell>
        </row>
        <row r="217">
          <cell r="AE217">
            <v>0</v>
          </cell>
        </row>
        <row r="218">
          <cell r="AE218">
            <v>0</v>
          </cell>
        </row>
        <row r="219">
          <cell r="AE219">
            <v>0</v>
          </cell>
        </row>
        <row r="220">
          <cell r="AE220">
            <v>0</v>
          </cell>
        </row>
        <row r="221">
          <cell r="AE221">
            <v>0</v>
          </cell>
        </row>
        <row r="222">
          <cell r="AE222">
            <v>0</v>
          </cell>
        </row>
        <row r="223">
          <cell r="AE223">
            <v>0</v>
          </cell>
        </row>
        <row r="224">
          <cell r="AE224">
            <v>0</v>
          </cell>
        </row>
        <row r="225">
          <cell r="AE225">
            <v>0</v>
          </cell>
        </row>
        <row r="226">
          <cell r="AE226">
            <v>0</v>
          </cell>
        </row>
        <row r="227">
          <cell r="AE227">
            <v>0</v>
          </cell>
        </row>
        <row r="228">
          <cell r="AE228">
            <v>0</v>
          </cell>
        </row>
        <row r="229">
          <cell r="AE229">
            <v>0</v>
          </cell>
        </row>
        <row r="230">
          <cell r="AE230">
            <v>0</v>
          </cell>
        </row>
        <row r="231">
          <cell r="AE231">
            <v>0</v>
          </cell>
        </row>
        <row r="232">
          <cell r="AE232">
            <v>0</v>
          </cell>
        </row>
        <row r="233">
          <cell r="AE233">
            <v>0</v>
          </cell>
        </row>
        <row r="234">
          <cell r="AE234">
            <v>0</v>
          </cell>
        </row>
        <row r="235">
          <cell r="AE235">
            <v>0</v>
          </cell>
        </row>
        <row r="236">
          <cell r="AE236">
            <v>0</v>
          </cell>
        </row>
        <row r="237">
          <cell r="AE237">
            <v>0</v>
          </cell>
        </row>
        <row r="238">
          <cell r="AE238">
            <v>0</v>
          </cell>
        </row>
        <row r="239">
          <cell r="AE239">
            <v>0</v>
          </cell>
        </row>
        <row r="240">
          <cell r="AE240">
            <v>0</v>
          </cell>
        </row>
        <row r="241">
          <cell r="AE241">
            <v>0</v>
          </cell>
        </row>
        <row r="242">
          <cell r="AE242">
            <v>0</v>
          </cell>
        </row>
        <row r="243">
          <cell r="AE243">
            <v>0</v>
          </cell>
        </row>
        <row r="244">
          <cell r="AE244">
            <v>0</v>
          </cell>
        </row>
        <row r="245">
          <cell r="AE245">
            <v>0</v>
          </cell>
        </row>
        <row r="246">
          <cell r="AE246">
            <v>0</v>
          </cell>
        </row>
        <row r="247">
          <cell r="AE247">
            <v>0</v>
          </cell>
        </row>
        <row r="248">
          <cell r="AE248">
            <v>0</v>
          </cell>
        </row>
        <row r="249">
          <cell r="AE249">
            <v>0</v>
          </cell>
        </row>
        <row r="250">
          <cell r="AE250">
            <v>0</v>
          </cell>
        </row>
        <row r="251">
          <cell r="AE251">
            <v>0</v>
          </cell>
        </row>
        <row r="252">
          <cell r="AE252">
            <v>0</v>
          </cell>
        </row>
        <row r="253">
          <cell r="AE253">
            <v>0</v>
          </cell>
        </row>
        <row r="254">
          <cell r="AE254">
            <v>0</v>
          </cell>
        </row>
        <row r="255">
          <cell r="AE255">
            <v>0</v>
          </cell>
        </row>
        <row r="256">
          <cell r="AE256">
            <v>0</v>
          </cell>
        </row>
        <row r="257">
          <cell r="AE257">
            <v>0</v>
          </cell>
        </row>
        <row r="258">
          <cell r="AE258">
            <v>0</v>
          </cell>
        </row>
        <row r="259">
          <cell r="AE259">
            <v>0</v>
          </cell>
        </row>
        <row r="260">
          <cell r="AE260">
            <v>0</v>
          </cell>
        </row>
        <row r="261">
          <cell r="AE261">
            <v>0</v>
          </cell>
        </row>
        <row r="262">
          <cell r="AE262">
            <v>0</v>
          </cell>
        </row>
        <row r="263">
          <cell r="AE263">
            <v>0</v>
          </cell>
        </row>
        <row r="264">
          <cell r="AE264">
            <v>0</v>
          </cell>
        </row>
        <row r="265">
          <cell r="AE265">
            <v>0</v>
          </cell>
        </row>
        <row r="266">
          <cell r="AE266">
            <v>0</v>
          </cell>
        </row>
        <row r="267">
          <cell r="AE267">
            <v>0</v>
          </cell>
        </row>
        <row r="268">
          <cell r="AE268">
            <v>0</v>
          </cell>
        </row>
        <row r="269">
          <cell r="AE269">
            <v>0</v>
          </cell>
        </row>
        <row r="270">
          <cell r="AE270">
            <v>0</v>
          </cell>
        </row>
        <row r="271">
          <cell r="AE271">
            <v>0</v>
          </cell>
        </row>
        <row r="272">
          <cell r="AE272">
            <v>0</v>
          </cell>
        </row>
        <row r="273">
          <cell r="AE273">
            <v>0</v>
          </cell>
        </row>
        <row r="274">
          <cell r="AE274">
            <v>0</v>
          </cell>
        </row>
        <row r="275">
          <cell r="AE275">
            <v>0</v>
          </cell>
        </row>
        <row r="276">
          <cell r="AE276">
            <v>0</v>
          </cell>
        </row>
        <row r="277">
          <cell r="AE277">
            <v>0</v>
          </cell>
        </row>
        <row r="278">
          <cell r="AE278">
            <v>0</v>
          </cell>
        </row>
        <row r="279">
          <cell r="AE279">
            <v>0</v>
          </cell>
        </row>
        <row r="280">
          <cell r="AE280">
            <v>0</v>
          </cell>
        </row>
        <row r="281">
          <cell r="AE281">
            <v>0</v>
          </cell>
        </row>
        <row r="282">
          <cell r="AE282">
            <v>0</v>
          </cell>
        </row>
        <row r="283">
          <cell r="AE283">
            <v>0</v>
          </cell>
        </row>
        <row r="284">
          <cell r="AE284">
            <v>0</v>
          </cell>
        </row>
        <row r="285">
          <cell r="AE285">
            <v>0</v>
          </cell>
        </row>
        <row r="286">
          <cell r="AE286">
            <v>0</v>
          </cell>
        </row>
        <row r="287">
          <cell r="AE287">
            <v>0</v>
          </cell>
        </row>
        <row r="288">
          <cell r="AE288">
            <v>0</v>
          </cell>
        </row>
        <row r="289">
          <cell r="AE289">
            <v>0</v>
          </cell>
        </row>
        <row r="290">
          <cell r="AE290">
            <v>0</v>
          </cell>
        </row>
        <row r="291">
          <cell r="AE291">
            <v>0</v>
          </cell>
        </row>
        <row r="292">
          <cell r="AE292">
            <v>0</v>
          </cell>
        </row>
        <row r="293">
          <cell r="AE293">
            <v>0</v>
          </cell>
        </row>
        <row r="294">
          <cell r="AE294">
            <v>0</v>
          </cell>
        </row>
        <row r="295">
          <cell r="AE295">
            <v>0</v>
          </cell>
        </row>
        <row r="296">
          <cell r="AE296">
            <v>0</v>
          </cell>
        </row>
        <row r="297">
          <cell r="AE297">
            <v>0</v>
          </cell>
        </row>
        <row r="298">
          <cell r="AE298">
            <v>0</v>
          </cell>
        </row>
        <row r="299">
          <cell r="AE299">
            <v>0</v>
          </cell>
        </row>
        <row r="300">
          <cell r="AE300">
            <v>0</v>
          </cell>
        </row>
        <row r="301">
          <cell r="AE301">
            <v>0</v>
          </cell>
        </row>
        <row r="302">
          <cell r="AE302">
            <v>0</v>
          </cell>
        </row>
        <row r="303">
          <cell r="AE303">
            <v>0</v>
          </cell>
        </row>
        <row r="304">
          <cell r="AE304">
            <v>0</v>
          </cell>
        </row>
        <row r="305">
          <cell r="AE305">
            <v>0</v>
          </cell>
        </row>
        <row r="306">
          <cell r="AE306">
            <v>0</v>
          </cell>
        </row>
        <row r="307">
          <cell r="AE307">
            <v>0</v>
          </cell>
        </row>
        <row r="308">
          <cell r="AE308">
            <v>0</v>
          </cell>
        </row>
        <row r="309">
          <cell r="AE309">
            <v>0</v>
          </cell>
        </row>
        <row r="310">
          <cell r="AE310">
            <v>0</v>
          </cell>
        </row>
        <row r="311">
          <cell r="AE311">
            <v>0</v>
          </cell>
        </row>
        <row r="312">
          <cell r="AE312">
            <v>0</v>
          </cell>
        </row>
        <row r="313">
          <cell r="AE313">
            <v>0</v>
          </cell>
        </row>
        <row r="314">
          <cell r="AE314">
            <v>0</v>
          </cell>
        </row>
        <row r="315">
          <cell r="AE315">
            <v>0</v>
          </cell>
        </row>
        <row r="316">
          <cell r="AE316">
            <v>0</v>
          </cell>
        </row>
        <row r="317">
          <cell r="AE317">
            <v>0</v>
          </cell>
        </row>
        <row r="318">
          <cell r="AE318">
            <v>0</v>
          </cell>
        </row>
        <row r="319">
          <cell r="AE319">
            <v>0</v>
          </cell>
        </row>
        <row r="320">
          <cell r="AE320">
            <v>0</v>
          </cell>
        </row>
        <row r="321">
          <cell r="AE321">
            <v>0</v>
          </cell>
        </row>
        <row r="322">
          <cell r="AE322">
            <v>0</v>
          </cell>
        </row>
        <row r="323">
          <cell r="AE323">
            <v>0</v>
          </cell>
        </row>
        <row r="324">
          <cell r="AE324">
            <v>0</v>
          </cell>
        </row>
        <row r="325">
          <cell r="AE325">
            <v>0</v>
          </cell>
        </row>
        <row r="326">
          <cell r="AE326">
            <v>0</v>
          </cell>
        </row>
        <row r="327">
          <cell r="AE327">
            <v>0</v>
          </cell>
        </row>
        <row r="328">
          <cell r="AE328">
            <v>0</v>
          </cell>
        </row>
        <row r="329">
          <cell r="AE329">
            <v>0</v>
          </cell>
        </row>
        <row r="330">
          <cell r="AE330">
            <v>0</v>
          </cell>
        </row>
        <row r="331">
          <cell r="AE331">
            <v>0</v>
          </cell>
        </row>
        <row r="332">
          <cell r="AE332">
            <v>0</v>
          </cell>
        </row>
        <row r="333">
          <cell r="AE333">
            <v>0</v>
          </cell>
        </row>
        <row r="334">
          <cell r="AE334">
            <v>0</v>
          </cell>
        </row>
        <row r="335">
          <cell r="AE335">
            <v>0</v>
          </cell>
        </row>
        <row r="336">
          <cell r="AE336">
            <v>0</v>
          </cell>
        </row>
        <row r="337">
          <cell r="AE337">
            <v>0</v>
          </cell>
        </row>
        <row r="338">
          <cell r="AE338">
            <v>0</v>
          </cell>
        </row>
        <row r="339">
          <cell r="AE339">
            <v>0</v>
          </cell>
        </row>
        <row r="340">
          <cell r="AE340">
            <v>0</v>
          </cell>
        </row>
        <row r="341">
          <cell r="AE341">
            <v>0</v>
          </cell>
        </row>
        <row r="342">
          <cell r="AE342">
            <v>0</v>
          </cell>
        </row>
        <row r="343">
          <cell r="AE343">
            <v>0</v>
          </cell>
        </row>
        <row r="344">
          <cell r="AE344">
            <v>0</v>
          </cell>
        </row>
        <row r="345">
          <cell r="AE345">
            <v>0</v>
          </cell>
        </row>
        <row r="346">
          <cell r="AE346">
            <v>0</v>
          </cell>
        </row>
        <row r="347">
          <cell r="AE347">
            <v>0</v>
          </cell>
        </row>
        <row r="348">
          <cell r="AE348">
            <v>0</v>
          </cell>
        </row>
        <row r="349">
          <cell r="AE349">
            <v>0</v>
          </cell>
        </row>
        <row r="350">
          <cell r="AE350">
            <v>0</v>
          </cell>
        </row>
        <row r="351">
          <cell r="AE351">
            <v>0</v>
          </cell>
        </row>
        <row r="352">
          <cell r="AE352">
            <v>0</v>
          </cell>
        </row>
        <row r="353">
          <cell r="AE353">
            <v>0</v>
          </cell>
        </row>
        <row r="354">
          <cell r="AE354">
            <v>0</v>
          </cell>
        </row>
        <row r="355">
          <cell r="AE355">
            <v>0</v>
          </cell>
        </row>
        <row r="356">
          <cell r="AE356">
            <v>0</v>
          </cell>
        </row>
        <row r="357">
          <cell r="AE357">
            <v>0</v>
          </cell>
        </row>
        <row r="358">
          <cell r="AE358">
            <v>0</v>
          </cell>
        </row>
        <row r="359">
          <cell r="AE359">
            <v>0</v>
          </cell>
        </row>
        <row r="360">
          <cell r="AE360">
            <v>0</v>
          </cell>
        </row>
        <row r="361">
          <cell r="AE361">
            <v>0</v>
          </cell>
        </row>
        <row r="362">
          <cell r="AE362">
            <v>0</v>
          </cell>
        </row>
        <row r="363">
          <cell r="AE363">
            <v>0</v>
          </cell>
        </row>
        <row r="364">
          <cell r="AE364">
            <v>0</v>
          </cell>
        </row>
        <row r="365">
          <cell r="AE365">
            <v>0</v>
          </cell>
        </row>
        <row r="366">
          <cell r="AE366">
            <v>0</v>
          </cell>
        </row>
        <row r="367">
          <cell r="AE367">
            <v>0</v>
          </cell>
        </row>
        <row r="368">
          <cell r="AE368">
            <v>0</v>
          </cell>
        </row>
        <row r="369">
          <cell r="AE369">
            <v>0</v>
          </cell>
        </row>
        <row r="370">
          <cell r="AE370">
            <v>0</v>
          </cell>
        </row>
        <row r="371">
          <cell r="AE371">
            <v>0</v>
          </cell>
        </row>
        <row r="372">
          <cell r="AE372">
            <v>0</v>
          </cell>
        </row>
        <row r="373">
          <cell r="AE373">
            <v>0</v>
          </cell>
        </row>
        <row r="374">
          <cell r="AE374">
            <v>0</v>
          </cell>
        </row>
        <row r="375">
          <cell r="AE375">
            <v>0</v>
          </cell>
        </row>
        <row r="376">
          <cell r="AE376">
            <v>0</v>
          </cell>
        </row>
        <row r="377">
          <cell r="AE377">
            <v>0</v>
          </cell>
        </row>
        <row r="378">
          <cell r="AE378">
            <v>0</v>
          </cell>
        </row>
        <row r="379">
          <cell r="AE379">
            <v>0</v>
          </cell>
        </row>
        <row r="380">
          <cell r="AE380">
            <v>0</v>
          </cell>
        </row>
        <row r="381">
          <cell r="AE381">
            <v>0</v>
          </cell>
        </row>
        <row r="382">
          <cell r="AE382">
            <v>0</v>
          </cell>
        </row>
        <row r="383">
          <cell r="AE383">
            <v>0</v>
          </cell>
        </row>
        <row r="384">
          <cell r="AE384">
            <v>0</v>
          </cell>
        </row>
        <row r="385">
          <cell r="AE385">
            <v>0</v>
          </cell>
        </row>
        <row r="386">
          <cell r="AE386">
            <v>0</v>
          </cell>
        </row>
        <row r="387">
          <cell r="AE387">
            <v>0</v>
          </cell>
        </row>
        <row r="388">
          <cell r="AE388">
            <v>0</v>
          </cell>
        </row>
        <row r="389">
          <cell r="AE389">
            <v>0</v>
          </cell>
        </row>
        <row r="390">
          <cell r="AE390">
            <v>0</v>
          </cell>
        </row>
        <row r="391">
          <cell r="AE391">
            <v>0</v>
          </cell>
        </row>
        <row r="392">
          <cell r="AE392">
            <v>0</v>
          </cell>
        </row>
        <row r="393">
          <cell r="AE393">
            <v>0</v>
          </cell>
        </row>
        <row r="394">
          <cell r="AE394">
            <v>0</v>
          </cell>
        </row>
        <row r="395">
          <cell r="AE395">
            <v>0</v>
          </cell>
        </row>
        <row r="396">
          <cell r="AE396">
            <v>0</v>
          </cell>
        </row>
        <row r="397">
          <cell r="AE397">
            <v>0</v>
          </cell>
        </row>
        <row r="398">
          <cell r="AE398">
            <v>0</v>
          </cell>
        </row>
        <row r="399">
          <cell r="AE399">
            <v>0</v>
          </cell>
        </row>
        <row r="400">
          <cell r="AE400">
            <v>0</v>
          </cell>
        </row>
        <row r="401">
          <cell r="AE401">
            <v>0</v>
          </cell>
        </row>
        <row r="402">
          <cell r="AE402">
            <v>0</v>
          </cell>
        </row>
        <row r="403">
          <cell r="AE403">
            <v>0</v>
          </cell>
        </row>
        <row r="404">
          <cell r="AE404">
            <v>0</v>
          </cell>
        </row>
        <row r="405">
          <cell r="AE405">
            <v>0</v>
          </cell>
        </row>
        <row r="406">
          <cell r="AE406">
            <v>0</v>
          </cell>
        </row>
        <row r="407">
          <cell r="AE407">
            <v>0</v>
          </cell>
        </row>
        <row r="408">
          <cell r="AE408">
            <v>0</v>
          </cell>
        </row>
        <row r="409">
          <cell r="AE409">
            <v>0</v>
          </cell>
        </row>
        <row r="410">
          <cell r="AE410">
            <v>0</v>
          </cell>
        </row>
        <row r="411">
          <cell r="AE411">
            <v>0</v>
          </cell>
        </row>
        <row r="412">
          <cell r="AE412">
            <v>0</v>
          </cell>
        </row>
        <row r="413">
          <cell r="AE413">
            <v>0</v>
          </cell>
        </row>
        <row r="414">
          <cell r="AE414">
            <v>0</v>
          </cell>
        </row>
        <row r="415">
          <cell r="AE415">
            <v>0</v>
          </cell>
        </row>
        <row r="416">
          <cell r="AE416">
            <v>0</v>
          </cell>
        </row>
        <row r="417">
          <cell r="AE417">
            <v>0</v>
          </cell>
        </row>
        <row r="418">
          <cell r="AE418">
            <v>0</v>
          </cell>
        </row>
        <row r="419">
          <cell r="AE419">
            <v>0</v>
          </cell>
        </row>
        <row r="420">
          <cell r="AE420">
            <v>0</v>
          </cell>
        </row>
        <row r="421">
          <cell r="AE421">
            <v>0</v>
          </cell>
        </row>
        <row r="422">
          <cell r="AE422">
            <v>0</v>
          </cell>
        </row>
        <row r="423">
          <cell r="AE423">
            <v>0</v>
          </cell>
        </row>
        <row r="424">
          <cell r="AE424">
            <v>0</v>
          </cell>
        </row>
        <row r="425">
          <cell r="AE425">
            <v>0</v>
          </cell>
        </row>
        <row r="426">
          <cell r="AE426">
            <v>0</v>
          </cell>
        </row>
        <row r="427">
          <cell r="AE427">
            <v>0</v>
          </cell>
        </row>
        <row r="428">
          <cell r="AE428">
            <v>0</v>
          </cell>
        </row>
        <row r="429">
          <cell r="AE429">
            <v>0</v>
          </cell>
        </row>
        <row r="430">
          <cell r="AE430">
            <v>0</v>
          </cell>
        </row>
        <row r="431">
          <cell r="AE431">
            <v>0</v>
          </cell>
        </row>
        <row r="432">
          <cell r="AE432">
            <v>0</v>
          </cell>
        </row>
        <row r="433">
          <cell r="AE433">
            <v>0</v>
          </cell>
        </row>
        <row r="434">
          <cell r="AE434">
            <v>0</v>
          </cell>
        </row>
        <row r="435">
          <cell r="AE435">
            <v>0</v>
          </cell>
        </row>
        <row r="436">
          <cell r="AE436">
            <v>0</v>
          </cell>
        </row>
        <row r="437">
          <cell r="AE437">
            <v>0</v>
          </cell>
        </row>
        <row r="438">
          <cell r="AE438">
            <v>0</v>
          </cell>
        </row>
        <row r="439">
          <cell r="AE439">
            <v>0</v>
          </cell>
        </row>
        <row r="440">
          <cell r="AE440">
            <v>0</v>
          </cell>
        </row>
        <row r="441">
          <cell r="AE441">
            <v>0</v>
          </cell>
        </row>
        <row r="442">
          <cell r="AE442">
            <v>0</v>
          </cell>
        </row>
        <row r="443">
          <cell r="AE443">
            <v>0</v>
          </cell>
        </row>
        <row r="444">
          <cell r="AE444">
            <v>0</v>
          </cell>
        </row>
        <row r="445">
          <cell r="AE445">
            <v>0</v>
          </cell>
        </row>
        <row r="446">
          <cell r="AE446">
            <v>0</v>
          </cell>
        </row>
        <row r="447">
          <cell r="AE447">
            <v>0</v>
          </cell>
        </row>
        <row r="448">
          <cell r="AE448">
            <v>0</v>
          </cell>
        </row>
        <row r="449">
          <cell r="AE449">
            <v>0</v>
          </cell>
        </row>
        <row r="450">
          <cell r="AE450">
            <v>0</v>
          </cell>
        </row>
        <row r="451">
          <cell r="AE451">
            <v>0</v>
          </cell>
        </row>
        <row r="452">
          <cell r="AE452">
            <v>0</v>
          </cell>
        </row>
        <row r="453">
          <cell r="AE453">
            <v>0</v>
          </cell>
        </row>
        <row r="454">
          <cell r="AE454">
            <v>0</v>
          </cell>
        </row>
        <row r="455">
          <cell r="AE455">
            <v>0</v>
          </cell>
        </row>
        <row r="456">
          <cell r="AE456">
            <v>0</v>
          </cell>
        </row>
        <row r="457">
          <cell r="AE457">
            <v>0</v>
          </cell>
        </row>
        <row r="458">
          <cell r="AE458">
            <v>0</v>
          </cell>
        </row>
        <row r="459">
          <cell r="AE459">
            <v>0</v>
          </cell>
        </row>
        <row r="460">
          <cell r="AE460">
            <v>0</v>
          </cell>
        </row>
        <row r="461">
          <cell r="AE461">
            <v>0</v>
          </cell>
        </row>
        <row r="462">
          <cell r="AE462">
            <v>0</v>
          </cell>
        </row>
        <row r="463">
          <cell r="AE463">
            <v>0</v>
          </cell>
        </row>
        <row r="464">
          <cell r="AE464">
            <v>0</v>
          </cell>
        </row>
        <row r="465">
          <cell r="AE465">
            <v>0</v>
          </cell>
        </row>
        <row r="466">
          <cell r="AE466">
            <v>0</v>
          </cell>
        </row>
        <row r="467">
          <cell r="AE467">
            <v>0</v>
          </cell>
        </row>
        <row r="468">
          <cell r="AE468">
            <v>0</v>
          </cell>
        </row>
        <row r="469">
          <cell r="AE469">
            <v>0</v>
          </cell>
        </row>
        <row r="470">
          <cell r="AE470">
            <v>0</v>
          </cell>
        </row>
        <row r="471">
          <cell r="AE471">
            <v>0</v>
          </cell>
        </row>
        <row r="472">
          <cell r="AE472">
            <v>0</v>
          </cell>
        </row>
        <row r="473">
          <cell r="AE473">
            <v>0</v>
          </cell>
        </row>
        <row r="474">
          <cell r="AE474">
            <v>0</v>
          </cell>
        </row>
        <row r="475">
          <cell r="AE475">
            <v>0</v>
          </cell>
        </row>
        <row r="476">
          <cell r="AE476">
            <v>0</v>
          </cell>
        </row>
        <row r="477">
          <cell r="AE477">
            <v>0</v>
          </cell>
        </row>
        <row r="478">
          <cell r="AE478">
            <v>0</v>
          </cell>
        </row>
        <row r="479">
          <cell r="AE479">
            <v>0</v>
          </cell>
        </row>
        <row r="480">
          <cell r="AE480">
            <v>0</v>
          </cell>
        </row>
        <row r="481">
          <cell r="AE481">
            <v>0</v>
          </cell>
        </row>
        <row r="482">
          <cell r="AE482">
            <v>0</v>
          </cell>
        </row>
        <row r="483">
          <cell r="AE483">
            <v>0</v>
          </cell>
        </row>
        <row r="484">
          <cell r="AE484">
            <v>0</v>
          </cell>
        </row>
        <row r="485">
          <cell r="AE485">
            <v>0</v>
          </cell>
        </row>
        <row r="486">
          <cell r="AE486">
            <v>0</v>
          </cell>
        </row>
        <row r="487">
          <cell r="AE487">
            <v>0</v>
          </cell>
        </row>
        <row r="488">
          <cell r="AE488">
            <v>0</v>
          </cell>
        </row>
        <row r="489">
          <cell r="AE489">
            <v>0</v>
          </cell>
        </row>
        <row r="490">
          <cell r="AE490">
            <v>0</v>
          </cell>
        </row>
        <row r="491">
          <cell r="AE491">
            <v>0</v>
          </cell>
        </row>
        <row r="492">
          <cell r="AE492">
            <v>0</v>
          </cell>
        </row>
        <row r="493">
          <cell r="AE493">
            <v>0</v>
          </cell>
        </row>
        <row r="494">
          <cell r="AE494">
            <v>0</v>
          </cell>
        </row>
        <row r="495">
          <cell r="AE495">
            <v>0</v>
          </cell>
        </row>
        <row r="496">
          <cell r="AE496">
            <v>0</v>
          </cell>
        </row>
        <row r="497">
          <cell r="AE497">
            <v>0</v>
          </cell>
        </row>
        <row r="498">
          <cell r="AE498">
            <v>0</v>
          </cell>
        </row>
        <row r="499">
          <cell r="AE499">
            <v>0</v>
          </cell>
        </row>
        <row r="500">
          <cell r="AE500">
            <v>0</v>
          </cell>
        </row>
        <row r="501">
          <cell r="AE501">
            <v>0</v>
          </cell>
        </row>
        <row r="502">
          <cell r="AE502">
            <v>0</v>
          </cell>
        </row>
        <row r="503">
          <cell r="AE503">
            <v>0</v>
          </cell>
        </row>
        <row r="504">
          <cell r="AE504">
            <v>0</v>
          </cell>
        </row>
        <row r="505">
          <cell r="AE505">
            <v>0</v>
          </cell>
        </row>
        <row r="506">
          <cell r="AE506">
            <v>0</v>
          </cell>
        </row>
        <row r="507">
          <cell r="AE507">
            <v>0</v>
          </cell>
        </row>
        <row r="508">
          <cell r="AE508">
            <v>0</v>
          </cell>
        </row>
        <row r="509">
          <cell r="AE509">
            <v>0</v>
          </cell>
        </row>
        <row r="510">
          <cell r="AE510">
            <v>0</v>
          </cell>
        </row>
        <row r="511">
          <cell r="AE511">
            <v>0</v>
          </cell>
        </row>
        <row r="512">
          <cell r="AE512">
            <v>0</v>
          </cell>
        </row>
        <row r="513">
          <cell r="AE513">
            <v>0</v>
          </cell>
        </row>
        <row r="514">
          <cell r="AE514">
            <v>0</v>
          </cell>
        </row>
        <row r="515">
          <cell r="AE515">
            <v>0</v>
          </cell>
        </row>
        <row r="516">
          <cell r="AE516">
            <v>0</v>
          </cell>
        </row>
        <row r="517">
          <cell r="AE517">
            <v>0</v>
          </cell>
        </row>
        <row r="518">
          <cell r="AE518">
            <v>0</v>
          </cell>
        </row>
        <row r="519">
          <cell r="AE519">
            <v>0</v>
          </cell>
        </row>
        <row r="520">
          <cell r="AE520">
            <v>0</v>
          </cell>
        </row>
        <row r="521">
          <cell r="AE521">
            <v>0</v>
          </cell>
        </row>
        <row r="522">
          <cell r="AE522">
            <v>0</v>
          </cell>
        </row>
        <row r="523">
          <cell r="AE523">
            <v>0</v>
          </cell>
        </row>
        <row r="524">
          <cell r="AE524">
            <v>0</v>
          </cell>
        </row>
        <row r="525">
          <cell r="AE525">
            <v>0</v>
          </cell>
        </row>
        <row r="526">
          <cell r="AE526">
            <v>0</v>
          </cell>
        </row>
        <row r="527">
          <cell r="AE527">
            <v>0</v>
          </cell>
        </row>
        <row r="528">
          <cell r="AE528">
            <v>0</v>
          </cell>
        </row>
        <row r="529">
          <cell r="AE529">
            <v>0</v>
          </cell>
        </row>
        <row r="530">
          <cell r="AE530">
            <v>0</v>
          </cell>
        </row>
        <row r="531">
          <cell r="AE531">
            <v>0</v>
          </cell>
        </row>
        <row r="532">
          <cell r="AE532">
            <v>0</v>
          </cell>
        </row>
        <row r="533">
          <cell r="AE533">
            <v>0</v>
          </cell>
        </row>
        <row r="534">
          <cell r="AE534">
            <v>0</v>
          </cell>
        </row>
        <row r="535">
          <cell r="AE535">
            <v>0</v>
          </cell>
        </row>
        <row r="536">
          <cell r="AE536">
            <v>0</v>
          </cell>
        </row>
        <row r="537">
          <cell r="AE537">
            <v>0</v>
          </cell>
        </row>
        <row r="538">
          <cell r="AE538">
            <v>0</v>
          </cell>
        </row>
        <row r="539">
          <cell r="AE539">
            <v>0</v>
          </cell>
        </row>
        <row r="540">
          <cell r="AE540">
            <v>0</v>
          </cell>
        </row>
        <row r="541">
          <cell r="AE541">
            <v>0</v>
          </cell>
        </row>
        <row r="542">
          <cell r="AE542">
            <v>0</v>
          </cell>
        </row>
        <row r="543">
          <cell r="AE543">
            <v>0</v>
          </cell>
        </row>
        <row r="544">
          <cell r="AE544">
            <v>0</v>
          </cell>
        </row>
        <row r="545">
          <cell r="AE545">
            <v>0</v>
          </cell>
        </row>
        <row r="546">
          <cell r="AE546">
            <v>0</v>
          </cell>
        </row>
        <row r="547">
          <cell r="AE547">
            <v>0</v>
          </cell>
        </row>
        <row r="548">
          <cell r="AE548">
            <v>0</v>
          </cell>
        </row>
        <row r="549">
          <cell r="AE549">
            <v>0</v>
          </cell>
        </row>
        <row r="550">
          <cell r="AE550">
            <v>0</v>
          </cell>
        </row>
        <row r="551">
          <cell r="AE551">
            <v>0</v>
          </cell>
        </row>
        <row r="552">
          <cell r="AE552">
            <v>0</v>
          </cell>
        </row>
        <row r="553">
          <cell r="AE553">
            <v>0</v>
          </cell>
        </row>
        <row r="554">
          <cell r="AE554">
            <v>0</v>
          </cell>
        </row>
        <row r="555">
          <cell r="AE555">
            <v>0</v>
          </cell>
        </row>
        <row r="556">
          <cell r="AE556">
            <v>0</v>
          </cell>
        </row>
        <row r="557">
          <cell r="AE557">
            <v>0</v>
          </cell>
        </row>
        <row r="558">
          <cell r="AE558">
            <v>0</v>
          </cell>
        </row>
        <row r="559">
          <cell r="AE559">
            <v>0</v>
          </cell>
        </row>
        <row r="560">
          <cell r="AE560">
            <v>0</v>
          </cell>
        </row>
        <row r="561">
          <cell r="AE561">
            <v>0</v>
          </cell>
        </row>
        <row r="562">
          <cell r="AE562">
            <v>0</v>
          </cell>
        </row>
        <row r="563">
          <cell r="AE563">
            <v>0</v>
          </cell>
        </row>
        <row r="564">
          <cell r="AE564">
            <v>0</v>
          </cell>
        </row>
        <row r="565">
          <cell r="AE565">
            <v>0</v>
          </cell>
        </row>
        <row r="566">
          <cell r="AE566">
            <v>0</v>
          </cell>
        </row>
        <row r="567">
          <cell r="AE567">
            <v>0</v>
          </cell>
        </row>
        <row r="568">
          <cell r="AE568">
            <v>0</v>
          </cell>
        </row>
        <row r="569">
          <cell r="AE569">
            <v>0</v>
          </cell>
        </row>
        <row r="570">
          <cell r="AE570">
            <v>0</v>
          </cell>
        </row>
        <row r="571">
          <cell r="AE571">
            <v>0</v>
          </cell>
        </row>
        <row r="572">
          <cell r="AE572">
            <v>0</v>
          </cell>
        </row>
        <row r="573">
          <cell r="AE573">
            <v>0</v>
          </cell>
        </row>
        <row r="574">
          <cell r="AE574">
            <v>0</v>
          </cell>
        </row>
        <row r="575">
          <cell r="AE575">
            <v>0</v>
          </cell>
        </row>
        <row r="576">
          <cell r="AE576">
            <v>0</v>
          </cell>
        </row>
        <row r="577">
          <cell r="AE577">
            <v>0</v>
          </cell>
        </row>
        <row r="578">
          <cell r="AE578">
            <v>0</v>
          </cell>
        </row>
        <row r="579">
          <cell r="AE579">
            <v>0</v>
          </cell>
        </row>
        <row r="580">
          <cell r="AE580">
            <v>0</v>
          </cell>
        </row>
        <row r="581">
          <cell r="AE581">
            <v>0</v>
          </cell>
        </row>
      </sheetData>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uploads/system/uploads/attachment_data/file/534106/2016_KS2_scaled_scores.pdf" TargetMode="External"/><Relationship Id="rId7" Type="http://schemas.openxmlformats.org/officeDocument/2006/relationships/drawing" Target="../drawings/drawing1.xml"/><Relationship Id="rId2" Type="http://schemas.openxmlformats.org/officeDocument/2006/relationships/hyperlink" Target="https://www.gov.uk/government/uploads/system/uploads/attachment_data/file/534106/2016_KS2_scaled_scores.pdf" TargetMode="External"/><Relationship Id="rId1" Type="http://schemas.openxmlformats.org/officeDocument/2006/relationships/printerSettings" Target="../printerSettings/printerSettings1.bin"/><Relationship Id="rId6" Type="http://schemas.openxmlformats.org/officeDocument/2006/relationships/printerSettings" Target="../printerSettings/printerSettings2.bin"/><Relationship Id="rId5" Type="http://schemas.openxmlformats.org/officeDocument/2006/relationships/hyperlink" Target="https://www.gov.uk/government/publications/primary-school-accountability" TargetMode="External"/><Relationship Id="rId4" Type="http://schemas.openxmlformats.org/officeDocument/2006/relationships/hyperlink" Target="https://www.gov.uk/government/publications/2019-scaled-scores-at-key-stage-2"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gov.uk/guidance/key-stage-2-tests-applying-special-consideration-to-results" TargetMode="Externa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7"/>
    <pageSetUpPr fitToPage="1"/>
  </sheetPr>
  <dimension ref="B1:CV99"/>
  <sheetViews>
    <sheetView showGridLines="0" showRowColHeaders="0" tabSelected="1" zoomScale="95" zoomScaleNormal="95" workbookViewId="0">
      <selection activeCell="P32" sqref="P32:Q36"/>
    </sheetView>
  </sheetViews>
  <sheetFormatPr defaultColWidth="9.1328125" defaultRowHeight="12.75" x14ac:dyDescent="0.35"/>
  <cols>
    <col min="1" max="1" width="2.1328125" style="88" customWidth="1"/>
    <col min="2" max="2" width="10.1328125" style="88" customWidth="1"/>
    <col min="3" max="3" width="10.1328125" style="88" bestFit="1" customWidth="1"/>
    <col min="4" max="16" width="9.1328125" style="88"/>
    <col min="17" max="17" width="12.86328125" style="88" customWidth="1"/>
    <col min="18" max="19" width="13.73046875" style="88" customWidth="1"/>
    <col min="20" max="20" width="11.1328125" style="88" customWidth="1"/>
    <col min="21" max="16384" width="9.1328125" style="88"/>
  </cols>
  <sheetData>
    <row r="1" spans="2:100" ht="6" customHeight="1" x14ac:dyDescent="0.35"/>
    <row r="2" spans="2:100" ht="17.649999999999999" x14ac:dyDescent="0.5">
      <c r="B2" s="145" t="s">
        <v>40</v>
      </c>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c r="BS2" s="259"/>
      <c r="BT2" s="259"/>
      <c r="BU2" s="259"/>
      <c r="BV2" s="259"/>
      <c r="BW2" s="259"/>
      <c r="BX2" s="259"/>
      <c r="BY2" s="259"/>
      <c r="BZ2" s="259"/>
      <c r="CA2" s="259"/>
      <c r="CB2" s="259"/>
      <c r="CC2" s="259"/>
      <c r="CD2" s="259"/>
      <c r="CE2" s="259"/>
      <c r="CF2" s="259"/>
      <c r="CG2" s="259"/>
      <c r="CH2" s="259"/>
      <c r="CI2" s="259"/>
      <c r="CJ2" s="259"/>
      <c r="CK2" s="259"/>
      <c r="CL2" s="259"/>
      <c r="CM2" s="259"/>
      <c r="CN2" s="259"/>
      <c r="CO2" s="259"/>
      <c r="CP2" s="259"/>
      <c r="CQ2" s="259"/>
      <c r="CR2" s="259"/>
      <c r="CS2" s="259"/>
      <c r="CT2" s="259"/>
      <c r="CU2" s="259"/>
      <c r="CV2" s="259"/>
    </row>
    <row r="3" spans="2:100" ht="9.75" customHeight="1" x14ac:dyDescent="0.35">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row>
    <row r="4" spans="2:100" ht="15" x14ac:dyDescent="0.4">
      <c r="B4" s="146" t="s">
        <v>273</v>
      </c>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row>
    <row r="5" spans="2:100" ht="15" x14ac:dyDescent="0.4">
      <c r="B5" s="147"/>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row>
    <row r="6" spans="2:100" ht="15" x14ac:dyDescent="0.4">
      <c r="B6" s="148" t="s">
        <v>155</v>
      </c>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9"/>
      <c r="BA6" s="259"/>
      <c r="BB6" s="259"/>
      <c r="BC6" s="259"/>
      <c r="BD6" s="259"/>
      <c r="BE6" s="259"/>
      <c r="BF6" s="259"/>
      <c r="BG6" s="259"/>
      <c r="BH6" s="259"/>
      <c r="BI6" s="259"/>
      <c r="BJ6" s="259"/>
      <c r="BK6" s="259"/>
      <c r="BL6" s="259"/>
      <c r="BM6" s="259"/>
      <c r="BN6" s="259"/>
      <c r="BO6" s="259"/>
      <c r="BP6" s="259"/>
      <c r="BQ6" s="259"/>
      <c r="BR6" s="259"/>
      <c r="BS6" s="259"/>
      <c r="BT6" s="259"/>
      <c r="BU6" s="259"/>
      <c r="BV6" s="259"/>
      <c r="BW6" s="259"/>
      <c r="BX6" s="259"/>
      <c r="BY6" s="259"/>
      <c r="BZ6" s="259"/>
      <c r="CA6" s="259"/>
      <c r="CB6" s="259"/>
      <c r="CC6" s="259"/>
      <c r="CD6" s="259"/>
      <c r="CE6" s="259"/>
      <c r="CF6" s="259"/>
      <c r="CG6" s="259"/>
      <c r="CH6" s="259"/>
      <c r="CI6" s="259"/>
      <c r="CJ6" s="259"/>
      <c r="CK6" s="259"/>
      <c r="CL6" s="259"/>
      <c r="CM6" s="259"/>
      <c r="CN6" s="259"/>
      <c r="CO6" s="259"/>
      <c r="CP6" s="259"/>
      <c r="CQ6" s="259"/>
      <c r="CR6" s="259"/>
      <c r="CS6" s="259"/>
      <c r="CT6" s="259"/>
      <c r="CU6" s="259"/>
      <c r="CV6" s="259"/>
    </row>
    <row r="7" spans="2:100" ht="17.25" customHeight="1" x14ac:dyDescent="0.4">
      <c r="B7" s="148" t="s">
        <v>156</v>
      </c>
      <c r="H7" s="14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59"/>
      <c r="AY7" s="259"/>
      <c r="AZ7" s="259"/>
      <c r="BA7" s="259"/>
      <c r="BB7" s="259"/>
      <c r="BC7" s="259"/>
      <c r="BD7" s="259"/>
      <c r="BE7" s="259"/>
      <c r="BF7" s="259"/>
      <c r="BG7" s="259"/>
      <c r="BH7" s="259"/>
      <c r="BI7" s="259"/>
      <c r="BJ7" s="259"/>
      <c r="BK7" s="259"/>
      <c r="BL7" s="259"/>
      <c r="BM7" s="259"/>
      <c r="BN7" s="259"/>
      <c r="BO7" s="259"/>
      <c r="BP7" s="259"/>
      <c r="BQ7" s="259"/>
      <c r="BR7" s="259"/>
      <c r="BS7" s="259"/>
      <c r="BT7" s="259"/>
      <c r="BU7" s="259"/>
      <c r="BV7" s="259"/>
      <c r="BW7" s="259"/>
      <c r="BX7" s="259"/>
      <c r="BY7" s="259"/>
      <c r="BZ7" s="259"/>
      <c r="CA7" s="259"/>
      <c r="CB7" s="259"/>
      <c r="CC7" s="259"/>
      <c r="CD7" s="259"/>
      <c r="CE7" s="259"/>
      <c r="CF7" s="259"/>
      <c r="CG7" s="259"/>
      <c r="CH7" s="259"/>
      <c r="CI7" s="259"/>
      <c r="CJ7" s="259"/>
      <c r="CK7" s="259"/>
      <c r="CL7" s="259"/>
      <c r="CM7" s="259"/>
      <c r="CN7" s="259"/>
      <c r="CO7" s="259"/>
      <c r="CP7" s="259"/>
      <c r="CQ7" s="259"/>
      <c r="CR7" s="259"/>
      <c r="CS7" s="259"/>
      <c r="CT7" s="259"/>
      <c r="CU7" s="259"/>
      <c r="CV7" s="259"/>
    </row>
    <row r="8" spans="2:100" ht="15" x14ac:dyDescent="0.4">
      <c r="B8" s="148" t="s">
        <v>157</v>
      </c>
      <c r="K8" s="148"/>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59"/>
      <c r="CP8" s="259"/>
      <c r="CQ8" s="259"/>
      <c r="CR8" s="259"/>
      <c r="CS8" s="259"/>
      <c r="CT8" s="259"/>
      <c r="CU8" s="259"/>
      <c r="CV8" s="259"/>
    </row>
    <row r="9" spans="2:100" ht="15" x14ac:dyDescent="0.4">
      <c r="B9" s="148"/>
      <c r="K9" s="148"/>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59"/>
      <c r="AX9" s="259"/>
      <c r="AY9" s="259"/>
      <c r="AZ9" s="259"/>
      <c r="BA9" s="259"/>
      <c r="BB9" s="259"/>
      <c r="BC9" s="259"/>
      <c r="BD9" s="259"/>
      <c r="BE9" s="259"/>
      <c r="BF9" s="259"/>
      <c r="BG9" s="259"/>
      <c r="BH9" s="259"/>
      <c r="BI9" s="259"/>
      <c r="BJ9" s="259"/>
      <c r="BK9" s="259"/>
      <c r="BL9" s="259"/>
      <c r="BM9" s="259"/>
      <c r="BN9" s="259"/>
      <c r="BO9" s="259"/>
      <c r="BP9" s="259"/>
      <c r="BQ9" s="259"/>
      <c r="BR9" s="259"/>
      <c r="BS9" s="259"/>
      <c r="BT9" s="259"/>
      <c r="BU9" s="259"/>
      <c r="BV9" s="259"/>
      <c r="BW9" s="259"/>
      <c r="BX9" s="259"/>
      <c r="BY9" s="259"/>
      <c r="BZ9" s="259"/>
      <c r="CA9" s="259"/>
      <c r="CB9" s="259"/>
      <c r="CC9" s="259"/>
      <c r="CD9" s="259"/>
      <c r="CE9" s="259"/>
      <c r="CF9" s="259"/>
      <c r="CG9" s="259"/>
      <c r="CH9" s="259"/>
      <c r="CI9" s="259"/>
      <c r="CJ9" s="259"/>
      <c r="CK9" s="259"/>
      <c r="CL9" s="259"/>
      <c r="CM9" s="259"/>
      <c r="CN9" s="259"/>
      <c r="CO9" s="259"/>
      <c r="CP9" s="259"/>
      <c r="CQ9" s="259"/>
      <c r="CR9" s="259"/>
      <c r="CS9" s="259"/>
      <c r="CT9" s="259"/>
      <c r="CU9" s="259"/>
      <c r="CV9" s="259"/>
    </row>
    <row r="10" spans="2:100" ht="15" x14ac:dyDescent="0.4">
      <c r="B10" s="146" t="s">
        <v>321</v>
      </c>
      <c r="K10" s="148"/>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c r="AS10" s="259"/>
      <c r="AT10" s="259"/>
      <c r="AU10" s="259"/>
      <c r="AV10" s="259"/>
      <c r="AW10" s="259"/>
      <c r="AX10" s="259"/>
      <c r="AY10" s="259"/>
      <c r="AZ10" s="259"/>
      <c r="BA10" s="259"/>
      <c r="BB10" s="259"/>
      <c r="BC10" s="259"/>
      <c r="BD10" s="259"/>
      <c r="BE10" s="259"/>
      <c r="BF10" s="259"/>
      <c r="BG10" s="259"/>
      <c r="BH10" s="259"/>
      <c r="BI10" s="259"/>
      <c r="BJ10" s="259"/>
      <c r="BK10" s="259"/>
      <c r="BL10" s="259"/>
      <c r="BM10" s="259"/>
      <c r="BN10" s="259"/>
      <c r="BO10" s="259"/>
      <c r="BP10" s="259"/>
      <c r="BQ10" s="259"/>
      <c r="BR10" s="259"/>
      <c r="BS10" s="259"/>
      <c r="BT10" s="259"/>
      <c r="BU10" s="259"/>
      <c r="BV10" s="259"/>
      <c r="BW10" s="259"/>
      <c r="BX10" s="259"/>
      <c r="BY10" s="259"/>
      <c r="BZ10" s="259"/>
      <c r="CA10" s="259"/>
      <c r="CB10" s="259"/>
      <c r="CC10" s="259"/>
      <c r="CD10" s="259"/>
      <c r="CE10" s="259"/>
      <c r="CF10" s="259"/>
      <c r="CG10" s="259"/>
      <c r="CH10" s="259"/>
      <c r="CI10" s="259"/>
      <c r="CJ10" s="259"/>
      <c r="CK10" s="259"/>
      <c r="CL10" s="259"/>
      <c r="CM10" s="259"/>
      <c r="CN10" s="259"/>
      <c r="CO10" s="259"/>
      <c r="CP10" s="259"/>
      <c r="CQ10" s="259"/>
      <c r="CR10" s="259"/>
      <c r="CS10" s="259"/>
      <c r="CT10" s="259"/>
      <c r="CU10" s="259"/>
      <c r="CV10" s="259"/>
    </row>
    <row r="11" spans="2:100" ht="15.75" customHeight="1" x14ac:dyDescent="0.4">
      <c r="B11" s="146" t="s">
        <v>212</v>
      </c>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59"/>
      <c r="AV11" s="259"/>
      <c r="AW11" s="259"/>
      <c r="AX11" s="259"/>
      <c r="AY11" s="259"/>
      <c r="AZ11" s="259"/>
      <c r="BA11" s="259"/>
      <c r="BB11" s="259"/>
      <c r="BC11" s="259"/>
      <c r="BD11" s="259"/>
      <c r="BE11" s="259"/>
      <c r="BF11" s="259"/>
      <c r="BG11" s="259"/>
      <c r="BH11" s="259"/>
      <c r="BI11" s="259"/>
      <c r="BJ11" s="259"/>
      <c r="BK11" s="259"/>
      <c r="BL11" s="259"/>
      <c r="BM11" s="259"/>
      <c r="BN11" s="259"/>
      <c r="BO11" s="259"/>
      <c r="BP11" s="259"/>
      <c r="BQ11" s="259"/>
      <c r="BR11" s="259"/>
      <c r="BS11" s="259"/>
      <c r="BT11" s="259"/>
      <c r="BU11" s="259"/>
      <c r="BV11" s="259"/>
      <c r="BW11" s="259"/>
      <c r="BX11" s="259"/>
      <c r="BY11" s="259"/>
      <c r="BZ11" s="259"/>
      <c r="CA11" s="259"/>
      <c r="CB11" s="259"/>
      <c r="CC11" s="259"/>
      <c r="CD11" s="259"/>
      <c r="CE11" s="259"/>
      <c r="CF11" s="259"/>
      <c r="CG11" s="259"/>
      <c r="CH11" s="259"/>
      <c r="CI11" s="259"/>
      <c r="CJ11" s="259"/>
      <c r="CK11" s="259"/>
      <c r="CL11" s="259"/>
      <c r="CM11" s="259"/>
      <c r="CN11" s="259"/>
      <c r="CO11" s="259"/>
      <c r="CP11" s="259"/>
      <c r="CQ11" s="259"/>
      <c r="CR11" s="259"/>
      <c r="CS11" s="259"/>
      <c r="CT11" s="259"/>
      <c r="CU11" s="259"/>
      <c r="CV11" s="259"/>
    </row>
    <row r="12" spans="2:100" ht="14.25" customHeight="1" x14ac:dyDescent="0.35">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259"/>
      <c r="CA12" s="259"/>
      <c r="CB12" s="259"/>
      <c r="CC12" s="259"/>
      <c r="CD12" s="259"/>
      <c r="CE12" s="259"/>
      <c r="CF12" s="259"/>
      <c r="CG12" s="259"/>
      <c r="CH12" s="259"/>
      <c r="CI12" s="259"/>
      <c r="CJ12" s="259"/>
      <c r="CK12" s="259"/>
      <c r="CL12" s="259"/>
      <c r="CM12" s="259"/>
      <c r="CN12" s="259"/>
      <c r="CO12" s="259"/>
      <c r="CP12" s="259"/>
      <c r="CQ12" s="259"/>
      <c r="CR12" s="259"/>
      <c r="CS12" s="259"/>
      <c r="CT12" s="259"/>
      <c r="CU12" s="259"/>
      <c r="CV12" s="259"/>
    </row>
    <row r="13" spans="2:100" ht="16.899999999999999" x14ac:dyDescent="0.5">
      <c r="B13" s="150" t="s">
        <v>28</v>
      </c>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59"/>
      <c r="AQ13" s="259"/>
      <c r="AR13" s="259"/>
      <c r="AS13" s="259"/>
      <c r="AT13" s="259"/>
      <c r="AU13" s="259"/>
      <c r="AV13" s="259"/>
      <c r="AW13" s="259"/>
      <c r="AX13" s="259"/>
      <c r="AY13" s="259"/>
      <c r="AZ13" s="259"/>
      <c r="BA13" s="259"/>
      <c r="BB13" s="259"/>
      <c r="BC13" s="259"/>
      <c r="BD13" s="259"/>
      <c r="BE13" s="259"/>
      <c r="BF13" s="259"/>
      <c r="BG13" s="259"/>
      <c r="BH13" s="259"/>
      <c r="BI13" s="259"/>
      <c r="BJ13" s="259"/>
      <c r="BK13" s="259"/>
      <c r="BL13" s="259"/>
      <c r="BM13" s="259"/>
      <c r="BN13" s="259"/>
      <c r="BO13" s="259"/>
      <c r="BP13" s="259"/>
      <c r="BQ13" s="259"/>
      <c r="BR13" s="259"/>
      <c r="BS13" s="259"/>
      <c r="BT13" s="259"/>
      <c r="BU13" s="259"/>
      <c r="BV13" s="259"/>
      <c r="BW13" s="259"/>
      <c r="BX13" s="259"/>
      <c r="BY13" s="259"/>
      <c r="BZ13" s="259"/>
      <c r="CA13" s="259"/>
      <c r="CB13" s="259"/>
      <c r="CC13" s="259"/>
      <c r="CD13" s="259"/>
      <c r="CE13" s="259"/>
      <c r="CF13" s="259"/>
      <c r="CG13" s="259"/>
      <c r="CH13" s="259"/>
      <c r="CI13" s="259"/>
      <c r="CJ13" s="259"/>
      <c r="CK13" s="259"/>
      <c r="CL13" s="259"/>
      <c r="CM13" s="259"/>
      <c r="CN13" s="259"/>
      <c r="CO13" s="259"/>
      <c r="CP13" s="259"/>
      <c r="CQ13" s="259"/>
      <c r="CR13" s="259"/>
      <c r="CS13" s="259"/>
      <c r="CT13" s="259"/>
      <c r="CU13" s="259"/>
      <c r="CV13" s="259"/>
    </row>
    <row r="14" spans="2:100" ht="14.25" customHeight="1" x14ac:dyDescent="0.35">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c r="AP14" s="259"/>
      <c r="AQ14" s="259"/>
      <c r="AR14" s="259"/>
      <c r="AS14" s="259"/>
      <c r="AT14" s="259"/>
      <c r="AU14" s="259"/>
      <c r="AV14" s="259"/>
      <c r="AW14" s="259"/>
      <c r="AX14" s="259"/>
      <c r="AY14" s="259"/>
      <c r="AZ14" s="259"/>
      <c r="BA14" s="259"/>
      <c r="BB14" s="259"/>
      <c r="BC14" s="259"/>
      <c r="BD14" s="259"/>
      <c r="BE14" s="259"/>
      <c r="BF14" s="259"/>
      <c r="BG14" s="259"/>
      <c r="BH14" s="259"/>
      <c r="BI14" s="259"/>
      <c r="BJ14" s="259"/>
      <c r="BK14" s="259"/>
      <c r="BL14" s="259"/>
      <c r="BM14" s="259"/>
      <c r="BN14" s="259"/>
      <c r="BO14" s="259"/>
      <c r="BP14" s="259"/>
      <c r="BQ14" s="259"/>
      <c r="BR14" s="259"/>
      <c r="BS14" s="259"/>
      <c r="BT14" s="259"/>
      <c r="BU14" s="259"/>
      <c r="BV14" s="259"/>
      <c r="BW14" s="259"/>
      <c r="BX14" s="259"/>
      <c r="BY14" s="259"/>
      <c r="BZ14" s="259"/>
      <c r="CA14" s="259"/>
      <c r="CB14" s="259"/>
      <c r="CC14" s="259"/>
      <c r="CD14" s="259"/>
      <c r="CE14" s="259"/>
      <c r="CF14" s="259"/>
      <c r="CG14" s="259"/>
      <c r="CH14" s="259"/>
      <c r="CI14" s="259"/>
      <c r="CJ14" s="259"/>
      <c r="CK14" s="259"/>
      <c r="CL14" s="259"/>
      <c r="CM14" s="259"/>
      <c r="CN14" s="259"/>
      <c r="CO14" s="259"/>
      <c r="CP14" s="259"/>
      <c r="CQ14" s="259"/>
      <c r="CR14" s="259"/>
      <c r="CS14" s="259"/>
      <c r="CT14" s="259"/>
      <c r="CU14" s="259"/>
      <c r="CV14" s="259"/>
    </row>
    <row r="15" spans="2:100" ht="15" x14ac:dyDescent="0.4">
      <c r="B15" s="151" t="s">
        <v>274</v>
      </c>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259"/>
      <c r="AV15" s="259"/>
      <c r="AW15" s="259"/>
      <c r="AX15" s="259"/>
      <c r="AY15" s="259"/>
      <c r="AZ15" s="259"/>
      <c r="BA15" s="259"/>
      <c r="BB15" s="259"/>
      <c r="BC15" s="259"/>
      <c r="BD15" s="259"/>
      <c r="BE15" s="259"/>
      <c r="BF15" s="259"/>
      <c r="BG15" s="259"/>
      <c r="BH15" s="259"/>
      <c r="BI15" s="259"/>
      <c r="BJ15" s="259"/>
      <c r="BK15" s="259"/>
      <c r="BL15" s="259"/>
      <c r="BM15" s="259"/>
      <c r="BN15" s="259"/>
      <c r="BO15" s="259"/>
      <c r="BP15" s="259"/>
      <c r="BQ15" s="259"/>
      <c r="BR15" s="259"/>
      <c r="BS15" s="259"/>
      <c r="BT15" s="259"/>
      <c r="BU15" s="259"/>
      <c r="BV15" s="259"/>
      <c r="BW15" s="259"/>
      <c r="BX15" s="259"/>
      <c r="BY15" s="259"/>
      <c r="BZ15" s="259"/>
      <c r="CA15" s="259"/>
      <c r="CB15" s="259"/>
      <c r="CC15" s="259"/>
      <c r="CD15" s="259"/>
      <c r="CE15" s="259"/>
      <c r="CF15" s="259"/>
      <c r="CG15" s="259"/>
      <c r="CH15" s="259"/>
      <c r="CI15" s="259"/>
      <c r="CJ15" s="259"/>
      <c r="CK15" s="259"/>
      <c r="CL15" s="259"/>
      <c r="CM15" s="259"/>
      <c r="CN15" s="259"/>
      <c r="CO15" s="259"/>
      <c r="CP15" s="259"/>
      <c r="CQ15" s="259"/>
      <c r="CR15" s="259"/>
      <c r="CS15" s="259"/>
      <c r="CT15" s="259"/>
      <c r="CU15" s="259"/>
      <c r="CV15" s="259"/>
    </row>
    <row r="16" spans="2:100" ht="9" customHeight="1" x14ac:dyDescent="0.35">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59"/>
      <c r="AS16" s="259"/>
      <c r="AT16" s="259"/>
      <c r="AU16" s="259"/>
      <c r="AV16" s="259"/>
      <c r="AW16" s="259"/>
      <c r="AX16" s="259"/>
      <c r="AY16" s="259"/>
      <c r="AZ16" s="259"/>
      <c r="BA16" s="259"/>
      <c r="BB16" s="259"/>
      <c r="BC16" s="259"/>
      <c r="BD16" s="259"/>
      <c r="BE16" s="259"/>
      <c r="BF16" s="259"/>
      <c r="BG16" s="259"/>
      <c r="BH16" s="259"/>
      <c r="BI16" s="259"/>
      <c r="BJ16" s="259"/>
      <c r="BK16" s="259"/>
      <c r="BL16" s="259"/>
      <c r="BM16" s="259"/>
      <c r="BN16" s="259"/>
      <c r="BO16" s="259"/>
      <c r="BP16" s="259"/>
      <c r="BQ16" s="259"/>
      <c r="BR16" s="259"/>
      <c r="BS16" s="259"/>
      <c r="BT16" s="259"/>
      <c r="BU16" s="259"/>
      <c r="BV16" s="259"/>
      <c r="BW16" s="259"/>
      <c r="BX16" s="259"/>
      <c r="BY16" s="259"/>
      <c r="BZ16" s="259"/>
      <c r="CA16" s="259"/>
      <c r="CB16" s="259"/>
      <c r="CC16" s="259"/>
      <c r="CD16" s="259"/>
      <c r="CE16" s="259"/>
      <c r="CF16" s="259"/>
      <c r="CG16" s="259"/>
      <c r="CH16" s="259"/>
      <c r="CI16" s="259"/>
      <c r="CJ16" s="259"/>
      <c r="CK16" s="259"/>
      <c r="CL16" s="259"/>
      <c r="CM16" s="259"/>
      <c r="CN16" s="259"/>
      <c r="CO16" s="259"/>
      <c r="CP16" s="259"/>
      <c r="CQ16" s="259"/>
      <c r="CR16" s="259"/>
      <c r="CS16" s="259"/>
      <c r="CT16" s="259"/>
      <c r="CU16" s="259"/>
      <c r="CV16" s="259"/>
    </row>
    <row r="17" spans="2:100" ht="15" x14ac:dyDescent="0.4">
      <c r="B17" s="152" t="s">
        <v>29</v>
      </c>
      <c r="C17" s="152" t="s">
        <v>213</v>
      </c>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59"/>
      <c r="AV17" s="259"/>
      <c r="AW17" s="259"/>
      <c r="AX17" s="259"/>
      <c r="AY17" s="259"/>
      <c r="AZ17" s="259"/>
      <c r="BA17" s="259"/>
      <c r="BB17" s="259"/>
      <c r="BC17" s="259"/>
      <c r="BD17" s="259"/>
      <c r="BE17" s="259"/>
      <c r="BF17" s="259"/>
      <c r="BG17" s="259"/>
      <c r="BH17" s="259"/>
      <c r="BI17" s="259"/>
      <c r="BJ17" s="259"/>
      <c r="BK17" s="259"/>
      <c r="BL17" s="259"/>
      <c r="BM17" s="259"/>
      <c r="BN17" s="259"/>
      <c r="BO17" s="259"/>
      <c r="BP17" s="259"/>
      <c r="BQ17" s="259"/>
      <c r="BR17" s="259"/>
      <c r="BS17" s="259"/>
      <c r="BT17" s="259"/>
      <c r="BU17" s="259"/>
      <c r="BV17" s="259"/>
      <c r="BW17" s="259"/>
      <c r="BX17" s="259"/>
      <c r="BY17" s="259"/>
      <c r="BZ17" s="259"/>
      <c r="CA17" s="259"/>
      <c r="CB17" s="259"/>
      <c r="CC17" s="259"/>
      <c r="CD17" s="259"/>
      <c r="CE17" s="259"/>
      <c r="CF17" s="259"/>
      <c r="CG17" s="259"/>
      <c r="CH17" s="259"/>
      <c r="CI17" s="259"/>
      <c r="CJ17" s="259"/>
      <c r="CK17" s="259"/>
      <c r="CL17" s="259"/>
      <c r="CM17" s="259"/>
      <c r="CN17" s="259"/>
      <c r="CO17" s="259"/>
      <c r="CP17" s="259"/>
      <c r="CQ17" s="259"/>
      <c r="CR17" s="259"/>
      <c r="CS17" s="259"/>
      <c r="CT17" s="259"/>
      <c r="CU17" s="259"/>
      <c r="CV17" s="259"/>
    </row>
    <row r="18" spans="2:100" ht="15" x14ac:dyDescent="0.4">
      <c r="B18" s="153"/>
      <c r="C18" s="152"/>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row>
    <row r="19" spans="2:100" ht="15" x14ac:dyDescent="0.4">
      <c r="B19" s="152" t="s">
        <v>30</v>
      </c>
      <c r="C19" s="152" t="s">
        <v>214</v>
      </c>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59"/>
      <c r="BA19" s="259"/>
      <c r="BB19" s="259"/>
      <c r="BC19" s="259"/>
      <c r="BD19" s="259"/>
      <c r="BE19" s="259"/>
      <c r="BF19" s="259"/>
      <c r="BG19" s="259"/>
      <c r="BH19" s="259"/>
      <c r="BI19" s="259"/>
      <c r="BJ19" s="259"/>
      <c r="BK19" s="259"/>
      <c r="BL19" s="259"/>
      <c r="BM19" s="259"/>
      <c r="BN19" s="259"/>
      <c r="BO19" s="259"/>
      <c r="BP19" s="259"/>
      <c r="BQ19" s="259"/>
      <c r="BR19" s="259"/>
      <c r="BS19" s="259"/>
      <c r="BT19" s="259"/>
      <c r="BU19" s="259"/>
      <c r="BV19" s="259"/>
      <c r="BW19" s="259"/>
      <c r="BX19" s="259"/>
      <c r="BY19" s="259"/>
      <c r="BZ19" s="259"/>
      <c r="CA19" s="259"/>
      <c r="CB19" s="259"/>
      <c r="CC19" s="259"/>
      <c r="CD19" s="259"/>
      <c r="CE19" s="259"/>
      <c r="CF19" s="259"/>
      <c r="CG19" s="259"/>
      <c r="CH19" s="259"/>
      <c r="CI19" s="259"/>
      <c r="CJ19" s="259"/>
      <c r="CK19" s="259"/>
      <c r="CL19" s="259"/>
      <c r="CM19" s="259"/>
      <c r="CN19" s="259"/>
      <c r="CO19" s="259"/>
      <c r="CP19" s="259"/>
      <c r="CQ19" s="259"/>
      <c r="CR19" s="259"/>
      <c r="CS19" s="259"/>
      <c r="CT19" s="259"/>
      <c r="CU19" s="259"/>
      <c r="CV19" s="259"/>
    </row>
    <row r="20" spans="2:100" ht="15" x14ac:dyDescent="0.4">
      <c r="B20" s="152"/>
      <c r="C20" s="152" t="s">
        <v>275</v>
      </c>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59"/>
      <c r="AQ20" s="259"/>
      <c r="AR20" s="259"/>
      <c r="AS20" s="259"/>
      <c r="AT20" s="259"/>
      <c r="AU20" s="259"/>
      <c r="AV20" s="259"/>
      <c r="AW20" s="259"/>
      <c r="AX20" s="259"/>
      <c r="AY20" s="259"/>
      <c r="AZ20" s="259"/>
      <c r="BA20" s="259"/>
      <c r="BB20" s="259"/>
      <c r="BC20" s="259"/>
      <c r="BD20" s="259"/>
      <c r="BE20" s="259"/>
      <c r="BF20" s="259"/>
      <c r="BG20" s="259"/>
      <c r="BH20" s="259"/>
      <c r="BI20" s="259"/>
      <c r="BJ20" s="259"/>
      <c r="BK20" s="259"/>
      <c r="BL20" s="259"/>
      <c r="BM20" s="259"/>
      <c r="BN20" s="259"/>
      <c r="BO20" s="259"/>
      <c r="BP20" s="259"/>
      <c r="BQ20" s="259"/>
      <c r="BR20" s="259"/>
      <c r="BS20" s="259"/>
      <c r="BT20" s="259"/>
      <c r="BU20" s="259"/>
      <c r="BV20" s="259"/>
      <c r="BW20" s="259"/>
      <c r="BX20" s="259"/>
      <c r="BY20" s="259"/>
      <c r="BZ20" s="259"/>
      <c r="CA20" s="259"/>
      <c r="CB20" s="259"/>
      <c r="CC20" s="259"/>
      <c r="CD20" s="259"/>
      <c r="CE20" s="259"/>
      <c r="CF20" s="259"/>
      <c r="CG20" s="259"/>
      <c r="CH20" s="259"/>
      <c r="CI20" s="259"/>
      <c r="CJ20" s="259"/>
      <c r="CK20" s="259"/>
      <c r="CL20" s="259"/>
      <c r="CM20" s="259"/>
      <c r="CN20" s="259"/>
      <c r="CO20" s="259"/>
      <c r="CP20" s="259"/>
      <c r="CQ20" s="259"/>
      <c r="CR20" s="259"/>
      <c r="CS20" s="259"/>
      <c r="CT20" s="259"/>
      <c r="CU20" s="259"/>
      <c r="CV20" s="259"/>
    </row>
    <row r="21" spans="2:100" ht="15" x14ac:dyDescent="0.4">
      <c r="B21" s="152"/>
      <c r="C21" s="152"/>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59"/>
      <c r="BA21" s="259"/>
      <c r="BB21" s="259"/>
      <c r="BC21" s="259"/>
      <c r="BD21" s="259"/>
      <c r="BE21" s="259"/>
      <c r="BF21" s="259"/>
      <c r="BG21" s="259"/>
      <c r="BH21" s="259"/>
      <c r="BI21" s="259"/>
      <c r="BJ21" s="259"/>
      <c r="BK21" s="259"/>
      <c r="BL21" s="259"/>
      <c r="BM21" s="259"/>
      <c r="BN21" s="259"/>
      <c r="BO21" s="259"/>
      <c r="BP21" s="259"/>
      <c r="BQ21" s="259"/>
      <c r="BR21" s="259"/>
      <c r="BS21" s="259"/>
      <c r="BT21" s="259"/>
      <c r="BU21" s="259"/>
      <c r="BV21" s="259"/>
      <c r="BW21" s="259"/>
      <c r="BX21" s="259"/>
      <c r="BY21" s="259"/>
      <c r="BZ21" s="259"/>
      <c r="CA21" s="259"/>
      <c r="CB21" s="259"/>
      <c r="CC21" s="259"/>
      <c r="CD21" s="259"/>
      <c r="CE21" s="259"/>
      <c r="CF21" s="259"/>
      <c r="CG21" s="259"/>
      <c r="CH21" s="259"/>
      <c r="CI21" s="259"/>
      <c r="CJ21" s="259"/>
      <c r="CK21" s="259"/>
      <c r="CL21" s="259"/>
      <c r="CM21" s="259"/>
      <c r="CN21" s="259"/>
      <c r="CO21" s="259"/>
      <c r="CP21" s="259"/>
      <c r="CQ21" s="259"/>
      <c r="CR21" s="259"/>
      <c r="CS21" s="259"/>
      <c r="CT21" s="259"/>
      <c r="CU21" s="259"/>
      <c r="CV21" s="259"/>
    </row>
    <row r="22" spans="2:100" ht="15" x14ac:dyDescent="0.4">
      <c r="B22" s="152"/>
      <c r="C22" s="381" t="s">
        <v>153</v>
      </c>
      <c r="D22" s="381"/>
      <c r="E22" s="381"/>
      <c r="F22" s="381"/>
      <c r="G22" s="381"/>
      <c r="H22" s="381"/>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59"/>
      <c r="AY22" s="259"/>
      <c r="AZ22" s="259"/>
      <c r="BA22" s="259"/>
      <c r="BB22" s="259"/>
      <c r="BC22" s="259"/>
      <c r="BD22" s="259"/>
      <c r="BE22" s="259"/>
      <c r="BF22" s="259"/>
      <c r="BG22" s="259"/>
      <c r="BH22" s="259"/>
      <c r="BI22" s="259"/>
      <c r="BJ22" s="259"/>
      <c r="BK22" s="259"/>
      <c r="BL22" s="259"/>
      <c r="BM22" s="259"/>
      <c r="BN22" s="259"/>
      <c r="BO22" s="259"/>
      <c r="BP22" s="259"/>
      <c r="BQ22" s="259"/>
      <c r="BR22" s="259"/>
      <c r="BS22" s="259"/>
      <c r="BT22" s="259"/>
      <c r="BU22" s="259"/>
      <c r="BV22" s="259"/>
      <c r="BW22" s="259"/>
      <c r="BX22" s="259"/>
      <c r="BY22" s="259"/>
      <c r="BZ22" s="259"/>
      <c r="CA22" s="259"/>
      <c r="CB22" s="259"/>
      <c r="CC22" s="259"/>
      <c r="CD22" s="259"/>
      <c r="CE22" s="259"/>
      <c r="CF22" s="259"/>
      <c r="CG22" s="259"/>
      <c r="CH22" s="259"/>
      <c r="CI22" s="259"/>
      <c r="CJ22" s="259"/>
      <c r="CK22" s="259"/>
      <c r="CL22" s="259"/>
      <c r="CM22" s="259"/>
      <c r="CN22" s="259"/>
      <c r="CO22" s="259"/>
      <c r="CP22" s="259"/>
      <c r="CQ22" s="259"/>
      <c r="CR22" s="259"/>
      <c r="CS22" s="259"/>
      <c r="CT22" s="259"/>
      <c r="CU22" s="259"/>
      <c r="CV22" s="259"/>
    </row>
    <row r="23" spans="2:100" ht="15" x14ac:dyDescent="0.4">
      <c r="B23" s="152"/>
      <c r="C23" s="152"/>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59"/>
      <c r="AY23" s="259"/>
      <c r="AZ23" s="259"/>
      <c r="BA23" s="259"/>
      <c r="BB23" s="259"/>
      <c r="BC23" s="259"/>
      <c r="BD23" s="259"/>
      <c r="BE23" s="259"/>
      <c r="BF23" s="259"/>
      <c r="BG23" s="259"/>
      <c r="BH23" s="259"/>
      <c r="BI23" s="259"/>
      <c r="BJ23" s="259"/>
      <c r="BK23" s="259"/>
      <c r="BL23" s="259"/>
      <c r="BM23" s="259"/>
      <c r="BN23" s="259"/>
      <c r="BO23" s="259"/>
      <c r="BP23" s="259"/>
      <c r="BQ23" s="259"/>
      <c r="BR23" s="259"/>
      <c r="BS23" s="259"/>
      <c r="BT23" s="259"/>
      <c r="BU23" s="259"/>
      <c r="BV23" s="259"/>
      <c r="BW23" s="259"/>
      <c r="BX23" s="259"/>
      <c r="BY23" s="259"/>
      <c r="BZ23" s="259"/>
      <c r="CA23" s="259"/>
      <c r="CB23" s="259"/>
      <c r="CC23" s="259"/>
      <c r="CD23" s="259"/>
      <c r="CE23" s="259"/>
      <c r="CF23" s="259"/>
      <c r="CG23" s="259"/>
      <c r="CH23" s="259"/>
      <c r="CI23" s="259"/>
      <c r="CJ23" s="259"/>
      <c r="CK23" s="259"/>
      <c r="CL23" s="259"/>
      <c r="CM23" s="259"/>
      <c r="CN23" s="259"/>
      <c r="CO23" s="259"/>
      <c r="CP23" s="259"/>
      <c r="CQ23" s="259"/>
      <c r="CR23" s="259"/>
      <c r="CS23" s="259"/>
      <c r="CT23" s="259"/>
      <c r="CU23" s="259"/>
      <c r="CV23" s="259"/>
    </row>
    <row r="24" spans="2:100" ht="15" x14ac:dyDescent="0.4">
      <c r="B24" s="152" t="s">
        <v>31</v>
      </c>
      <c r="C24" s="152" t="s">
        <v>276</v>
      </c>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c r="AZ24" s="259"/>
      <c r="BA24" s="259"/>
      <c r="BB24" s="259"/>
      <c r="BC24" s="259"/>
      <c r="BD24" s="259"/>
      <c r="BE24" s="259"/>
      <c r="BF24" s="259"/>
      <c r="BG24" s="259"/>
      <c r="BH24" s="259"/>
      <c r="BI24" s="259"/>
      <c r="BJ24" s="259"/>
      <c r="BK24" s="259"/>
      <c r="BL24" s="259"/>
      <c r="BM24" s="259"/>
      <c r="BN24" s="259"/>
      <c r="BO24" s="259"/>
      <c r="BP24" s="259"/>
      <c r="BQ24" s="259"/>
      <c r="BR24" s="259"/>
      <c r="BS24" s="259"/>
      <c r="BT24" s="259"/>
      <c r="BU24" s="259"/>
      <c r="BV24" s="259"/>
      <c r="BW24" s="259"/>
      <c r="BX24" s="259"/>
      <c r="BY24" s="259"/>
      <c r="BZ24" s="259"/>
      <c r="CA24" s="259"/>
      <c r="CB24" s="259"/>
      <c r="CC24" s="259"/>
      <c r="CD24" s="259"/>
      <c r="CE24" s="259"/>
      <c r="CF24" s="259"/>
      <c r="CG24" s="259"/>
      <c r="CH24" s="259"/>
      <c r="CI24" s="259"/>
      <c r="CJ24" s="259"/>
      <c r="CK24" s="259"/>
      <c r="CL24" s="259"/>
      <c r="CM24" s="259"/>
      <c r="CN24" s="259"/>
      <c r="CO24" s="259"/>
      <c r="CP24" s="259"/>
      <c r="CQ24" s="259"/>
      <c r="CR24" s="259"/>
      <c r="CS24" s="259"/>
      <c r="CT24" s="259"/>
      <c r="CU24" s="259"/>
      <c r="CV24" s="259"/>
    </row>
    <row r="25" spans="2:100" ht="92.25" customHeight="1" x14ac:dyDescent="0.35">
      <c r="B25" s="153"/>
      <c r="C25" s="153"/>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59"/>
      <c r="BI25" s="259"/>
      <c r="BJ25" s="259"/>
      <c r="BK25" s="259"/>
      <c r="BL25" s="259"/>
      <c r="BM25" s="259"/>
      <c r="BN25" s="259"/>
      <c r="BO25" s="259"/>
      <c r="BP25" s="259"/>
      <c r="BQ25" s="259"/>
      <c r="BR25" s="259"/>
      <c r="BS25" s="259"/>
      <c r="BT25" s="259"/>
      <c r="BU25" s="259"/>
      <c r="BV25" s="259"/>
      <c r="BW25" s="259"/>
      <c r="BX25" s="259"/>
      <c r="BY25" s="259"/>
      <c r="BZ25" s="259"/>
      <c r="CA25" s="259"/>
      <c r="CB25" s="259"/>
      <c r="CC25" s="259"/>
      <c r="CD25" s="259"/>
      <c r="CE25" s="259"/>
      <c r="CF25" s="259"/>
      <c r="CG25" s="259"/>
      <c r="CH25" s="259"/>
      <c r="CI25" s="259"/>
      <c r="CJ25" s="259"/>
      <c r="CK25" s="259"/>
      <c r="CL25" s="259"/>
      <c r="CM25" s="259"/>
      <c r="CN25" s="259"/>
      <c r="CO25" s="259"/>
      <c r="CP25" s="259"/>
      <c r="CQ25" s="259"/>
      <c r="CR25" s="259"/>
      <c r="CS25" s="259"/>
      <c r="CT25" s="259"/>
      <c r="CU25" s="259"/>
      <c r="CV25" s="259"/>
    </row>
    <row r="26" spans="2:100" ht="20.25" customHeight="1" x14ac:dyDescent="0.35">
      <c r="B26" s="153"/>
      <c r="C26" s="242"/>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59"/>
      <c r="AY26" s="259"/>
      <c r="AZ26" s="259"/>
      <c r="BA26" s="259"/>
      <c r="BB26" s="259"/>
      <c r="BC26" s="259"/>
      <c r="BD26" s="259"/>
      <c r="BE26" s="259"/>
      <c r="BF26" s="259"/>
      <c r="BG26" s="259"/>
      <c r="BH26" s="259"/>
      <c r="BI26" s="259"/>
      <c r="BJ26" s="259"/>
      <c r="BK26" s="259"/>
      <c r="BL26" s="259"/>
      <c r="BM26" s="259"/>
      <c r="BN26" s="259"/>
      <c r="BO26" s="259"/>
      <c r="BP26" s="259"/>
      <c r="BQ26" s="259"/>
      <c r="BR26" s="259"/>
      <c r="BS26" s="259"/>
      <c r="BT26" s="259"/>
      <c r="BU26" s="259"/>
      <c r="BV26" s="259"/>
      <c r="BW26" s="259"/>
      <c r="BX26" s="259"/>
      <c r="BY26" s="259"/>
      <c r="BZ26" s="259"/>
      <c r="CA26" s="259"/>
      <c r="CB26" s="259"/>
      <c r="CC26" s="259"/>
      <c r="CD26" s="259"/>
      <c r="CE26" s="259"/>
      <c r="CF26" s="259"/>
      <c r="CG26" s="259"/>
      <c r="CH26" s="259"/>
      <c r="CI26" s="259"/>
      <c r="CJ26" s="259"/>
      <c r="CK26" s="259"/>
      <c r="CL26" s="259"/>
      <c r="CM26" s="259"/>
      <c r="CN26" s="259"/>
      <c r="CO26" s="259"/>
      <c r="CP26" s="259"/>
      <c r="CQ26" s="259"/>
      <c r="CR26" s="259"/>
      <c r="CS26" s="259"/>
      <c r="CT26" s="259"/>
      <c r="CU26" s="259"/>
      <c r="CV26" s="259"/>
    </row>
    <row r="27" spans="2:100" ht="9.75" customHeight="1" x14ac:dyDescent="0.35">
      <c r="B27" s="153"/>
      <c r="C27" s="153"/>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259"/>
      <c r="AY27" s="259"/>
      <c r="AZ27" s="259"/>
      <c r="BA27" s="259"/>
      <c r="BB27" s="259"/>
      <c r="BC27" s="259"/>
      <c r="BD27" s="259"/>
      <c r="BE27" s="259"/>
      <c r="BF27" s="259"/>
      <c r="BG27" s="259"/>
      <c r="BH27" s="259"/>
      <c r="BI27" s="259"/>
      <c r="BJ27" s="259"/>
      <c r="BK27" s="259"/>
      <c r="BL27" s="259"/>
      <c r="BM27" s="259"/>
      <c r="BN27" s="259"/>
      <c r="BO27" s="259"/>
      <c r="BP27" s="259"/>
      <c r="BQ27" s="259"/>
      <c r="BR27" s="259"/>
      <c r="BS27" s="259"/>
      <c r="BT27" s="259"/>
      <c r="BU27" s="259"/>
      <c r="BV27" s="259"/>
      <c r="BW27" s="259"/>
      <c r="BX27" s="259"/>
      <c r="BY27" s="259"/>
      <c r="BZ27" s="259"/>
      <c r="CA27" s="259"/>
      <c r="CB27" s="259"/>
      <c r="CC27" s="259"/>
      <c r="CD27" s="259"/>
      <c r="CE27" s="259"/>
      <c r="CF27" s="259"/>
      <c r="CG27" s="259"/>
      <c r="CH27" s="259"/>
      <c r="CI27" s="259"/>
      <c r="CJ27" s="259"/>
      <c r="CK27" s="259"/>
      <c r="CL27" s="259"/>
      <c r="CM27" s="259"/>
      <c r="CN27" s="259"/>
      <c r="CO27" s="259"/>
      <c r="CP27" s="259"/>
      <c r="CQ27" s="259"/>
      <c r="CR27" s="259"/>
      <c r="CS27" s="259"/>
      <c r="CT27" s="259"/>
      <c r="CU27" s="259"/>
      <c r="CV27" s="259"/>
    </row>
    <row r="28" spans="2:100" ht="15" x14ac:dyDescent="0.4">
      <c r="B28" s="152" t="s">
        <v>32</v>
      </c>
      <c r="C28" s="152" t="s">
        <v>295</v>
      </c>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59"/>
      <c r="BD28" s="259"/>
      <c r="BE28" s="259"/>
      <c r="BF28" s="259"/>
      <c r="BG28" s="259"/>
      <c r="BH28" s="259"/>
      <c r="BI28" s="259"/>
      <c r="BJ28" s="259"/>
      <c r="BK28" s="259"/>
      <c r="BL28" s="259"/>
      <c r="BM28" s="259"/>
      <c r="BN28" s="259"/>
      <c r="BO28" s="259"/>
      <c r="BP28" s="259"/>
      <c r="BQ28" s="259"/>
      <c r="BR28" s="259"/>
      <c r="BS28" s="259"/>
      <c r="BT28" s="259"/>
      <c r="BU28" s="259"/>
      <c r="BV28" s="259"/>
      <c r="BW28" s="259"/>
      <c r="BX28" s="259"/>
      <c r="BY28" s="259"/>
      <c r="BZ28" s="259"/>
      <c r="CA28" s="259"/>
      <c r="CB28" s="259"/>
      <c r="CC28" s="259"/>
      <c r="CD28" s="259"/>
      <c r="CE28" s="259"/>
      <c r="CF28" s="259"/>
      <c r="CG28" s="259"/>
      <c r="CH28" s="259"/>
      <c r="CI28" s="259"/>
      <c r="CJ28" s="259"/>
      <c r="CK28" s="259"/>
      <c r="CL28" s="259"/>
      <c r="CM28" s="259"/>
      <c r="CN28" s="259"/>
      <c r="CO28" s="259"/>
      <c r="CP28" s="259"/>
      <c r="CQ28" s="259"/>
      <c r="CR28" s="259"/>
      <c r="CS28" s="259"/>
      <c r="CT28" s="259"/>
      <c r="CU28" s="259"/>
      <c r="CV28" s="259"/>
    </row>
    <row r="29" spans="2:100" ht="15" x14ac:dyDescent="0.4">
      <c r="B29" s="152"/>
      <c r="C29" s="152" t="s">
        <v>296</v>
      </c>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59"/>
      <c r="AZ29" s="259"/>
      <c r="BA29" s="259"/>
      <c r="BB29" s="259"/>
      <c r="BC29" s="259"/>
      <c r="BD29" s="259"/>
      <c r="BE29" s="259"/>
      <c r="BF29" s="259"/>
      <c r="BG29" s="259"/>
      <c r="BH29" s="259"/>
      <c r="BI29" s="259"/>
      <c r="BJ29" s="259"/>
      <c r="BK29" s="259"/>
      <c r="BL29" s="259"/>
      <c r="BM29" s="259"/>
      <c r="BN29" s="259"/>
      <c r="BO29" s="259"/>
      <c r="BP29" s="259"/>
      <c r="BQ29" s="259"/>
      <c r="BR29" s="259"/>
      <c r="BS29" s="259"/>
      <c r="BT29" s="259"/>
      <c r="BU29" s="259"/>
      <c r="BV29" s="259"/>
      <c r="BW29" s="259"/>
      <c r="BX29" s="259"/>
      <c r="BY29" s="259"/>
      <c r="BZ29" s="259"/>
      <c r="CA29" s="259"/>
      <c r="CB29" s="259"/>
      <c r="CC29" s="259"/>
      <c r="CD29" s="259"/>
      <c r="CE29" s="259"/>
      <c r="CF29" s="259"/>
      <c r="CG29" s="259"/>
      <c r="CH29" s="259"/>
      <c r="CI29" s="259"/>
      <c r="CJ29" s="259"/>
      <c r="CK29" s="259"/>
      <c r="CL29" s="259"/>
      <c r="CM29" s="259"/>
      <c r="CN29" s="259"/>
      <c r="CO29" s="259"/>
      <c r="CP29" s="259"/>
      <c r="CQ29" s="259"/>
      <c r="CR29" s="259"/>
      <c r="CS29" s="259"/>
      <c r="CT29" s="259"/>
      <c r="CU29" s="259"/>
      <c r="CV29" s="259"/>
    </row>
    <row r="30" spans="2:100" ht="15" x14ac:dyDescent="0.4">
      <c r="B30" s="153"/>
      <c r="C30" s="152"/>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259"/>
      <c r="BC30" s="259"/>
      <c r="BD30" s="259"/>
      <c r="BE30" s="259"/>
      <c r="BF30" s="259"/>
      <c r="BG30" s="259"/>
      <c r="BH30" s="259"/>
      <c r="BI30" s="259"/>
      <c r="BJ30" s="259"/>
      <c r="BK30" s="259"/>
      <c r="BL30" s="259"/>
      <c r="BM30" s="259"/>
      <c r="BN30" s="259"/>
      <c r="BO30" s="259"/>
      <c r="BP30" s="259"/>
      <c r="BQ30" s="259"/>
      <c r="BR30" s="259"/>
      <c r="BS30" s="259"/>
      <c r="BT30" s="259"/>
      <c r="BU30" s="259"/>
      <c r="BV30" s="259"/>
      <c r="BW30" s="259"/>
      <c r="BX30" s="259"/>
      <c r="BY30" s="259"/>
      <c r="BZ30" s="259"/>
      <c r="CA30" s="259"/>
      <c r="CB30" s="259"/>
      <c r="CC30" s="259"/>
      <c r="CD30" s="259"/>
      <c r="CE30" s="259"/>
      <c r="CF30" s="259"/>
      <c r="CG30" s="259"/>
      <c r="CH30" s="259"/>
      <c r="CI30" s="259"/>
      <c r="CJ30" s="259"/>
      <c r="CK30" s="259"/>
      <c r="CL30" s="259"/>
      <c r="CM30" s="259"/>
      <c r="CN30" s="259"/>
      <c r="CO30" s="259"/>
      <c r="CP30" s="259"/>
      <c r="CQ30" s="259"/>
      <c r="CR30" s="259"/>
      <c r="CS30" s="259"/>
      <c r="CT30" s="259"/>
      <c r="CU30" s="259"/>
      <c r="CV30" s="259"/>
    </row>
    <row r="31" spans="2:100" ht="15.4" thickBot="1" x14ac:dyDescent="0.45">
      <c r="B31" s="153"/>
      <c r="C31" s="152"/>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59"/>
      <c r="BN31" s="259"/>
      <c r="BO31" s="259"/>
      <c r="BP31" s="259"/>
      <c r="BQ31" s="259"/>
      <c r="BR31" s="259"/>
      <c r="BS31" s="259"/>
      <c r="BT31" s="259"/>
      <c r="BU31" s="259"/>
      <c r="BV31" s="259"/>
      <c r="BW31" s="259"/>
      <c r="BX31" s="259"/>
      <c r="BY31" s="259"/>
      <c r="BZ31" s="259"/>
      <c r="CA31" s="259"/>
      <c r="CB31" s="259"/>
      <c r="CC31" s="259"/>
      <c r="CD31" s="259"/>
      <c r="CE31" s="259"/>
      <c r="CF31" s="259"/>
      <c r="CG31" s="259"/>
      <c r="CH31" s="259"/>
      <c r="CI31" s="259"/>
      <c r="CJ31" s="259"/>
      <c r="CK31" s="259"/>
      <c r="CL31" s="259"/>
      <c r="CM31" s="259"/>
      <c r="CN31" s="259"/>
      <c r="CO31" s="259"/>
      <c r="CP31" s="259"/>
      <c r="CQ31" s="259"/>
      <c r="CR31" s="259"/>
      <c r="CS31" s="259"/>
      <c r="CT31" s="259"/>
      <c r="CU31" s="259"/>
      <c r="CV31" s="259"/>
    </row>
    <row r="32" spans="2:100" ht="15" customHeight="1" x14ac:dyDescent="0.4">
      <c r="B32" s="153"/>
      <c r="C32" s="152"/>
      <c r="P32" s="375" t="s">
        <v>51</v>
      </c>
      <c r="Q32" s="376"/>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S32" s="259"/>
      <c r="BT32" s="259"/>
      <c r="BU32" s="259"/>
      <c r="BV32" s="259"/>
      <c r="BW32" s="259"/>
      <c r="BX32" s="259"/>
      <c r="BY32" s="259"/>
      <c r="BZ32" s="259"/>
      <c r="CA32" s="259"/>
      <c r="CB32" s="259"/>
      <c r="CC32" s="259"/>
      <c r="CD32" s="259"/>
      <c r="CE32" s="259"/>
      <c r="CF32" s="259"/>
      <c r="CG32" s="259"/>
      <c r="CH32" s="259"/>
      <c r="CI32" s="259"/>
      <c r="CJ32" s="259"/>
      <c r="CK32" s="259"/>
      <c r="CL32" s="259"/>
      <c r="CM32" s="259"/>
      <c r="CN32" s="259"/>
      <c r="CO32" s="259"/>
      <c r="CP32" s="259"/>
      <c r="CQ32" s="259"/>
      <c r="CR32" s="259"/>
      <c r="CS32" s="259"/>
      <c r="CT32" s="259"/>
      <c r="CU32" s="259"/>
      <c r="CV32" s="259"/>
    </row>
    <row r="33" spans="2:100" ht="12.75" customHeight="1" x14ac:dyDescent="0.35">
      <c r="P33" s="377"/>
      <c r="Q33" s="378"/>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S33" s="259"/>
      <c r="BT33" s="259"/>
      <c r="BU33" s="259"/>
      <c r="BV33" s="259"/>
      <c r="BW33" s="259"/>
      <c r="BX33" s="259"/>
      <c r="BY33" s="259"/>
      <c r="BZ33" s="259"/>
      <c r="CA33" s="259"/>
      <c r="CB33" s="259"/>
      <c r="CC33" s="259"/>
      <c r="CD33" s="259"/>
      <c r="CE33" s="259"/>
      <c r="CF33" s="259"/>
      <c r="CG33" s="259"/>
      <c r="CH33" s="259"/>
      <c r="CI33" s="259"/>
      <c r="CJ33" s="259"/>
      <c r="CK33" s="259"/>
      <c r="CL33" s="259"/>
      <c r="CM33" s="259"/>
      <c r="CN33" s="259"/>
      <c r="CO33" s="259"/>
      <c r="CP33" s="259"/>
      <c r="CQ33" s="259"/>
      <c r="CR33" s="259"/>
      <c r="CS33" s="259"/>
      <c r="CT33" s="259"/>
      <c r="CU33" s="259"/>
      <c r="CV33" s="259"/>
    </row>
    <row r="34" spans="2:100" ht="13.5" customHeight="1" x14ac:dyDescent="0.35">
      <c r="P34" s="377"/>
      <c r="Q34" s="378"/>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59"/>
      <c r="BQ34" s="259"/>
      <c r="BR34" s="259"/>
      <c r="BS34" s="259"/>
      <c r="BT34" s="259"/>
      <c r="BU34" s="259"/>
      <c r="BV34" s="259"/>
      <c r="BW34" s="259"/>
      <c r="BX34" s="259"/>
      <c r="BY34" s="259"/>
      <c r="BZ34" s="259"/>
      <c r="CA34" s="259"/>
      <c r="CB34" s="259"/>
      <c r="CC34" s="259"/>
      <c r="CD34" s="259"/>
      <c r="CE34" s="259"/>
      <c r="CF34" s="259"/>
      <c r="CG34" s="259"/>
      <c r="CH34" s="259"/>
      <c r="CI34" s="259"/>
      <c r="CJ34" s="259"/>
      <c r="CK34" s="259"/>
      <c r="CL34" s="259"/>
      <c r="CM34" s="259"/>
      <c r="CN34" s="259"/>
      <c r="CO34" s="259"/>
      <c r="CP34" s="259"/>
      <c r="CQ34" s="259"/>
      <c r="CR34" s="259"/>
      <c r="CS34" s="259"/>
      <c r="CT34" s="259"/>
      <c r="CU34" s="259"/>
      <c r="CV34" s="259"/>
    </row>
    <row r="35" spans="2:100" x14ac:dyDescent="0.35">
      <c r="P35" s="377"/>
      <c r="Q35" s="378"/>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row>
    <row r="36" spans="2:100" ht="13.15" thickBot="1" x14ac:dyDescent="0.4">
      <c r="P36" s="379"/>
      <c r="Q36" s="380"/>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row>
    <row r="37" spans="2:100" ht="15" x14ac:dyDescent="0.35">
      <c r="P37" s="254"/>
      <c r="Q37" s="254"/>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59"/>
      <c r="BQ37" s="259"/>
      <c r="BR37" s="259"/>
      <c r="BS37" s="259"/>
      <c r="BT37" s="259"/>
      <c r="BU37" s="259"/>
      <c r="BV37" s="259"/>
      <c r="BW37" s="259"/>
      <c r="BX37" s="259"/>
      <c r="BY37" s="259"/>
      <c r="BZ37" s="259"/>
      <c r="CA37" s="259"/>
      <c r="CB37" s="259"/>
      <c r="CC37" s="259"/>
      <c r="CD37" s="259"/>
      <c r="CE37" s="259"/>
      <c r="CF37" s="259"/>
      <c r="CG37" s="259"/>
      <c r="CH37" s="259"/>
      <c r="CI37" s="259"/>
      <c r="CJ37" s="259"/>
      <c r="CK37" s="259"/>
      <c r="CL37" s="259"/>
      <c r="CM37" s="259"/>
      <c r="CN37" s="259"/>
      <c r="CO37" s="259"/>
      <c r="CP37" s="259"/>
      <c r="CQ37" s="259"/>
      <c r="CR37" s="259"/>
      <c r="CS37" s="259"/>
      <c r="CT37" s="259"/>
      <c r="CU37" s="259"/>
      <c r="CV37" s="259"/>
    </row>
    <row r="38" spans="2:100" ht="15" x14ac:dyDescent="0.35">
      <c r="P38" s="254"/>
      <c r="Q38" s="254"/>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59"/>
      <c r="BQ38" s="259"/>
      <c r="BR38" s="259"/>
      <c r="BS38" s="259"/>
      <c r="BT38" s="259"/>
      <c r="BU38" s="259"/>
      <c r="BV38" s="259"/>
      <c r="BW38" s="259"/>
      <c r="BX38" s="259"/>
      <c r="BY38" s="259"/>
      <c r="BZ38" s="259"/>
      <c r="CA38" s="259"/>
      <c r="CB38" s="259"/>
      <c r="CC38" s="259"/>
      <c r="CD38" s="259"/>
      <c r="CE38" s="259"/>
      <c r="CF38" s="259"/>
      <c r="CG38" s="259"/>
      <c r="CH38" s="259"/>
      <c r="CI38" s="259"/>
      <c r="CJ38" s="259"/>
      <c r="CK38" s="259"/>
      <c r="CL38" s="259"/>
      <c r="CM38" s="259"/>
      <c r="CN38" s="259"/>
      <c r="CO38" s="259"/>
      <c r="CP38" s="259"/>
      <c r="CQ38" s="259"/>
      <c r="CR38" s="259"/>
      <c r="CS38" s="259"/>
      <c r="CT38" s="259"/>
      <c r="CU38" s="259"/>
      <c r="CV38" s="259"/>
    </row>
    <row r="39" spans="2:100" ht="15" x14ac:dyDescent="0.4">
      <c r="C39" s="243" t="s">
        <v>301</v>
      </c>
      <c r="P39" s="254"/>
      <c r="Q39" s="254"/>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9"/>
      <c r="BQ39" s="259"/>
      <c r="BR39" s="259"/>
      <c r="BS39" s="259"/>
      <c r="BT39" s="259"/>
      <c r="BU39" s="259"/>
      <c r="BV39" s="259"/>
      <c r="BW39" s="259"/>
      <c r="BX39" s="259"/>
      <c r="BY39" s="259"/>
      <c r="BZ39" s="259"/>
      <c r="CA39" s="259"/>
      <c r="CB39" s="259"/>
      <c r="CC39" s="259"/>
      <c r="CD39" s="259"/>
      <c r="CE39" s="259"/>
      <c r="CF39" s="259"/>
      <c r="CG39" s="259"/>
      <c r="CH39" s="259"/>
      <c r="CI39" s="259"/>
      <c r="CJ39" s="259"/>
      <c r="CK39" s="259"/>
      <c r="CL39" s="259"/>
      <c r="CM39" s="259"/>
      <c r="CN39" s="259"/>
      <c r="CO39" s="259"/>
      <c r="CP39" s="259"/>
      <c r="CQ39" s="259"/>
      <c r="CR39" s="259"/>
      <c r="CS39" s="259"/>
      <c r="CT39" s="259"/>
      <c r="CU39" s="259"/>
      <c r="CV39" s="259"/>
    </row>
    <row r="40" spans="2:100" ht="15" x14ac:dyDescent="0.4">
      <c r="C40" s="243" t="s">
        <v>293</v>
      </c>
      <c r="P40" s="254"/>
      <c r="Q40" s="254"/>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9"/>
      <c r="BQ40" s="259"/>
      <c r="BR40" s="259"/>
      <c r="BS40" s="259"/>
      <c r="BT40" s="259"/>
      <c r="BU40" s="259"/>
      <c r="BV40" s="259"/>
      <c r="BW40" s="259"/>
      <c r="BX40" s="259"/>
      <c r="BY40" s="259"/>
      <c r="BZ40" s="259"/>
      <c r="CA40" s="259"/>
      <c r="CB40" s="259"/>
      <c r="CC40" s="259"/>
      <c r="CD40" s="259"/>
      <c r="CE40" s="259"/>
      <c r="CF40" s="259"/>
      <c r="CG40" s="259"/>
      <c r="CH40" s="259"/>
      <c r="CI40" s="259"/>
      <c r="CJ40" s="259"/>
      <c r="CK40" s="259"/>
      <c r="CL40" s="259"/>
      <c r="CM40" s="259"/>
      <c r="CN40" s="259"/>
      <c r="CO40" s="259"/>
      <c r="CP40" s="259"/>
      <c r="CQ40" s="259"/>
      <c r="CR40" s="259"/>
      <c r="CS40" s="259"/>
      <c r="CT40" s="259"/>
      <c r="CU40" s="259"/>
      <c r="CV40" s="259"/>
    </row>
    <row r="41" spans="2:100" ht="15" x14ac:dyDescent="0.4">
      <c r="C41" s="243" t="s">
        <v>294</v>
      </c>
      <c r="P41" s="254"/>
      <c r="Q41" s="254"/>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59"/>
      <c r="BQ41" s="259"/>
      <c r="BR41" s="259"/>
      <c r="BS41" s="259"/>
      <c r="BT41" s="259"/>
      <c r="BU41" s="259"/>
      <c r="BV41" s="259"/>
      <c r="BW41" s="259"/>
      <c r="BX41" s="259"/>
      <c r="BY41" s="259"/>
      <c r="BZ41" s="259"/>
      <c r="CA41" s="259"/>
      <c r="CB41" s="259"/>
      <c r="CC41" s="259"/>
      <c r="CD41" s="259"/>
      <c r="CE41" s="259"/>
      <c r="CF41" s="259"/>
      <c r="CG41" s="259"/>
      <c r="CH41" s="259"/>
      <c r="CI41" s="259"/>
      <c r="CJ41" s="259"/>
      <c r="CK41" s="259"/>
      <c r="CL41" s="259"/>
      <c r="CM41" s="259"/>
      <c r="CN41" s="259"/>
      <c r="CO41" s="259"/>
      <c r="CP41" s="259"/>
      <c r="CQ41" s="259"/>
      <c r="CR41" s="259"/>
      <c r="CS41" s="259"/>
      <c r="CT41" s="259"/>
      <c r="CU41" s="259"/>
      <c r="CV41" s="259"/>
    </row>
    <row r="42" spans="2:100" ht="15" x14ac:dyDescent="0.4">
      <c r="C42" s="243" t="s">
        <v>285</v>
      </c>
      <c r="P42" s="254"/>
      <c r="Q42" s="254"/>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row>
    <row r="43" spans="2:100" ht="15" x14ac:dyDescent="0.4">
      <c r="C43" s="243"/>
      <c r="P43" s="254"/>
      <c r="Q43" s="254"/>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row>
    <row r="44" spans="2:100" ht="15" x14ac:dyDescent="0.35">
      <c r="C44" s="382" t="s">
        <v>286</v>
      </c>
      <c r="D44" s="382"/>
      <c r="E44" s="382"/>
      <c r="P44" s="254"/>
      <c r="Q44" s="254"/>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59"/>
      <c r="BQ44" s="259"/>
      <c r="BR44" s="259"/>
      <c r="BS44" s="259"/>
      <c r="BT44" s="259"/>
      <c r="BU44" s="259"/>
      <c r="BV44" s="259"/>
      <c r="BW44" s="259"/>
      <c r="BX44" s="259"/>
      <c r="BY44" s="259"/>
      <c r="BZ44" s="259"/>
      <c r="CA44" s="259"/>
      <c r="CB44" s="259"/>
      <c r="CC44" s="259"/>
      <c r="CD44" s="259"/>
      <c r="CE44" s="259"/>
      <c r="CF44" s="259"/>
      <c r="CG44" s="259"/>
      <c r="CH44" s="259"/>
      <c r="CI44" s="259"/>
      <c r="CJ44" s="259"/>
      <c r="CK44" s="259"/>
      <c r="CL44" s="259"/>
      <c r="CM44" s="259"/>
      <c r="CN44" s="259"/>
      <c r="CO44" s="259"/>
      <c r="CP44" s="259"/>
      <c r="CQ44" s="259"/>
      <c r="CR44" s="259"/>
      <c r="CS44" s="259"/>
      <c r="CT44" s="259"/>
      <c r="CU44" s="259"/>
      <c r="CV44" s="259"/>
    </row>
    <row r="45" spans="2:100" ht="15" x14ac:dyDescent="0.35">
      <c r="C45" s="242"/>
      <c r="P45" s="254"/>
      <c r="Q45" s="254"/>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259"/>
      <c r="BR45" s="259"/>
      <c r="BS45" s="259"/>
      <c r="BT45" s="259"/>
      <c r="BU45" s="259"/>
      <c r="BV45" s="259"/>
      <c r="BW45" s="259"/>
      <c r="BX45" s="259"/>
      <c r="BY45" s="259"/>
      <c r="BZ45" s="259"/>
      <c r="CA45" s="259"/>
      <c r="CB45" s="259"/>
      <c r="CC45" s="259"/>
      <c r="CD45" s="259"/>
      <c r="CE45" s="259"/>
      <c r="CF45" s="259"/>
      <c r="CG45" s="259"/>
      <c r="CH45" s="259"/>
      <c r="CI45" s="259"/>
      <c r="CJ45" s="259"/>
      <c r="CK45" s="259"/>
      <c r="CL45" s="259"/>
      <c r="CM45" s="259"/>
      <c r="CN45" s="259"/>
      <c r="CO45" s="259"/>
      <c r="CP45" s="259"/>
      <c r="CQ45" s="259"/>
      <c r="CR45" s="259"/>
      <c r="CS45" s="259"/>
      <c r="CT45" s="259"/>
      <c r="CU45" s="259"/>
      <c r="CV45" s="259"/>
    </row>
    <row r="46" spans="2:100" ht="15" x14ac:dyDescent="0.4">
      <c r="B46" s="152" t="s">
        <v>33</v>
      </c>
      <c r="C46" s="152" t="s">
        <v>175</v>
      </c>
      <c r="T46" s="260"/>
      <c r="U46" s="260"/>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59"/>
      <c r="BQ46" s="259"/>
      <c r="BR46" s="259"/>
      <c r="BS46" s="259"/>
      <c r="BT46" s="259"/>
      <c r="BU46" s="259"/>
      <c r="BV46" s="259"/>
      <c r="BW46" s="259"/>
      <c r="BX46" s="259"/>
      <c r="BY46" s="259"/>
      <c r="BZ46" s="259"/>
      <c r="CA46" s="259"/>
      <c r="CB46" s="259"/>
      <c r="CC46" s="259"/>
      <c r="CD46" s="259"/>
      <c r="CE46" s="259"/>
      <c r="CF46" s="259"/>
      <c r="CG46" s="259"/>
      <c r="CH46" s="259"/>
      <c r="CI46" s="259"/>
      <c r="CJ46" s="259"/>
      <c r="CK46" s="259"/>
      <c r="CL46" s="259"/>
      <c r="CM46" s="259"/>
      <c r="CN46" s="259"/>
      <c r="CO46" s="259"/>
      <c r="CP46" s="259"/>
      <c r="CQ46" s="259"/>
      <c r="CR46" s="259"/>
      <c r="CS46" s="259"/>
      <c r="CT46" s="259"/>
      <c r="CU46" s="259"/>
      <c r="CV46" s="259"/>
    </row>
    <row r="47" spans="2:100" ht="12" customHeight="1" x14ac:dyDescent="0.35">
      <c r="T47" s="260"/>
      <c r="U47" s="260"/>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59"/>
      <c r="BR47" s="259"/>
      <c r="BS47" s="259"/>
      <c r="BT47" s="259"/>
      <c r="BU47" s="259"/>
      <c r="BV47" s="259"/>
      <c r="BW47" s="259"/>
      <c r="BX47" s="259"/>
      <c r="BY47" s="259"/>
      <c r="BZ47" s="259"/>
      <c r="CA47" s="259"/>
      <c r="CB47" s="259"/>
      <c r="CC47" s="259"/>
      <c r="CD47" s="259"/>
      <c r="CE47" s="259"/>
      <c r="CF47" s="259"/>
      <c r="CG47" s="259"/>
      <c r="CH47" s="259"/>
      <c r="CI47" s="259"/>
      <c r="CJ47" s="259"/>
      <c r="CK47" s="259"/>
      <c r="CL47" s="259"/>
      <c r="CM47" s="259"/>
      <c r="CN47" s="259"/>
      <c r="CO47" s="259"/>
      <c r="CP47" s="259"/>
      <c r="CQ47" s="259"/>
      <c r="CR47" s="259"/>
      <c r="CS47" s="259"/>
      <c r="CT47" s="259"/>
      <c r="CU47" s="259"/>
      <c r="CV47" s="259"/>
    </row>
    <row r="48" spans="2:100" ht="15" customHeight="1" x14ac:dyDescent="0.35"/>
    <row r="98" spans="2:3" x14ac:dyDescent="0.35">
      <c r="B98" s="158"/>
      <c r="C98" s="158"/>
    </row>
    <row r="99" spans="2:3" x14ac:dyDescent="0.35">
      <c r="B99" s="159"/>
      <c r="C99" s="160"/>
    </row>
  </sheetData>
  <sheetProtection password="DE3F" sheet="1" objects="1" scenarios="1" selectLockedCells="1" selectUnlockedCells="1"/>
  <customSheetViews>
    <customSheetView guid="{377A32C9-D8CF-4808-9C50-3AB68474CE61}" showGridLines="0" fitToPage="1">
      <selection activeCell="J35" sqref="J35"/>
      <pageMargins left="0.75" right="0.75" top="1" bottom="1" header="0.5" footer="0.5"/>
      <pageSetup paperSize="9" scale="70" orientation="landscape" r:id="rId1"/>
      <headerFooter alignWithMargins="0"/>
    </customSheetView>
  </customSheetViews>
  <mergeCells count="3">
    <mergeCell ref="P32:Q36"/>
    <mergeCell ref="C22:H22"/>
    <mergeCell ref="C44:E44"/>
  </mergeCells>
  <phoneticPr fontId="4" type="noConversion"/>
  <hyperlinks>
    <hyperlink ref="C22" r:id="rId2" display="Converting KS2 raw scores to scaled scores"/>
    <hyperlink ref="C22:G22" r:id="rId3" display="How to convert key stage 2 raw scores to scaled scores"/>
    <hyperlink ref="P32:Q36" location="'KS1 Data Input'!A1" display="To KS1 Data Input Sheet  ---&gt;"/>
    <hyperlink ref="C22:H22" r:id="rId4" display="How to convert key stage 2 raw scores to scaled scores"/>
    <hyperlink ref="C44" r:id="rId5"/>
  </hyperlinks>
  <pageMargins left="0.75" right="0.75" top="1" bottom="1" header="0.5" footer="0.5"/>
  <pageSetup paperSize="9" scale="70" orientation="landscape" r:id="rId6"/>
  <headerFooter alignWithMargins="0"/>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41"/>
    <pageSetUpPr fitToPage="1"/>
  </sheetPr>
  <dimension ref="B1:BJ97"/>
  <sheetViews>
    <sheetView showGridLines="0" showRowColHeaders="0" zoomScale="85" zoomScaleNormal="85" workbookViewId="0">
      <selection activeCell="K11" sqref="K11"/>
    </sheetView>
  </sheetViews>
  <sheetFormatPr defaultRowHeight="12.75" x14ac:dyDescent="0.35"/>
  <cols>
    <col min="1" max="1" width="1.86328125" customWidth="1"/>
    <col min="2" max="2" width="36.86328125" customWidth="1"/>
    <col min="3" max="3" width="39.1328125" customWidth="1"/>
    <col min="4" max="4" width="4.86328125" customWidth="1"/>
    <col min="5" max="5" width="23.1328125" customWidth="1"/>
    <col min="6" max="6" width="16.73046875" customWidth="1"/>
    <col min="7" max="7" width="24" customWidth="1"/>
    <col min="8" max="8" width="6.1328125" customWidth="1"/>
    <col min="9" max="9" width="21.1328125" customWidth="1"/>
    <col min="10" max="10" width="7.73046875" customWidth="1"/>
    <col min="11" max="11" width="23.1328125" customWidth="1"/>
    <col min="12" max="12" width="6.73046875" customWidth="1"/>
    <col min="13" max="13" width="24.86328125" customWidth="1"/>
    <col min="14" max="14" width="20.3984375" customWidth="1"/>
    <col min="15" max="15" width="13.3984375" customWidth="1"/>
    <col min="16" max="16" width="6.3984375" customWidth="1"/>
    <col min="17" max="17" width="13.73046875" style="241" customWidth="1"/>
    <col min="18" max="18" width="20.73046875" style="241" customWidth="1"/>
    <col min="19" max="19" width="17.1328125" style="241" customWidth="1"/>
    <col min="20" max="23" width="9.1328125" style="241" customWidth="1"/>
    <col min="24" max="29" width="9" style="241" customWidth="1"/>
    <col min="30" max="30" width="9.59765625" style="164" customWidth="1"/>
    <col min="31" max="31" width="9.59765625" style="74" customWidth="1"/>
    <col min="32" max="32" width="9.59765625" style="286" customWidth="1"/>
    <col min="33" max="49" width="9.59765625" style="286" hidden="1" customWidth="1"/>
    <col min="50" max="50" width="19.1328125" style="286" hidden="1" customWidth="1"/>
    <col min="51" max="51" width="9.59765625" style="286" hidden="1" customWidth="1"/>
    <col min="52" max="52" width="16.3984375" style="249" customWidth="1"/>
    <col min="53" max="54" width="9.59765625" style="241" customWidth="1"/>
    <col min="55" max="55" width="9" style="241" customWidth="1"/>
    <col min="56" max="62" width="9.1328125" style="241" customWidth="1"/>
  </cols>
  <sheetData>
    <row r="1" spans="2:51" ht="9" customHeight="1" thickBot="1" x14ac:dyDescent="0.4">
      <c r="AG1" s="302"/>
      <c r="AH1" s="302"/>
      <c r="AI1" s="302"/>
      <c r="AJ1" s="302"/>
      <c r="AK1" s="302"/>
      <c r="AL1" s="302"/>
      <c r="AM1" s="302"/>
      <c r="AN1" s="302"/>
      <c r="AO1" s="302"/>
      <c r="AP1" s="302"/>
      <c r="AQ1" s="302"/>
      <c r="AR1" s="302"/>
      <c r="AS1" s="302"/>
      <c r="AT1" s="302"/>
      <c r="AU1" s="302"/>
      <c r="AV1" s="302"/>
      <c r="AW1" s="302"/>
      <c r="AX1" s="302"/>
      <c r="AY1" s="302"/>
    </row>
    <row r="2" spans="2:51" ht="21" thickBot="1" x14ac:dyDescent="0.65">
      <c r="B2" s="29" t="s">
        <v>42</v>
      </c>
      <c r="D2" s="20"/>
      <c r="K2" s="212" t="s">
        <v>27</v>
      </c>
      <c r="O2" s="249"/>
      <c r="P2" s="249"/>
      <c r="AG2" s="302"/>
      <c r="AH2" s="302"/>
      <c r="AI2" s="302"/>
      <c r="AJ2" s="302"/>
      <c r="AK2" s="302"/>
      <c r="AL2" s="302"/>
      <c r="AM2" s="302"/>
      <c r="AN2" s="302"/>
      <c r="AO2" s="302"/>
      <c r="AP2" s="302"/>
      <c r="AQ2" s="302"/>
      <c r="AR2" s="302"/>
      <c r="AS2" s="302"/>
      <c r="AT2" s="302"/>
      <c r="AU2" s="302"/>
      <c r="AV2" s="302"/>
      <c r="AW2" s="302"/>
      <c r="AX2" s="302"/>
      <c r="AY2" s="302"/>
    </row>
    <row r="3" spans="2:51" ht="13.5" thickBot="1" x14ac:dyDescent="0.45">
      <c r="G3" s="21"/>
      <c r="K3" s="28" t="s">
        <v>25</v>
      </c>
      <c r="O3" s="249"/>
      <c r="P3" s="249"/>
      <c r="AC3" s="239"/>
      <c r="AG3" s="302"/>
      <c r="AH3" s="302"/>
      <c r="AI3" s="302"/>
      <c r="AJ3" s="302"/>
      <c r="AK3" s="302"/>
      <c r="AL3" s="302"/>
      <c r="AM3" s="302"/>
      <c r="AN3" s="399" t="s">
        <v>176</v>
      </c>
      <c r="AO3" s="399"/>
      <c r="AP3" s="399"/>
      <c r="AQ3" s="399"/>
      <c r="AR3" s="302"/>
      <c r="AS3" s="302"/>
      <c r="AT3" s="302"/>
      <c r="AU3" s="303" t="s">
        <v>181</v>
      </c>
      <c r="AV3" s="303"/>
      <c r="AW3" s="303"/>
      <c r="AX3" s="302"/>
      <c r="AY3" s="302"/>
    </row>
    <row r="4" spans="2:51" ht="15.4" thickBot="1" x14ac:dyDescent="0.45">
      <c r="B4" s="79" t="s">
        <v>85</v>
      </c>
      <c r="K4" s="30" t="s">
        <v>23</v>
      </c>
      <c r="O4" s="249"/>
      <c r="P4" s="249"/>
      <c r="AC4" s="239"/>
      <c r="AD4" s="258"/>
      <c r="AE4" s="81"/>
      <c r="AG4" s="302"/>
      <c r="AH4" s="302"/>
      <c r="AI4" s="302"/>
      <c r="AJ4" s="302"/>
      <c r="AK4" s="302"/>
      <c r="AL4" s="302"/>
      <c r="AM4" s="302"/>
      <c r="AN4" s="302"/>
      <c r="AO4" s="302"/>
      <c r="AP4" s="302"/>
      <c r="AQ4" s="302"/>
      <c r="AR4" s="302"/>
      <c r="AS4" s="302"/>
      <c r="AT4" s="302"/>
      <c r="AU4" s="302"/>
      <c r="AV4" s="302"/>
      <c r="AW4" s="302"/>
      <c r="AX4" s="302"/>
      <c r="AY4" s="302"/>
    </row>
    <row r="5" spans="2:51" ht="15.4" thickBot="1" x14ac:dyDescent="0.45">
      <c r="B5" s="79" t="s">
        <v>215</v>
      </c>
      <c r="K5" s="204" t="s">
        <v>26</v>
      </c>
      <c r="O5" s="249"/>
      <c r="P5" s="249"/>
      <c r="AC5" s="239"/>
      <c r="AD5" s="258"/>
      <c r="AE5" s="81"/>
      <c r="AG5" s="303" t="s">
        <v>102</v>
      </c>
      <c r="AH5" s="302"/>
      <c r="AI5" s="302"/>
      <c r="AJ5" s="304" t="s">
        <v>121</v>
      </c>
      <c r="AK5" s="305"/>
      <c r="AL5" s="302"/>
      <c r="AM5" s="302"/>
      <c r="AN5" s="302" t="s">
        <v>140</v>
      </c>
      <c r="AO5" s="302" t="s">
        <v>141</v>
      </c>
      <c r="AP5" s="302"/>
      <c r="AQ5" s="302" t="s">
        <v>142</v>
      </c>
      <c r="AR5" s="302"/>
      <c r="AS5" s="302"/>
      <c r="AT5" s="302" t="s">
        <v>183</v>
      </c>
      <c r="AU5" s="302" t="s">
        <v>91</v>
      </c>
      <c r="AV5" s="302" t="s">
        <v>92</v>
      </c>
      <c r="AW5" s="302" t="s">
        <v>152</v>
      </c>
      <c r="AX5" s="302" t="s">
        <v>182</v>
      </c>
      <c r="AY5" s="302" t="s">
        <v>183</v>
      </c>
    </row>
    <row r="6" spans="2:51" ht="21.75" customHeight="1" x14ac:dyDescent="0.4">
      <c r="M6" s="84"/>
      <c r="N6" s="84"/>
      <c r="O6" s="250"/>
      <c r="P6" s="250"/>
      <c r="Q6" s="261"/>
      <c r="R6" s="261"/>
      <c r="S6" s="261"/>
      <c r="AC6" s="239"/>
      <c r="AD6" s="258"/>
      <c r="AE6" s="81"/>
      <c r="AG6" s="303"/>
      <c r="AH6" s="302"/>
      <c r="AI6" s="302"/>
      <c r="AJ6" s="304"/>
      <c r="AK6" s="305"/>
      <c r="AL6" s="302"/>
      <c r="AM6" s="306"/>
      <c r="AN6" s="302"/>
      <c r="AO6" s="302"/>
      <c r="AP6" s="302"/>
      <c r="AQ6" s="302"/>
      <c r="AR6" s="302"/>
      <c r="AS6" s="302"/>
      <c r="AT6" s="302">
        <v>1</v>
      </c>
      <c r="AU6" s="302">
        <v>0.25</v>
      </c>
      <c r="AV6" s="302">
        <v>1.75</v>
      </c>
      <c r="AW6" s="302" t="str">
        <f>IF(AND($G$27&gt;=AU6,$G$27&lt;AV6),"Y","-")</f>
        <v>-</v>
      </c>
      <c r="AX6" s="302" t="str">
        <f>CONCATENATE(AX$5,"",AT6,": &gt; 0 to &lt; ",AV6)</f>
        <v>Grp 1: &gt; 0 to &lt; 1.75</v>
      </c>
      <c r="AY6" s="302">
        <v>1</v>
      </c>
    </row>
    <row r="7" spans="2:51" ht="24.75" customHeight="1" x14ac:dyDescent="0.35">
      <c r="B7" s="387" t="s">
        <v>22</v>
      </c>
      <c r="C7" s="388"/>
      <c r="D7" s="1"/>
      <c r="E7" s="397" t="s">
        <v>46</v>
      </c>
      <c r="F7" s="398"/>
      <c r="G7" s="398"/>
      <c r="H7" s="398"/>
      <c r="I7" s="398"/>
      <c r="J7" s="398"/>
      <c r="K7" s="398"/>
      <c r="L7" s="398"/>
      <c r="M7" s="398"/>
      <c r="N7" s="94"/>
      <c r="O7" s="251"/>
      <c r="P7" s="251"/>
      <c r="Q7" s="262"/>
      <c r="R7" s="262"/>
      <c r="S7" s="262"/>
      <c r="AC7" s="239"/>
      <c r="AD7" s="258"/>
      <c r="AE7" s="81"/>
      <c r="AG7" s="307" t="s">
        <v>151</v>
      </c>
      <c r="AH7" s="302"/>
      <c r="AI7" s="302"/>
      <c r="AJ7" s="308" t="s">
        <v>151</v>
      </c>
      <c r="AK7" s="302"/>
      <c r="AL7" s="302"/>
      <c r="AM7" s="306"/>
      <c r="AN7" s="302" t="s">
        <v>78</v>
      </c>
      <c r="AO7" s="302" t="s">
        <v>78</v>
      </c>
      <c r="AP7" s="302" t="s">
        <v>6</v>
      </c>
      <c r="AQ7" s="302" t="s">
        <v>78</v>
      </c>
      <c r="AR7" s="309" t="s">
        <v>6</v>
      </c>
      <c r="AS7" s="309"/>
      <c r="AT7" s="302">
        <v>2</v>
      </c>
      <c r="AU7" s="302">
        <v>1.75</v>
      </c>
      <c r="AV7" s="302">
        <v>2</v>
      </c>
      <c r="AW7" s="302" t="str">
        <f t="shared" ref="AW7:AW28" si="0">IF(AND($G$27&gt;=AU7,$G$27&lt;AV7),"Y","-")</f>
        <v>-</v>
      </c>
      <c r="AX7" s="302" t="str">
        <f t="shared" ref="AX7:AX28" si="1">CONCATENATE(AX$5,"",AT7,": &gt;= ",AU7," to &lt; ",AV7)</f>
        <v>Grp 2: &gt;= 1.75 to &lt; 2</v>
      </c>
      <c r="AY7" s="302">
        <v>2</v>
      </c>
    </row>
    <row r="8" spans="2:51" ht="7.5" customHeight="1" x14ac:dyDescent="0.35">
      <c r="B8" s="1"/>
      <c r="M8" s="84"/>
      <c r="N8" s="84"/>
      <c r="O8" s="250"/>
      <c r="P8" s="250"/>
      <c r="Q8" s="261"/>
      <c r="R8" s="261"/>
      <c r="S8" s="261"/>
      <c r="AC8" s="239"/>
      <c r="AD8" s="258"/>
      <c r="AE8" s="81"/>
      <c r="AG8" s="302" t="s">
        <v>78</v>
      </c>
      <c r="AH8" s="302"/>
      <c r="AI8" s="302"/>
      <c r="AJ8" s="310" t="s">
        <v>104</v>
      </c>
      <c r="AK8" s="311"/>
      <c r="AL8" s="302"/>
      <c r="AM8" s="306"/>
      <c r="AN8" s="302" t="s">
        <v>86</v>
      </c>
      <c r="AO8" s="302" t="s">
        <v>86</v>
      </c>
      <c r="AP8" s="302" t="s">
        <v>6</v>
      </c>
      <c r="AQ8" s="302" t="s">
        <v>86</v>
      </c>
      <c r="AR8" s="309" t="s">
        <v>6</v>
      </c>
      <c r="AS8" s="309"/>
      <c r="AT8" s="302">
        <v>3</v>
      </c>
      <c r="AU8" s="302">
        <v>2</v>
      </c>
      <c r="AV8" s="302">
        <v>2.25</v>
      </c>
      <c r="AW8" s="302" t="str">
        <f t="shared" si="0"/>
        <v>-</v>
      </c>
      <c r="AX8" s="302" t="str">
        <f t="shared" si="1"/>
        <v>Grp 3: &gt;= 2 to &lt; 2.25</v>
      </c>
      <c r="AY8" s="302">
        <v>3</v>
      </c>
    </row>
    <row r="9" spans="2:51" ht="30.75" customHeight="1" x14ac:dyDescent="0.35">
      <c r="D9" s="22"/>
      <c r="E9" s="2" t="s">
        <v>87</v>
      </c>
      <c r="G9" s="2" t="s">
        <v>88</v>
      </c>
      <c r="K9" s="2" t="s">
        <v>89</v>
      </c>
      <c r="M9" s="84"/>
      <c r="N9" s="84"/>
      <c r="O9" s="250"/>
      <c r="P9" s="250"/>
      <c r="Q9" s="261"/>
      <c r="R9" s="261"/>
      <c r="S9" s="261"/>
      <c r="AC9" s="239"/>
      <c r="AD9" s="258"/>
      <c r="AE9" s="81"/>
      <c r="AG9" s="302" t="s">
        <v>86</v>
      </c>
      <c r="AH9" s="302"/>
      <c r="AI9" s="302"/>
      <c r="AJ9" s="306" t="s">
        <v>132</v>
      </c>
      <c r="AK9" s="311"/>
      <c r="AL9" s="310"/>
      <c r="AM9" s="306"/>
      <c r="AN9" s="302" t="s">
        <v>79</v>
      </c>
      <c r="AO9" s="302" t="s">
        <v>79</v>
      </c>
      <c r="AP9" s="302" t="s">
        <v>6</v>
      </c>
      <c r="AQ9" s="302" t="s">
        <v>79</v>
      </c>
      <c r="AR9" s="309" t="s">
        <v>6</v>
      </c>
      <c r="AS9" s="309"/>
      <c r="AT9" s="302">
        <v>4</v>
      </c>
      <c r="AU9" s="302">
        <v>2.25</v>
      </c>
      <c r="AV9" s="302">
        <v>2.5</v>
      </c>
      <c r="AW9" s="302" t="str">
        <f t="shared" si="0"/>
        <v>-</v>
      </c>
      <c r="AX9" s="302" t="str">
        <f t="shared" si="1"/>
        <v>Grp 4: &gt;= 2.25 to &lt; 2.5</v>
      </c>
      <c r="AY9" s="302">
        <v>4</v>
      </c>
    </row>
    <row r="10" spans="2:51" ht="7.5" customHeight="1" thickBot="1" x14ac:dyDescent="0.4">
      <c r="B10" s="1"/>
      <c r="O10" s="249"/>
      <c r="P10" s="249"/>
      <c r="AC10" s="239"/>
      <c r="AD10" s="258"/>
      <c r="AE10" s="81"/>
      <c r="AG10" s="302" t="s">
        <v>79</v>
      </c>
      <c r="AH10" s="310"/>
      <c r="AI10" s="310"/>
      <c r="AJ10" s="306" t="s">
        <v>122</v>
      </c>
      <c r="AK10" s="311"/>
      <c r="AL10" s="310"/>
      <c r="AM10" s="306"/>
      <c r="AN10" s="310" t="s">
        <v>3</v>
      </c>
      <c r="AO10" s="310" t="s">
        <v>3</v>
      </c>
      <c r="AP10" s="310">
        <v>9</v>
      </c>
      <c r="AQ10" s="310" t="s">
        <v>3</v>
      </c>
      <c r="AR10" s="309">
        <v>9</v>
      </c>
      <c r="AS10" s="309"/>
      <c r="AT10" s="302">
        <v>5</v>
      </c>
      <c r="AU10" s="302">
        <v>2.5</v>
      </c>
      <c r="AV10" s="302">
        <v>2.75</v>
      </c>
      <c r="AW10" s="302" t="str">
        <f t="shared" si="0"/>
        <v>-</v>
      </c>
      <c r="AX10" s="302" t="str">
        <f t="shared" si="1"/>
        <v>Grp 5: &gt;= 2.5 to &lt; 2.75</v>
      </c>
      <c r="AY10" s="302">
        <v>5</v>
      </c>
    </row>
    <row r="11" spans="2:51" ht="29.25" customHeight="1" thickBot="1" x14ac:dyDescent="0.4">
      <c r="B11" s="389" t="s">
        <v>76</v>
      </c>
      <c r="C11" s="390"/>
      <c r="E11" s="125" t="s">
        <v>151</v>
      </c>
      <c r="F11" s="84"/>
      <c r="G11" s="58" t="s">
        <v>151</v>
      </c>
      <c r="K11" s="58" t="s">
        <v>151</v>
      </c>
      <c r="N11" s="197"/>
      <c r="O11" s="250"/>
      <c r="P11" s="250"/>
      <c r="Q11" s="261"/>
      <c r="R11" s="263"/>
      <c r="AC11" s="239"/>
      <c r="AD11" s="258"/>
      <c r="AE11" s="81"/>
      <c r="AG11" s="310" t="s">
        <v>93</v>
      </c>
      <c r="AH11" s="310"/>
      <c r="AI11" s="310"/>
      <c r="AJ11" s="306" t="s">
        <v>123</v>
      </c>
      <c r="AK11" s="311"/>
      <c r="AL11" s="310"/>
      <c r="AM11" s="306"/>
      <c r="AN11" s="310" t="s">
        <v>43</v>
      </c>
      <c r="AO11" s="310" t="s">
        <v>43</v>
      </c>
      <c r="AP11" s="310">
        <v>13</v>
      </c>
      <c r="AQ11" s="310" t="s">
        <v>43</v>
      </c>
      <c r="AR11" s="309">
        <v>13</v>
      </c>
      <c r="AS11" s="309"/>
      <c r="AT11" s="302">
        <v>6</v>
      </c>
      <c r="AU11" s="302">
        <v>2.75</v>
      </c>
      <c r="AV11" s="302">
        <v>3</v>
      </c>
      <c r="AW11" s="302" t="str">
        <f t="shared" si="0"/>
        <v>-</v>
      </c>
      <c r="AX11" s="302" t="str">
        <f t="shared" si="1"/>
        <v>Grp 6: &gt;= 2.75 to &lt; 3</v>
      </c>
      <c r="AY11" s="302">
        <v>6</v>
      </c>
    </row>
    <row r="12" spans="2:51" ht="9.75" customHeight="1" x14ac:dyDescent="0.35">
      <c r="B12" s="75"/>
      <c r="C12" s="23"/>
      <c r="D12" s="22"/>
      <c r="E12" s="14"/>
      <c r="K12" s="15"/>
      <c r="O12" s="249"/>
      <c r="P12" s="249"/>
      <c r="AC12" s="239"/>
      <c r="AD12" s="258"/>
      <c r="AE12" s="81"/>
      <c r="AG12" s="310" t="s">
        <v>3</v>
      </c>
      <c r="AH12" s="310"/>
      <c r="AI12" s="310"/>
      <c r="AJ12" s="306" t="s">
        <v>124</v>
      </c>
      <c r="AK12" s="311"/>
      <c r="AL12" s="310"/>
      <c r="AM12" s="306"/>
      <c r="AN12" s="310" t="s">
        <v>44</v>
      </c>
      <c r="AO12" s="310" t="s">
        <v>44</v>
      </c>
      <c r="AP12" s="310">
        <v>15</v>
      </c>
      <c r="AQ12" s="310" t="s">
        <v>44</v>
      </c>
      <c r="AR12" s="309">
        <v>15</v>
      </c>
      <c r="AS12" s="309"/>
      <c r="AT12" s="302">
        <f>AT11+1</f>
        <v>7</v>
      </c>
      <c r="AU12" s="302">
        <v>3</v>
      </c>
      <c r="AV12" s="302">
        <v>6</v>
      </c>
      <c r="AW12" s="302" t="str">
        <f t="shared" si="0"/>
        <v>-</v>
      </c>
      <c r="AX12" s="302" t="str">
        <f t="shared" si="1"/>
        <v>Grp 7: &gt;= 3 to &lt; 6</v>
      </c>
      <c r="AY12" s="302">
        <f>AY11+1</f>
        <v>7</v>
      </c>
    </row>
    <row r="13" spans="2:51" ht="27.75" customHeight="1" x14ac:dyDescent="0.35">
      <c r="B13" s="75"/>
      <c r="C13" s="23"/>
      <c r="D13" s="22"/>
      <c r="E13" s="128" t="s">
        <v>119</v>
      </c>
      <c r="G13" s="128" t="s">
        <v>105</v>
      </c>
      <c r="K13" s="128" t="s">
        <v>103</v>
      </c>
      <c r="O13" s="249"/>
      <c r="P13" s="249"/>
      <c r="AC13" s="239"/>
      <c r="AD13" s="258"/>
      <c r="AE13" s="81"/>
      <c r="AG13" s="310" t="s">
        <v>43</v>
      </c>
      <c r="AH13" s="310"/>
      <c r="AI13" s="310"/>
      <c r="AJ13" s="306" t="s">
        <v>125</v>
      </c>
      <c r="AK13" s="311"/>
      <c r="AL13" s="302"/>
      <c r="AM13" s="306"/>
      <c r="AN13" s="310" t="s">
        <v>45</v>
      </c>
      <c r="AO13" s="310" t="s">
        <v>45</v>
      </c>
      <c r="AP13" s="310">
        <v>17</v>
      </c>
      <c r="AQ13" s="310" t="s">
        <v>45</v>
      </c>
      <c r="AR13" s="309">
        <v>17</v>
      </c>
      <c r="AS13" s="309"/>
      <c r="AT13" s="302">
        <f t="shared" ref="AT13:AT29" si="2">AT12+1</f>
        <v>8</v>
      </c>
      <c r="AU13" s="302">
        <v>6</v>
      </c>
      <c r="AV13" s="302">
        <v>9</v>
      </c>
      <c r="AW13" s="302" t="str">
        <f t="shared" si="0"/>
        <v>-</v>
      </c>
      <c r="AX13" s="302" t="str">
        <f t="shared" si="1"/>
        <v>Grp 8: &gt;= 6 to &lt; 9</v>
      </c>
      <c r="AY13" s="302">
        <f t="shared" ref="AY13:AY29" si="3">AY12+1</f>
        <v>8</v>
      </c>
    </row>
    <row r="14" spans="2:51" ht="8.25" customHeight="1" thickBot="1" x14ac:dyDescent="0.4">
      <c r="B14" s="75"/>
      <c r="C14" s="23"/>
      <c r="D14" s="22"/>
      <c r="E14" s="128"/>
      <c r="K14" s="128"/>
      <c r="O14" s="249"/>
      <c r="P14" s="249"/>
      <c r="AC14" s="239"/>
      <c r="AD14" s="258"/>
      <c r="AE14" s="81"/>
      <c r="AG14" s="310" t="s">
        <v>44</v>
      </c>
      <c r="AH14" s="310"/>
      <c r="AI14" s="310"/>
      <c r="AJ14" s="306" t="s">
        <v>355</v>
      </c>
      <c r="AK14" s="311"/>
      <c r="AL14" s="302"/>
      <c r="AM14" s="306"/>
      <c r="AN14" s="310" t="s">
        <v>4</v>
      </c>
      <c r="AO14" s="310" t="s">
        <v>4</v>
      </c>
      <c r="AP14" s="310">
        <v>21</v>
      </c>
      <c r="AQ14" s="310" t="s">
        <v>4</v>
      </c>
      <c r="AR14" s="309">
        <v>21</v>
      </c>
      <c r="AS14" s="309"/>
      <c r="AT14" s="302">
        <f t="shared" si="2"/>
        <v>9</v>
      </c>
      <c r="AU14" s="302">
        <v>9</v>
      </c>
      <c r="AV14" s="302">
        <v>10</v>
      </c>
      <c r="AW14" s="302" t="str">
        <f t="shared" si="0"/>
        <v>-</v>
      </c>
      <c r="AX14" s="302" t="str">
        <f t="shared" si="1"/>
        <v>Grp 9: &gt;= 9 to &lt; 10</v>
      </c>
      <c r="AY14" s="302">
        <f t="shared" si="3"/>
        <v>9</v>
      </c>
    </row>
    <row r="15" spans="2:51" ht="33.75" customHeight="1" thickBot="1" x14ac:dyDescent="0.4">
      <c r="B15" s="391" t="s">
        <v>144</v>
      </c>
      <c r="C15" s="391"/>
      <c r="D15" s="203"/>
      <c r="E15" s="225" t="s">
        <v>151</v>
      </c>
      <c r="G15" s="225" t="s">
        <v>151</v>
      </c>
      <c r="K15" s="225" t="s">
        <v>151</v>
      </c>
      <c r="O15" s="249"/>
      <c r="P15" s="249"/>
      <c r="AC15" s="239"/>
      <c r="AD15" s="258"/>
      <c r="AE15" s="81"/>
      <c r="AG15" s="310" t="s">
        <v>45</v>
      </c>
      <c r="AH15" s="310"/>
      <c r="AI15" s="310"/>
      <c r="AJ15" s="306" t="s">
        <v>356</v>
      </c>
      <c r="AK15" s="311"/>
      <c r="AL15" s="302"/>
      <c r="AM15" s="306"/>
      <c r="AN15" s="310" t="s">
        <v>5</v>
      </c>
      <c r="AO15" s="310" t="s">
        <v>5</v>
      </c>
      <c r="AP15" s="310">
        <v>27</v>
      </c>
      <c r="AQ15" s="310" t="s">
        <v>5</v>
      </c>
      <c r="AR15" s="309">
        <v>27</v>
      </c>
      <c r="AS15" s="309"/>
      <c r="AT15" s="302">
        <f t="shared" si="2"/>
        <v>10</v>
      </c>
      <c r="AU15" s="302">
        <v>10</v>
      </c>
      <c r="AV15" s="302">
        <v>12</v>
      </c>
      <c r="AW15" s="302" t="str">
        <f>IF(AND($G$27&gt;=AU15,$G$27&lt;AV15),"Y","-")</f>
        <v>-</v>
      </c>
      <c r="AX15" s="302" t="str">
        <f t="shared" si="1"/>
        <v>Grp 10: &gt;= 10 to &lt; 12</v>
      </c>
      <c r="AY15" s="302">
        <f t="shared" si="3"/>
        <v>10</v>
      </c>
    </row>
    <row r="16" spans="2:51" ht="9" customHeight="1" x14ac:dyDescent="0.35">
      <c r="B16" s="75"/>
      <c r="C16" s="23"/>
      <c r="D16" s="22"/>
      <c r="E16" s="14"/>
      <c r="K16" s="15"/>
      <c r="O16" s="249"/>
      <c r="P16" s="249"/>
      <c r="AC16" s="239"/>
      <c r="AD16" s="258"/>
      <c r="AE16" s="81"/>
      <c r="AG16" s="310" t="s">
        <v>4</v>
      </c>
      <c r="AH16" s="310"/>
      <c r="AI16" s="310"/>
      <c r="AJ16" s="306" t="s">
        <v>357</v>
      </c>
      <c r="AK16" s="302"/>
      <c r="AL16" s="302"/>
      <c r="AM16" s="312"/>
      <c r="AN16" s="310" t="s">
        <v>104</v>
      </c>
      <c r="AO16" s="310" t="s">
        <v>104</v>
      </c>
      <c r="AP16" s="310">
        <v>3</v>
      </c>
      <c r="AQ16" s="310" t="s">
        <v>104</v>
      </c>
      <c r="AR16" s="309">
        <v>3</v>
      </c>
      <c r="AS16" s="309"/>
      <c r="AT16" s="302">
        <f t="shared" si="2"/>
        <v>11</v>
      </c>
      <c r="AU16" s="302">
        <v>12</v>
      </c>
      <c r="AV16" s="302">
        <v>13</v>
      </c>
      <c r="AW16" s="302" t="str">
        <f t="shared" si="0"/>
        <v>-</v>
      </c>
      <c r="AX16" s="302" t="str">
        <f t="shared" si="1"/>
        <v>Grp 11: &gt;= 12 to &lt; 13</v>
      </c>
      <c r="AY16" s="302">
        <f t="shared" si="3"/>
        <v>11</v>
      </c>
    </row>
    <row r="17" spans="2:51" ht="43.5" customHeight="1" x14ac:dyDescent="0.35">
      <c r="B17" s="75"/>
      <c r="C17" s="23"/>
      <c r="D17" s="22"/>
      <c r="E17" s="15"/>
      <c r="H17" s="95"/>
      <c r="I17" s="128" t="s">
        <v>107</v>
      </c>
      <c r="J17" s="95"/>
      <c r="K17" s="128" t="s">
        <v>106</v>
      </c>
      <c r="M17" s="128" t="s">
        <v>108</v>
      </c>
      <c r="O17" s="249"/>
      <c r="P17" s="249"/>
      <c r="AC17" s="239"/>
      <c r="AD17" s="258"/>
      <c r="AE17" s="81"/>
      <c r="AG17" s="310" t="s">
        <v>5</v>
      </c>
      <c r="AH17" s="310"/>
      <c r="AI17" s="310"/>
      <c r="AJ17" s="306" t="s">
        <v>358</v>
      </c>
      <c r="AK17" s="302"/>
      <c r="AL17" s="302"/>
      <c r="AM17" s="306"/>
      <c r="AN17" s="306" t="s">
        <v>355</v>
      </c>
      <c r="AO17" s="306" t="s">
        <v>355</v>
      </c>
      <c r="AP17" s="306">
        <v>0.25</v>
      </c>
      <c r="AQ17" s="302" t="s">
        <v>133</v>
      </c>
      <c r="AR17" s="309">
        <v>0.25</v>
      </c>
      <c r="AS17" s="309"/>
      <c r="AT17" s="302">
        <f t="shared" si="2"/>
        <v>12</v>
      </c>
      <c r="AU17" s="302">
        <v>13</v>
      </c>
      <c r="AV17" s="302">
        <v>14</v>
      </c>
      <c r="AW17" s="302" t="str">
        <f t="shared" si="0"/>
        <v>-</v>
      </c>
      <c r="AX17" s="302" t="str">
        <f t="shared" si="1"/>
        <v>Grp 12: &gt;= 13 to &lt; 14</v>
      </c>
      <c r="AY17" s="302">
        <f t="shared" si="3"/>
        <v>12</v>
      </c>
    </row>
    <row r="18" spans="2:51" ht="6" customHeight="1" thickBot="1" x14ac:dyDescent="0.4">
      <c r="B18" s="75"/>
      <c r="C18" s="23"/>
      <c r="D18" s="22"/>
      <c r="E18" s="14"/>
      <c r="K18" s="15"/>
      <c r="O18" s="249"/>
      <c r="P18" s="249"/>
      <c r="AC18" s="239"/>
      <c r="AD18" s="258"/>
      <c r="AE18" s="81"/>
      <c r="AG18" s="310"/>
      <c r="AH18" s="302"/>
      <c r="AI18" s="305"/>
      <c r="AJ18" s="306" t="s">
        <v>359</v>
      </c>
      <c r="AK18" s="302"/>
      <c r="AL18" s="302"/>
      <c r="AM18" s="302"/>
      <c r="AN18" s="306" t="s">
        <v>356</v>
      </c>
      <c r="AO18" s="306" t="s">
        <v>356</v>
      </c>
      <c r="AP18" s="306">
        <v>0.5</v>
      </c>
      <c r="AQ18" s="302" t="s">
        <v>134</v>
      </c>
      <c r="AR18" s="309">
        <v>0.5</v>
      </c>
      <c r="AS18" s="309"/>
      <c r="AT18" s="302">
        <f t="shared" si="2"/>
        <v>13</v>
      </c>
      <c r="AU18" s="302">
        <v>14</v>
      </c>
      <c r="AV18" s="302">
        <v>14.5</v>
      </c>
      <c r="AW18" s="302" t="str">
        <f t="shared" si="0"/>
        <v>-</v>
      </c>
      <c r="AX18" s="302" t="str">
        <f t="shared" si="1"/>
        <v>Grp 13: &gt;= 14 to &lt; 14.5</v>
      </c>
      <c r="AY18" s="302">
        <f t="shared" si="3"/>
        <v>13</v>
      </c>
    </row>
    <row r="19" spans="2:51" ht="27.75" customHeight="1" thickBot="1" x14ac:dyDescent="0.4">
      <c r="B19" s="75"/>
      <c r="C19" s="23"/>
      <c r="D19" s="22"/>
      <c r="E19" s="199"/>
      <c r="G19" s="199"/>
      <c r="I19" s="225" t="s">
        <v>186</v>
      </c>
      <c r="K19" s="225" t="s">
        <v>186</v>
      </c>
      <c r="M19" s="225" t="s">
        <v>186</v>
      </c>
      <c r="O19" s="249"/>
      <c r="P19" s="249"/>
      <c r="AC19" s="239"/>
      <c r="AD19" s="258"/>
      <c r="AE19" s="81"/>
      <c r="AG19" s="302"/>
      <c r="AH19" s="302"/>
      <c r="AI19" s="305"/>
      <c r="AJ19" s="306" t="s">
        <v>360</v>
      </c>
      <c r="AK19" s="302"/>
      <c r="AL19" s="302"/>
      <c r="AM19" s="302"/>
      <c r="AN19" s="306" t="s">
        <v>357</v>
      </c>
      <c r="AO19" s="306" t="s">
        <v>357</v>
      </c>
      <c r="AP19" s="306">
        <v>0.75</v>
      </c>
      <c r="AQ19" s="302" t="s">
        <v>135</v>
      </c>
      <c r="AR19" s="309">
        <v>0.75</v>
      </c>
      <c r="AS19" s="309"/>
      <c r="AT19" s="302">
        <f t="shared" si="2"/>
        <v>14</v>
      </c>
      <c r="AU19" s="302">
        <v>14.5</v>
      </c>
      <c r="AV19" s="302">
        <v>15</v>
      </c>
      <c r="AW19" s="302" t="str">
        <f t="shared" si="0"/>
        <v>-</v>
      </c>
      <c r="AX19" s="302" t="str">
        <f t="shared" si="1"/>
        <v>Grp 14: &gt;= 14.5 to &lt; 15</v>
      </c>
      <c r="AY19" s="302">
        <f t="shared" si="3"/>
        <v>14</v>
      </c>
    </row>
    <row r="20" spans="2:51" ht="40.5" customHeight="1" thickBot="1" x14ac:dyDescent="0.45">
      <c r="B20" s="75"/>
      <c r="C20" s="23"/>
      <c r="D20" s="22"/>
      <c r="E20" s="14"/>
      <c r="K20" s="15"/>
      <c r="O20" s="249"/>
      <c r="P20" s="249"/>
      <c r="AC20" s="239"/>
      <c r="AD20" s="258"/>
      <c r="AE20" s="81"/>
      <c r="AG20" s="313" t="s">
        <v>120</v>
      </c>
      <c r="AH20" s="302"/>
      <c r="AI20" s="302"/>
      <c r="AJ20" s="302"/>
      <c r="AK20" s="302"/>
      <c r="AL20" s="302"/>
      <c r="AM20" s="302"/>
      <c r="AN20" s="306" t="s">
        <v>358</v>
      </c>
      <c r="AO20" s="306" t="s">
        <v>358</v>
      </c>
      <c r="AP20" s="306">
        <v>1</v>
      </c>
      <c r="AQ20" s="302" t="s">
        <v>136</v>
      </c>
      <c r="AR20" s="309">
        <v>1</v>
      </c>
      <c r="AS20" s="309"/>
      <c r="AT20" s="302">
        <f t="shared" si="2"/>
        <v>15</v>
      </c>
      <c r="AU20" s="302">
        <v>15</v>
      </c>
      <c r="AV20" s="302">
        <v>15.5</v>
      </c>
      <c r="AW20" s="302" t="str">
        <f t="shared" si="0"/>
        <v>-</v>
      </c>
      <c r="AX20" s="302" t="str">
        <f t="shared" si="1"/>
        <v>Grp 15: &gt;= 15 to &lt; 15.5</v>
      </c>
      <c r="AY20" s="302">
        <f t="shared" si="3"/>
        <v>15</v>
      </c>
    </row>
    <row r="21" spans="2:51" ht="30" customHeight="1" thickBot="1" x14ac:dyDescent="0.45">
      <c r="B21" s="385" t="s">
        <v>143</v>
      </c>
      <c r="C21" s="385"/>
      <c r="D21" s="22"/>
      <c r="E21" s="217" t="e">
        <f>IF(E11&lt;&gt;AG11,VLOOKUP(E11,AN7:AP27,3,FALSE),VLOOKUP(E15,AN7:AP27,3,FALSE))</f>
        <v>#N/A</v>
      </c>
      <c r="G21" s="217" t="e">
        <f>IF(G11&lt;&gt;AG11,VLOOKUP(G11,AO7:AP27,2,FALSE),VLOOKUP(G15,AO7:AP27,2,FALSE))</f>
        <v>#N/A</v>
      </c>
      <c r="I21" s="217" t="str">
        <f>IF(AND(K11=AG11,K15=AJ31,VLOOKUP(I19,AQ7:AR28,2,FALSE)="-",OR(ISNUMBER(VLOOKUP(K19,AQ7:AR28,2,FALSE)),ISNUMBER(VLOOKUP(M19,AQ7:AR28,2,FALSE)))),3,IF(AND(K11=AG11,K15=AJ31),VLOOKUP(I19,AQ7:AR28,2,FALSE),"-"))</f>
        <v>-</v>
      </c>
      <c r="K21" s="217" t="e">
        <f>IF(K11&lt;&gt;AG11,VLOOKUP(K11,AQ7:AR28,2,FALSE),IF(AND(K11=AG11,K15=AJ31,VLOOKUP(K19,AQ7:AR28,2,FALSE)="-",OR(ISNUMBER(VLOOKUP(I19,AQ7:AR28,2,FALSE)),ISNUMBER(VLOOKUP(M19,AQ7:AR28,2,FALSE)))),3,IF(AND(K11=AG11,K15=AJ31),VLOOKUP(K19,AQ7:AR28,2,FALSE),VLOOKUP(K15,AQ7:AR28,2,FALSE))))</f>
        <v>#N/A</v>
      </c>
      <c r="M21" s="217" t="str">
        <f>IF(AND(K11=AG11,K15=AJ31,VLOOKUP(M19,AQ7:AR28,2,FALSE)="-",OR(ISNUMBER(VLOOKUP(K19,AQ7:AR28,2,FALSE)),ISNUMBER(VLOOKUP(I19,AQ7:AR28,2,FALSE)))),3,IF(AND(K11=AG11,K15=AJ31),VLOOKUP(M19,AQ7:AR28,2,FALSE),"-"))</f>
        <v>-</v>
      </c>
      <c r="O21" s="249"/>
      <c r="P21" s="249"/>
      <c r="AC21" s="239"/>
      <c r="AD21" s="258"/>
      <c r="AE21" s="81"/>
      <c r="AG21" s="313"/>
      <c r="AH21" s="302"/>
      <c r="AI21" s="311"/>
      <c r="AJ21" s="304" t="s">
        <v>131</v>
      </c>
      <c r="AK21" s="302"/>
      <c r="AL21" s="302"/>
      <c r="AM21" s="302"/>
      <c r="AN21" s="306" t="s">
        <v>359</v>
      </c>
      <c r="AO21" s="312" t="s">
        <v>359</v>
      </c>
      <c r="AP21" s="312">
        <v>1.25</v>
      </c>
      <c r="AQ21" s="302" t="s">
        <v>137</v>
      </c>
      <c r="AR21" s="309">
        <v>1.25</v>
      </c>
      <c r="AS21" s="309"/>
      <c r="AT21" s="302">
        <f t="shared" si="2"/>
        <v>16</v>
      </c>
      <c r="AU21" s="302">
        <v>15.5</v>
      </c>
      <c r="AV21" s="302">
        <v>16</v>
      </c>
      <c r="AW21" s="302" t="str">
        <f t="shared" si="0"/>
        <v>-</v>
      </c>
      <c r="AX21" s="302" t="str">
        <f t="shared" si="1"/>
        <v>Grp 16: &gt;= 15.5 to &lt; 16</v>
      </c>
      <c r="AY21" s="302">
        <f t="shared" si="3"/>
        <v>16</v>
      </c>
    </row>
    <row r="22" spans="2:51" ht="9" customHeight="1" x14ac:dyDescent="0.4">
      <c r="B22" s="189"/>
      <c r="C22" s="189"/>
      <c r="D22" s="22"/>
      <c r="E22" s="14"/>
      <c r="K22" s="15"/>
      <c r="O22" s="249"/>
      <c r="P22" s="249"/>
      <c r="AC22" s="239"/>
      <c r="AD22" s="258"/>
      <c r="AE22" s="81"/>
      <c r="AG22" s="307" t="s">
        <v>151</v>
      </c>
      <c r="AH22" s="302"/>
      <c r="AI22" s="311"/>
      <c r="AJ22" s="304"/>
      <c r="AK22" s="302"/>
      <c r="AL22" s="302"/>
      <c r="AM22" s="302"/>
      <c r="AN22" s="306" t="s">
        <v>360</v>
      </c>
      <c r="AO22" s="306" t="s">
        <v>360</v>
      </c>
      <c r="AP22" s="306">
        <v>1.5</v>
      </c>
      <c r="AQ22" s="302" t="s">
        <v>138</v>
      </c>
      <c r="AR22" s="309">
        <v>1.5</v>
      </c>
      <c r="AS22" s="309"/>
      <c r="AT22" s="302">
        <f t="shared" si="2"/>
        <v>17</v>
      </c>
      <c r="AU22" s="302">
        <v>16</v>
      </c>
      <c r="AV22" s="302">
        <v>16.5</v>
      </c>
      <c r="AW22" s="302" t="str">
        <f t="shared" si="0"/>
        <v>-</v>
      </c>
      <c r="AX22" s="302" t="str">
        <f t="shared" si="1"/>
        <v>Grp 17: &gt;= 16 to &lt; 16.5</v>
      </c>
      <c r="AY22" s="302">
        <f t="shared" si="3"/>
        <v>17</v>
      </c>
    </row>
    <row r="23" spans="2:51" ht="37.5" customHeight="1" x14ac:dyDescent="0.35">
      <c r="C23" s="23"/>
      <c r="D23" s="22"/>
      <c r="F23" s="128" t="s">
        <v>90</v>
      </c>
      <c r="G23" s="39"/>
      <c r="N23" s="128"/>
      <c r="O23" s="249"/>
      <c r="P23" s="249"/>
      <c r="R23" s="264"/>
      <c r="AC23" s="239"/>
      <c r="AD23" s="258"/>
      <c r="AE23" s="81"/>
      <c r="AG23" s="310" t="s">
        <v>104</v>
      </c>
      <c r="AH23" s="302"/>
      <c r="AI23" s="311"/>
      <c r="AJ23" s="307" t="s">
        <v>151</v>
      </c>
      <c r="AK23" s="302"/>
      <c r="AL23" s="302"/>
      <c r="AM23" s="314"/>
      <c r="AN23" s="306" t="s">
        <v>132</v>
      </c>
      <c r="AO23" s="306" t="s">
        <v>126</v>
      </c>
      <c r="AP23" s="306">
        <v>1.75</v>
      </c>
      <c r="AQ23" s="302" t="s">
        <v>186</v>
      </c>
      <c r="AR23" s="315" t="s">
        <v>6</v>
      </c>
      <c r="AS23" s="309"/>
      <c r="AT23" s="302">
        <f t="shared" si="2"/>
        <v>18</v>
      </c>
      <c r="AU23" s="302">
        <v>16.5</v>
      </c>
      <c r="AV23" s="302">
        <v>17</v>
      </c>
      <c r="AW23" s="302" t="str">
        <f t="shared" si="0"/>
        <v>-</v>
      </c>
      <c r="AX23" s="302" t="str">
        <f t="shared" si="1"/>
        <v>Grp 18: &gt;= 16.5 to &lt; 17</v>
      </c>
      <c r="AY23" s="302">
        <f t="shared" si="3"/>
        <v>18</v>
      </c>
    </row>
    <row r="24" spans="2:51" ht="9.75" customHeight="1" thickBot="1" x14ac:dyDescent="0.4">
      <c r="C24" s="1"/>
      <c r="O24" s="249"/>
      <c r="P24" s="249"/>
      <c r="AC24" s="239"/>
      <c r="AD24" s="258"/>
      <c r="AE24" s="81"/>
      <c r="AG24" s="306" t="s">
        <v>126</v>
      </c>
      <c r="AH24" s="302"/>
      <c r="AI24" s="311"/>
      <c r="AJ24" s="306" t="s">
        <v>104</v>
      </c>
      <c r="AK24" s="302"/>
      <c r="AL24" s="302"/>
      <c r="AM24" s="314"/>
      <c r="AN24" s="306" t="s">
        <v>122</v>
      </c>
      <c r="AO24" s="306" t="s">
        <v>127</v>
      </c>
      <c r="AP24" s="306">
        <v>2</v>
      </c>
      <c r="AQ24" s="302" t="s">
        <v>118</v>
      </c>
      <c r="AR24" s="309">
        <v>1.75</v>
      </c>
      <c r="AS24" s="309"/>
      <c r="AT24" s="302">
        <f t="shared" si="2"/>
        <v>19</v>
      </c>
      <c r="AU24" s="302">
        <v>17</v>
      </c>
      <c r="AV24" s="302">
        <v>18</v>
      </c>
      <c r="AW24" s="302" t="str">
        <f t="shared" si="0"/>
        <v>-</v>
      </c>
      <c r="AX24" s="302" t="str">
        <f t="shared" si="1"/>
        <v>Grp 19: &gt;= 17 to &lt; 18</v>
      </c>
      <c r="AY24" s="302">
        <f t="shared" si="3"/>
        <v>19</v>
      </c>
    </row>
    <row r="25" spans="2:51" ht="33.75" customHeight="1" thickBot="1" x14ac:dyDescent="0.4">
      <c r="B25" s="385" t="s">
        <v>216</v>
      </c>
      <c r="C25" s="385"/>
      <c r="D25" s="27"/>
      <c r="F25" s="218" t="str">
        <f>IFERROR(IF(ISERROR(E21),G21,IF(ISERROR(G21),E21,AVERAGE(E21,G21))),"-")</f>
        <v>-</v>
      </c>
      <c r="G25" s="182"/>
      <c r="H25" s="17"/>
      <c r="I25" s="17"/>
      <c r="J25" s="17"/>
      <c r="K25" s="218" t="e">
        <f>IF(AND(K11=AG11,K15=AJ31),VLOOKUP("Y",AQ32:AR36,2,FALSE),K21)</f>
        <v>#N/A</v>
      </c>
      <c r="N25" s="197"/>
      <c r="O25" s="249"/>
      <c r="P25" s="249"/>
      <c r="R25" s="263"/>
      <c r="AC25" s="239"/>
      <c r="AD25" s="258"/>
      <c r="AE25" s="81"/>
      <c r="AG25" s="306" t="s">
        <v>127</v>
      </c>
      <c r="AH25" s="302"/>
      <c r="AI25" s="311"/>
      <c r="AJ25" s="302" t="s">
        <v>133</v>
      </c>
      <c r="AK25" s="302"/>
      <c r="AL25" s="302"/>
      <c r="AM25" s="314"/>
      <c r="AN25" s="306" t="s">
        <v>123</v>
      </c>
      <c r="AO25" s="306" t="s">
        <v>128</v>
      </c>
      <c r="AP25" s="306">
        <v>2.25</v>
      </c>
      <c r="AQ25" s="302" t="s">
        <v>139</v>
      </c>
      <c r="AR25" s="309">
        <v>2</v>
      </c>
      <c r="AS25" s="309"/>
      <c r="AT25" s="302">
        <f t="shared" si="2"/>
        <v>20</v>
      </c>
      <c r="AU25" s="302">
        <v>18</v>
      </c>
      <c r="AV25" s="302">
        <v>19</v>
      </c>
      <c r="AW25" s="302" t="str">
        <f t="shared" si="0"/>
        <v>-</v>
      </c>
      <c r="AX25" s="302" t="str">
        <f t="shared" si="1"/>
        <v>Grp 20: &gt;= 18 to &lt; 19</v>
      </c>
      <c r="AY25" s="302">
        <f t="shared" si="3"/>
        <v>20</v>
      </c>
    </row>
    <row r="26" spans="2:51" ht="34.5" customHeight="1" thickBot="1" x14ac:dyDescent="0.4">
      <c r="C26" s="2"/>
      <c r="D26" s="27"/>
      <c r="F26" s="184"/>
      <c r="G26" s="182"/>
      <c r="H26" s="17"/>
      <c r="I26" s="17"/>
      <c r="J26" s="17"/>
      <c r="K26" s="184"/>
      <c r="O26" s="249"/>
      <c r="P26" s="249"/>
      <c r="AC26" s="239"/>
      <c r="AD26" s="258"/>
      <c r="AE26" s="81"/>
      <c r="AG26" s="306" t="s">
        <v>128</v>
      </c>
      <c r="AH26" s="302"/>
      <c r="AI26" s="311"/>
      <c r="AJ26" s="302" t="s">
        <v>134</v>
      </c>
      <c r="AK26" s="302"/>
      <c r="AL26" s="302"/>
      <c r="AM26" s="314"/>
      <c r="AN26" s="312" t="s">
        <v>124</v>
      </c>
      <c r="AO26" s="306" t="s">
        <v>129</v>
      </c>
      <c r="AP26" s="306">
        <v>2.5</v>
      </c>
      <c r="AQ26" s="302" t="s">
        <v>98</v>
      </c>
      <c r="AR26" s="309">
        <v>2.25</v>
      </c>
      <c r="AS26" s="309"/>
      <c r="AT26" s="302">
        <f t="shared" si="2"/>
        <v>21</v>
      </c>
      <c r="AU26" s="302">
        <v>19</v>
      </c>
      <c r="AV26" s="302">
        <v>20</v>
      </c>
      <c r="AW26" s="302" t="str">
        <f t="shared" si="0"/>
        <v>-</v>
      </c>
      <c r="AX26" s="302" t="str">
        <f t="shared" si="1"/>
        <v>Grp 21: &gt;= 19 to &lt; 20</v>
      </c>
      <c r="AY26" s="302">
        <f t="shared" si="3"/>
        <v>21</v>
      </c>
    </row>
    <row r="27" spans="2:51" ht="40.5" customHeight="1" thickBot="1" x14ac:dyDescent="0.4">
      <c r="B27" s="385" t="s">
        <v>217</v>
      </c>
      <c r="C27" s="385"/>
      <c r="D27" s="27"/>
      <c r="E27" s="2"/>
      <c r="F27" s="2"/>
      <c r="G27" s="394" t="str">
        <f>IF(AND(ISNUMBER(F25),ISNUMBER(K25)),AVERAGE(F25,K25),IF(ISNUMBER(F25),F25,IF(ISNUMBER(K25),K25,"Pupil excluded")))</f>
        <v>Pupil excluded</v>
      </c>
      <c r="H27" s="395"/>
      <c r="I27" s="396"/>
      <c r="J27" s="17"/>
      <c r="M27" s="392" t="s">
        <v>174</v>
      </c>
      <c r="O27" s="252"/>
      <c r="P27" s="249"/>
      <c r="AC27" s="239"/>
      <c r="AD27" s="258"/>
      <c r="AE27" s="81"/>
      <c r="AG27" s="306" t="s">
        <v>129</v>
      </c>
      <c r="AH27" s="302"/>
      <c r="AI27" s="311"/>
      <c r="AJ27" s="302" t="s">
        <v>135</v>
      </c>
      <c r="AK27" s="302"/>
      <c r="AL27" s="302"/>
      <c r="AM27" s="302"/>
      <c r="AN27" s="306" t="s">
        <v>125</v>
      </c>
      <c r="AO27" s="306" t="s">
        <v>130</v>
      </c>
      <c r="AP27" s="306">
        <v>2.75</v>
      </c>
      <c r="AQ27" s="302" t="s">
        <v>99</v>
      </c>
      <c r="AR27" s="309">
        <v>2.5</v>
      </c>
      <c r="AS27" s="309"/>
      <c r="AT27" s="302">
        <f t="shared" si="2"/>
        <v>22</v>
      </c>
      <c r="AU27" s="302">
        <v>20</v>
      </c>
      <c r="AV27" s="302">
        <v>21</v>
      </c>
      <c r="AW27" s="302" t="str">
        <f t="shared" si="0"/>
        <v>-</v>
      </c>
      <c r="AX27" s="302" t="str">
        <f t="shared" si="1"/>
        <v>Grp 22: &gt;= 20 to &lt; 21</v>
      </c>
      <c r="AY27" s="302">
        <f t="shared" si="3"/>
        <v>22</v>
      </c>
    </row>
    <row r="28" spans="2:51" ht="32.25" customHeight="1" thickBot="1" x14ac:dyDescent="0.4">
      <c r="B28" s="385"/>
      <c r="C28" s="385"/>
      <c r="D28" s="2"/>
      <c r="H28" s="18"/>
      <c r="I28" s="18"/>
      <c r="J28" s="18"/>
      <c r="K28" s="36"/>
      <c r="M28" s="393"/>
      <c r="O28" s="253"/>
      <c r="P28" s="253"/>
      <c r="Q28" s="265"/>
      <c r="AC28" s="239"/>
      <c r="AD28" s="258"/>
      <c r="AE28" s="81"/>
      <c r="AG28" s="306" t="s">
        <v>130</v>
      </c>
      <c r="AH28" s="302"/>
      <c r="AI28" s="311"/>
      <c r="AJ28" s="302" t="s">
        <v>136</v>
      </c>
      <c r="AK28" s="302"/>
      <c r="AL28" s="302"/>
      <c r="AM28" s="302"/>
      <c r="AN28" s="302"/>
      <c r="AO28" s="302"/>
      <c r="AP28" s="302"/>
      <c r="AQ28" s="302" t="s">
        <v>100</v>
      </c>
      <c r="AR28" s="309">
        <v>2.75</v>
      </c>
      <c r="AS28" s="302"/>
      <c r="AT28" s="302">
        <f t="shared" si="2"/>
        <v>23</v>
      </c>
      <c r="AU28" s="302">
        <v>21</v>
      </c>
      <c r="AV28" s="302">
        <v>21.5</v>
      </c>
      <c r="AW28" s="302" t="str">
        <f t="shared" si="0"/>
        <v>-</v>
      </c>
      <c r="AX28" s="302" t="str">
        <f t="shared" si="1"/>
        <v>Grp 23: &gt;= 21 to &lt; 21.5</v>
      </c>
      <c r="AY28" s="302">
        <f t="shared" si="3"/>
        <v>23</v>
      </c>
    </row>
    <row r="29" spans="2:51" ht="36.75" customHeight="1" thickBot="1" x14ac:dyDescent="0.55000000000000004">
      <c r="B29" s="219" t="s">
        <v>180</v>
      </c>
      <c r="C29" s="23"/>
      <c r="D29" s="23"/>
      <c r="G29" s="394" t="str">
        <f>IF(ISERROR(VLOOKUP("Y",AW6:AY29,2,FALSE)),"-",(VLOOKUP("Y",AW6:AY29,2,FALSE)))</f>
        <v>-</v>
      </c>
      <c r="H29" s="395"/>
      <c r="I29" s="396"/>
      <c r="J29" s="18"/>
      <c r="K29" s="38"/>
      <c r="L29" s="183"/>
      <c r="M29" s="93"/>
      <c r="O29" s="384"/>
      <c r="P29" s="384"/>
      <c r="Q29" s="384"/>
      <c r="AC29" s="239"/>
      <c r="AD29" s="258"/>
      <c r="AE29" s="81"/>
      <c r="AG29" s="306" t="s">
        <v>355</v>
      </c>
      <c r="AH29" s="311"/>
      <c r="AI29" s="311"/>
      <c r="AJ29" s="302" t="s">
        <v>137</v>
      </c>
      <c r="AK29" s="302"/>
      <c r="AL29" s="302"/>
      <c r="AM29" s="302"/>
      <c r="AN29" s="302"/>
      <c r="AO29" s="302"/>
      <c r="AP29" s="302"/>
      <c r="AQ29" s="302"/>
      <c r="AR29" s="309"/>
      <c r="AS29" s="316"/>
      <c r="AT29" s="302">
        <f t="shared" si="2"/>
        <v>24</v>
      </c>
      <c r="AU29" s="302">
        <v>21.5</v>
      </c>
      <c r="AV29" s="302">
        <v>27</v>
      </c>
      <c r="AW29" s="302" t="str">
        <f>IF(AND($G$27&gt;=AU29,$G$27&lt;=AV29),"Y","-")</f>
        <v>-</v>
      </c>
      <c r="AX29" s="302" t="str">
        <f>CONCATENATE(AX$5,"",AT29,": &gt;= ",AU29)</f>
        <v>Grp 24: &gt;= 21.5</v>
      </c>
      <c r="AY29" s="302">
        <f t="shared" si="3"/>
        <v>24</v>
      </c>
    </row>
    <row r="30" spans="2:51" ht="28.5" customHeight="1" x14ac:dyDescent="0.5">
      <c r="H30" s="19"/>
      <c r="I30" s="19"/>
      <c r="J30" s="19"/>
      <c r="K30" s="38"/>
      <c r="L30" s="183"/>
      <c r="M30" s="93"/>
      <c r="O30" s="201"/>
      <c r="P30" s="201"/>
      <c r="Q30" s="265"/>
      <c r="AC30" s="239"/>
      <c r="AD30" s="258"/>
      <c r="AE30" s="81"/>
      <c r="AG30" s="306" t="s">
        <v>356</v>
      </c>
      <c r="AH30" s="311"/>
      <c r="AI30" s="311"/>
      <c r="AJ30" s="302" t="s">
        <v>138</v>
      </c>
      <c r="AK30" s="302"/>
      <c r="AL30" s="302"/>
      <c r="AM30" s="302"/>
      <c r="AN30" s="383" t="s">
        <v>177</v>
      </c>
      <c r="AO30" s="383"/>
      <c r="AP30" s="383"/>
      <c r="AQ30" s="383"/>
      <c r="AR30" s="383"/>
      <c r="AS30" s="302"/>
      <c r="AT30" s="302"/>
      <c r="AU30" s="302"/>
      <c r="AV30" s="302"/>
      <c r="AW30" s="302"/>
      <c r="AX30" s="302"/>
      <c r="AY30" s="302"/>
    </row>
    <row r="31" spans="2:51" ht="48.75" customHeight="1" x14ac:dyDescent="0.35">
      <c r="M31" s="84"/>
      <c r="O31" s="201"/>
      <c r="P31" s="201"/>
      <c r="Q31" s="265"/>
      <c r="AC31" s="239"/>
      <c r="AD31" s="258"/>
      <c r="AE31" s="81"/>
      <c r="AG31" s="306" t="s">
        <v>357</v>
      </c>
      <c r="AH31" s="311"/>
      <c r="AI31" s="311"/>
      <c r="AJ31" s="302" t="s">
        <v>101</v>
      </c>
      <c r="AK31" s="302"/>
      <c r="AL31" s="302"/>
      <c r="AM31" s="302"/>
      <c r="AN31" s="302" t="s">
        <v>91</v>
      </c>
      <c r="AO31" s="317" t="s">
        <v>92</v>
      </c>
      <c r="AP31" s="317"/>
      <c r="AQ31" s="302" t="s">
        <v>178</v>
      </c>
      <c r="AR31" s="302" t="s">
        <v>179</v>
      </c>
      <c r="AS31" s="302"/>
      <c r="AT31" s="302"/>
      <c r="AU31" s="302"/>
      <c r="AV31" s="302"/>
      <c r="AW31" s="302"/>
      <c r="AX31" s="302"/>
      <c r="AY31" s="302"/>
    </row>
    <row r="32" spans="2:51" ht="56.25" customHeight="1" x14ac:dyDescent="0.35">
      <c r="C32" s="16"/>
      <c r="D32" s="16"/>
      <c r="M32" s="84"/>
      <c r="O32" s="199"/>
      <c r="P32" s="199"/>
      <c r="Q32" s="266"/>
      <c r="R32" s="267"/>
      <c r="S32" s="264"/>
      <c r="AC32" s="239"/>
      <c r="AD32" s="258"/>
      <c r="AE32" s="81"/>
      <c r="AG32" s="306" t="s">
        <v>358</v>
      </c>
      <c r="AH32" s="302"/>
      <c r="AI32" s="302"/>
      <c r="AJ32" s="307" t="s">
        <v>151</v>
      </c>
      <c r="AK32" s="302"/>
      <c r="AL32" s="302"/>
      <c r="AM32" s="302"/>
      <c r="AN32" s="302">
        <v>1.75</v>
      </c>
      <c r="AO32" s="302">
        <v>2</v>
      </c>
      <c r="AP32" s="302"/>
      <c r="AQ32" s="302" t="e">
        <f>IF(AND(AVERAGE($I$21,$K$21,$M$21)&gt;=AN32,AVERAGE($I$21,$K$21,$M$21)&lt;AO32),"Y","-")</f>
        <v>#N/A</v>
      </c>
      <c r="AR32" s="302">
        <v>1.75</v>
      </c>
      <c r="AS32" s="302"/>
      <c r="AT32" s="302"/>
      <c r="AU32" s="302"/>
      <c r="AV32" s="302"/>
      <c r="AW32" s="302"/>
      <c r="AX32" s="302"/>
      <c r="AY32" s="302"/>
    </row>
    <row r="33" spans="13:51" ht="33" customHeight="1" x14ac:dyDescent="0.35">
      <c r="M33" s="84"/>
      <c r="N33" s="197"/>
      <c r="O33" s="197"/>
      <c r="P33" s="93"/>
      <c r="Q33" s="266"/>
      <c r="R33" s="263"/>
      <c r="S33" s="263"/>
      <c r="AC33" s="239"/>
      <c r="AD33" s="258"/>
      <c r="AE33" s="81"/>
      <c r="AG33" s="312" t="s">
        <v>359</v>
      </c>
      <c r="AH33" s="302"/>
      <c r="AI33" s="302"/>
      <c r="AJ33" s="307" t="s">
        <v>186</v>
      </c>
      <c r="AK33" s="302"/>
      <c r="AL33" s="302"/>
      <c r="AM33" s="302"/>
      <c r="AN33" s="302">
        <v>2</v>
      </c>
      <c r="AO33" s="302">
        <v>2.25</v>
      </c>
      <c r="AP33" s="302"/>
      <c r="AQ33" s="302" t="e">
        <f>IF(AND(AVERAGE($I$21,$K$21,$M$21)&gt;=AN33,AVERAGE($I$21,$K$21,$M$21)&lt;AO33),"Y","-")</f>
        <v>#N/A</v>
      </c>
      <c r="AR33" s="302">
        <v>2</v>
      </c>
      <c r="AS33" s="302"/>
      <c r="AT33" s="302"/>
      <c r="AU33" s="302"/>
      <c r="AV33" s="302"/>
      <c r="AW33" s="302"/>
      <c r="AX33" s="302"/>
      <c r="AY33" s="302"/>
    </row>
    <row r="34" spans="13:51" ht="20.25" customHeight="1" x14ac:dyDescent="0.35">
      <c r="M34" s="84"/>
      <c r="N34" s="197"/>
      <c r="O34" s="93"/>
      <c r="P34" s="93"/>
      <c r="Q34" s="266"/>
      <c r="R34" s="261"/>
      <c r="S34" s="261"/>
      <c r="AC34" s="239"/>
      <c r="AD34" s="258"/>
      <c r="AE34" s="81"/>
      <c r="AG34" s="306" t="s">
        <v>360</v>
      </c>
      <c r="AH34" s="302"/>
      <c r="AI34" s="302"/>
      <c r="AJ34" s="302" t="s">
        <v>118</v>
      </c>
      <c r="AK34" s="302"/>
      <c r="AL34" s="302"/>
      <c r="AM34" s="302"/>
      <c r="AN34" s="302">
        <v>2.25</v>
      </c>
      <c r="AO34" s="302">
        <v>2.5</v>
      </c>
      <c r="AP34" s="302"/>
      <c r="AQ34" s="302" t="e">
        <f>IF(AND(AVERAGE($I$21,$K$21,$M$21)&gt;=AN34,AVERAGE($I$21,$K$21,$M$21)&lt;AO34),"Y","-")</f>
        <v>#N/A</v>
      </c>
      <c r="AR34" s="302">
        <v>2.25</v>
      </c>
      <c r="AS34" s="302"/>
      <c r="AT34" s="302"/>
      <c r="AU34" s="302"/>
      <c r="AV34" s="302"/>
      <c r="AW34" s="302"/>
      <c r="AX34" s="302"/>
      <c r="AY34" s="302"/>
    </row>
    <row r="35" spans="13:51" ht="17.25" customHeight="1" x14ac:dyDescent="0.35">
      <c r="M35" s="84"/>
      <c r="N35" s="93"/>
      <c r="O35" s="93"/>
      <c r="P35" s="93"/>
      <c r="Q35" s="266"/>
      <c r="R35" s="266"/>
      <c r="S35" s="266"/>
      <c r="AC35" s="239"/>
      <c r="AD35" s="258"/>
      <c r="AE35" s="81"/>
      <c r="AG35" s="302"/>
      <c r="AH35" s="302"/>
      <c r="AI35" s="302"/>
      <c r="AJ35" s="302" t="s">
        <v>139</v>
      </c>
      <c r="AK35" s="302"/>
      <c r="AL35" s="302"/>
      <c r="AM35" s="302"/>
      <c r="AN35" s="302">
        <v>2.5</v>
      </c>
      <c r="AO35" s="302">
        <v>2.75</v>
      </c>
      <c r="AP35" s="302"/>
      <c r="AQ35" s="302" t="e">
        <f>IF(AND(AVERAGE($I$21,$K$21,$M$21)&gt;=AN35,AVERAGE($I$21,$K$21,$M$21)&lt;AO35),"Y","-")</f>
        <v>#N/A</v>
      </c>
      <c r="AR35" s="302">
        <v>2.5</v>
      </c>
      <c r="AS35" s="302"/>
      <c r="AT35" s="302"/>
      <c r="AU35" s="302"/>
      <c r="AV35" s="302"/>
      <c r="AW35" s="302"/>
      <c r="AX35" s="302"/>
      <c r="AY35" s="302"/>
    </row>
    <row r="36" spans="13:51" x14ac:dyDescent="0.35">
      <c r="N36" s="84"/>
      <c r="O36" s="84"/>
      <c r="P36" s="84"/>
      <c r="Q36" s="261"/>
      <c r="R36" s="261"/>
      <c r="S36" s="261"/>
      <c r="AC36" s="239"/>
      <c r="AD36" s="258"/>
      <c r="AE36" s="81"/>
      <c r="AG36" s="302"/>
      <c r="AH36" s="302"/>
      <c r="AI36" s="302"/>
      <c r="AJ36" s="302" t="s">
        <v>98</v>
      </c>
      <c r="AK36" s="302"/>
      <c r="AL36" s="302"/>
      <c r="AM36" s="302"/>
      <c r="AN36" s="302">
        <v>2.75</v>
      </c>
      <c r="AO36" s="302">
        <v>3</v>
      </c>
      <c r="AP36" s="302"/>
      <c r="AQ36" s="302" t="e">
        <f>IF(AND(AVERAGE($I$21,$K$21,$M$21)&gt;=AN36,AVERAGE($I$21,$K$21,$M$21)&lt;AO36),"Y","-")</f>
        <v>#N/A</v>
      </c>
      <c r="AR36" s="302">
        <v>2.75</v>
      </c>
      <c r="AS36" s="302"/>
      <c r="AT36" s="302"/>
      <c r="AU36" s="302"/>
      <c r="AV36" s="302"/>
      <c r="AW36" s="302"/>
      <c r="AX36" s="302"/>
      <c r="AY36" s="302"/>
    </row>
    <row r="37" spans="13:51" ht="27" customHeight="1" x14ac:dyDescent="0.35">
      <c r="N37" s="84"/>
      <c r="O37" s="84"/>
      <c r="P37" s="84"/>
      <c r="Q37" s="261"/>
      <c r="R37" s="261"/>
      <c r="S37" s="261"/>
      <c r="AC37" s="239"/>
      <c r="AD37" s="258"/>
      <c r="AE37" s="81"/>
      <c r="AG37" s="302"/>
      <c r="AH37" s="302"/>
      <c r="AI37" s="302"/>
      <c r="AJ37" s="302" t="s">
        <v>99</v>
      </c>
      <c r="AK37" s="302"/>
      <c r="AL37" s="302"/>
      <c r="AM37" s="302"/>
      <c r="AN37" s="302"/>
      <c r="AO37" s="302"/>
      <c r="AP37" s="302"/>
      <c r="AQ37" s="302"/>
      <c r="AR37" s="302"/>
      <c r="AS37" s="302"/>
      <c r="AT37" s="302"/>
      <c r="AU37" s="302"/>
      <c r="AV37" s="302"/>
      <c r="AW37" s="302"/>
      <c r="AX37" s="302"/>
      <c r="AY37" s="302"/>
    </row>
    <row r="38" spans="13:51" x14ac:dyDescent="0.35">
      <c r="N38" s="84"/>
      <c r="O38" s="84"/>
      <c r="P38" s="84"/>
      <c r="Q38" s="261"/>
      <c r="R38" s="261"/>
      <c r="S38" s="261"/>
      <c r="AC38" s="239"/>
      <c r="AD38" s="258"/>
      <c r="AE38" s="81"/>
      <c r="AG38" s="302"/>
      <c r="AH38" s="302"/>
      <c r="AI38" s="302"/>
      <c r="AJ38" s="302" t="s">
        <v>100</v>
      </c>
      <c r="AK38" s="302"/>
      <c r="AL38" s="302"/>
      <c r="AM38" s="302"/>
      <c r="AN38" s="302"/>
      <c r="AO38" s="302"/>
      <c r="AP38" s="302"/>
      <c r="AQ38" s="302"/>
      <c r="AR38" s="302"/>
      <c r="AS38" s="302"/>
      <c r="AT38" s="302"/>
      <c r="AU38" s="302"/>
      <c r="AV38" s="302"/>
      <c r="AW38" s="302"/>
      <c r="AX38" s="302"/>
      <c r="AY38" s="302"/>
    </row>
    <row r="39" spans="13:51" x14ac:dyDescent="0.35">
      <c r="N39" s="84"/>
      <c r="O39" s="84"/>
      <c r="P39" s="84"/>
      <c r="Q39" s="261"/>
      <c r="R39" s="261"/>
      <c r="S39" s="261"/>
      <c r="AC39" s="239"/>
      <c r="AD39" s="258"/>
      <c r="AE39" s="81"/>
    </row>
    <row r="40" spans="13:51" ht="27" customHeight="1" x14ac:dyDescent="0.35">
      <c r="N40" s="84"/>
      <c r="O40" s="386"/>
      <c r="P40" s="386"/>
      <c r="Q40" s="386"/>
      <c r="R40" s="261"/>
      <c r="S40" s="261"/>
      <c r="AC40" s="239"/>
      <c r="AD40" s="258"/>
      <c r="AE40" s="81"/>
    </row>
    <row r="41" spans="13:51" x14ac:dyDescent="0.35">
      <c r="AC41" s="239"/>
      <c r="AD41" s="258"/>
      <c r="AE41" s="81"/>
    </row>
    <row r="42" spans="13:51" x14ac:dyDescent="0.35">
      <c r="AC42" s="239"/>
      <c r="AD42" s="258"/>
      <c r="AE42" s="81"/>
    </row>
    <row r="43" spans="13:51" x14ac:dyDescent="0.35">
      <c r="AC43" s="239"/>
      <c r="AD43" s="258"/>
      <c r="AE43" s="81"/>
    </row>
    <row r="44" spans="13:51" x14ac:dyDescent="0.35">
      <c r="AC44" s="239"/>
      <c r="AD44" s="258"/>
      <c r="AE44" s="81"/>
    </row>
    <row r="45" spans="13:51" x14ac:dyDescent="0.35">
      <c r="AC45" s="239"/>
      <c r="AD45" s="258"/>
      <c r="AE45" s="81"/>
    </row>
    <row r="46" spans="13:51" x14ac:dyDescent="0.35">
      <c r="AC46" s="239"/>
      <c r="AD46" s="258"/>
      <c r="AE46" s="81"/>
    </row>
    <row r="47" spans="13:51" x14ac:dyDescent="0.35">
      <c r="AC47" s="239"/>
      <c r="AD47" s="258"/>
      <c r="AE47" s="81"/>
    </row>
    <row r="48" spans="13:51" x14ac:dyDescent="0.35">
      <c r="AC48" s="239"/>
      <c r="AD48" s="258"/>
      <c r="AE48" s="81"/>
    </row>
    <row r="49" spans="29:31" x14ac:dyDescent="0.35">
      <c r="AC49" s="239"/>
      <c r="AD49" s="258"/>
      <c r="AE49" s="81"/>
    </row>
    <row r="50" spans="29:31" x14ac:dyDescent="0.35">
      <c r="AC50" s="239"/>
      <c r="AD50" s="258"/>
      <c r="AE50" s="81"/>
    </row>
    <row r="51" spans="29:31" x14ac:dyDescent="0.35">
      <c r="AC51" s="239"/>
      <c r="AD51" s="258"/>
      <c r="AE51" s="81"/>
    </row>
    <row r="52" spans="29:31" x14ac:dyDescent="0.35">
      <c r="AC52" s="239"/>
      <c r="AD52" s="258"/>
      <c r="AE52" s="81"/>
    </row>
    <row r="53" spans="29:31" x14ac:dyDescent="0.35">
      <c r="AC53" s="239"/>
      <c r="AD53" s="258"/>
      <c r="AE53" s="81"/>
    </row>
    <row r="54" spans="29:31" x14ac:dyDescent="0.35">
      <c r="AC54" s="239"/>
      <c r="AD54" s="258"/>
      <c r="AE54" s="81"/>
    </row>
    <row r="55" spans="29:31" x14ac:dyDescent="0.35">
      <c r="AC55" s="239"/>
      <c r="AD55" s="258"/>
      <c r="AE55" s="81"/>
    </row>
    <row r="56" spans="29:31" x14ac:dyDescent="0.35">
      <c r="AC56" s="239"/>
      <c r="AD56" s="258"/>
      <c r="AE56" s="81"/>
    </row>
    <row r="57" spans="29:31" x14ac:dyDescent="0.35">
      <c r="AC57" s="239"/>
      <c r="AD57" s="258"/>
      <c r="AE57" s="81"/>
    </row>
    <row r="58" spans="29:31" x14ac:dyDescent="0.35">
      <c r="AC58" s="239"/>
      <c r="AD58" s="258"/>
      <c r="AE58" s="81"/>
    </row>
    <row r="59" spans="29:31" x14ac:dyDescent="0.35">
      <c r="AC59" s="239"/>
      <c r="AD59" s="258"/>
      <c r="AE59" s="81"/>
    </row>
    <row r="60" spans="29:31" x14ac:dyDescent="0.35">
      <c r="AC60" s="239"/>
      <c r="AD60" s="258"/>
      <c r="AE60" s="81"/>
    </row>
    <row r="61" spans="29:31" x14ac:dyDescent="0.35">
      <c r="AC61" s="239"/>
      <c r="AD61" s="258"/>
      <c r="AE61" s="81"/>
    </row>
    <row r="62" spans="29:31" x14ac:dyDescent="0.35">
      <c r="AC62" s="239"/>
      <c r="AD62" s="258"/>
      <c r="AE62" s="81"/>
    </row>
    <row r="63" spans="29:31" x14ac:dyDescent="0.35">
      <c r="AC63" s="239"/>
      <c r="AD63" s="258"/>
      <c r="AE63" s="81"/>
    </row>
    <row r="64" spans="29:31" x14ac:dyDescent="0.35">
      <c r="AC64" s="239"/>
      <c r="AD64" s="258"/>
      <c r="AE64" s="81"/>
    </row>
    <row r="65" spans="29:31" x14ac:dyDescent="0.35">
      <c r="AC65" s="239"/>
      <c r="AD65" s="258"/>
      <c r="AE65" s="81"/>
    </row>
    <row r="66" spans="29:31" x14ac:dyDescent="0.35">
      <c r="AC66" s="239"/>
      <c r="AD66" s="258"/>
      <c r="AE66" s="81"/>
    </row>
    <row r="67" spans="29:31" x14ac:dyDescent="0.35">
      <c r="AC67" s="239"/>
      <c r="AD67" s="258"/>
      <c r="AE67" s="81"/>
    </row>
    <row r="68" spans="29:31" x14ac:dyDescent="0.35">
      <c r="AC68" s="239"/>
      <c r="AD68" s="258"/>
      <c r="AE68" s="81"/>
    </row>
    <row r="69" spans="29:31" x14ac:dyDescent="0.35">
      <c r="AC69" s="239"/>
      <c r="AD69" s="258"/>
      <c r="AE69" s="81"/>
    </row>
    <row r="70" spans="29:31" x14ac:dyDescent="0.35">
      <c r="AC70" s="239"/>
      <c r="AD70" s="258"/>
      <c r="AE70" s="81"/>
    </row>
    <row r="71" spans="29:31" x14ac:dyDescent="0.35">
      <c r="AC71" s="239"/>
      <c r="AD71" s="258"/>
      <c r="AE71" s="81"/>
    </row>
    <row r="72" spans="29:31" x14ac:dyDescent="0.35">
      <c r="AC72" s="239"/>
      <c r="AD72" s="258"/>
      <c r="AE72" s="81"/>
    </row>
    <row r="73" spans="29:31" x14ac:dyDescent="0.35">
      <c r="AC73" s="239"/>
      <c r="AD73" s="258"/>
      <c r="AE73" s="81"/>
    </row>
    <row r="74" spans="29:31" x14ac:dyDescent="0.35">
      <c r="AC74" s="239"/>
      <c r="AD74" s="258"/>
      <c r="AE74" s="81"/>
    </row>
    <row r="75" spans="29:31" x14ac:dyDescent="0.35">
      <c r="AC75" s="239"/>
      <c r="AD75" s="258"/>
      <c r="AE75" s="81"/>
    </row>
    <row r="76" spans="29:31" x14ac:dyDescent="0.35">
      <c r="AC76" s="239"/>
      <c r="AD76" s="258"/>
      <c r="AE76" s="81"/>
    </row>
    <row r="77" spans="29:31" x14ac:dyDescent="0.35">
      <c r="AC77" s="239"/>
      <c r="AD77" s="258"/>
      <c r="AE77" s="81"/>
    </row>
    <row r="78" spans="29:31" x14ac:dyDescent="0.35">
      <c r="AC78" s="239"/>
      <c r="AD78" s="258"/>
      <c r="AE78" s="81"/>
    </row>
    <row r="79" spans="29:31" x14ac:dyDescent="0.35">
      <c r="AC79" s="239"/>
      <c r="AD79" s="258"/>
      <c r="AE79" s="81"/>
    </row>
    <row r="80" spans="29:31" x14ac:dyDescent="0.35">
      <c r="AC80" s="239"/>
      <c r="AD80" s="258"/>
      <c r="AE80" s="81"/>
    </row>
    <row r="81" spans="29:31" x14ac:dyDescent="0.35">
      <c r="AC81" s="239"/>
      <c r="AD81" s="258"/>
      <c r="AE81" s="81"/>
    </row>
    <row r="82" spans="29:31" x14ac:dyDescent="0.35">
      <c r="AC82" s="239"/>
      <c r="AD82" s="258"/>
      <c r="AE82" s="81"/>
    </row>
    <row r="83" spans="29:31" x14ac:dyDescent="0.35">
      <c r="AC83" s="239"/>
      <c r="AD83" s="258"/>
      <c r="AE83" s="81"/>
    </row>
    <row r="84" spans="29:31" x14ac:dyDescent="0.35">
      <c r="AC84" s="239"/>
      <c r="AD84" s="258"/>
      <c r="AE84" s="81"/>
    </row>
    <row r="85" spans="29:31" x14ac:dyDescent="0.35">
      <c r="AC85" s="239"/>
      <c r="AD85" s="258"/>
      <c r="AE85" s="81"/>
    </row>
    <row r="86" spans="29:31" x14ac:dyDescent="0.35">
      <c r="AC86" s="239"/>
      <c r="AD86" s="258"/>
      <c r="AE86" s="81"/>
    </row>
    <row r="87" spans="29:31" x14ac:dyDescent="0.35">
      <c r="AC87" s="239"/>
      <c r="AD87" s="258"/>
      <c r="AE87" s="81"/>
    </row>
    <row r="88" spans="29:31" x14ac:dyDescent="0.35">
      <c r="AC88" s="239"/>
      <c r="AD88" s="258"/>
      <c r="AE88" s="81"/>
    </row>
    <row r="89" spans="29:31" x14ac:dyDescent="0.35">
      <c r="AC89" s="239"/>
      <c r="AD89" s="258"/>
      <c r="AE89" s="81"/>
    </row>
    <row r="90" spans="29:31" x14ac:dyDescent="0.35">
      <c r="AC90" s="239"/>
      <c r="AD90" s="258"/>
      <c r="AE90" s="81"/>
    </row>
    <row r="91" spans="29:31" x14ac:dyDescent="0.35">
      <c r="AC91" s="239"/>
      <c r="AD91" s="258"/>
      <c r="AE91" s="81"/>
    </row>
    <row r="92" spans="29:31" x14ac:dyDescent="0.35">
      <c r="AC92" s="239"/>
      <c r="AD92" s="258"/>
      <c r="AE92" s="81"/>
    </row>
    <row r="93" spans="29:31" x14ac:dyDescent="0.35">
      <c r="AC93" s="239"/>
      <c r="AD93" s="258"/>
    </row>
    <row r="94" spans="29:31" x14ac:dyDescent="0.35">
      <c r="AC94" s="239"/>
      <c r="AD94" s="258">
        <v>97</v>
      </c>
    </row>
    <row r="95" spans="29:31" x14ac:dyDescent="0.35">
      <c r="AD95" s="258">
        <v>98</v>
      </c>
    </row>
    <row r="96" spans="29:31" x14ac:dyDescent="0.35">
      <c r="AD96" s="258">
        <v>99</v>
      </c>
    </row>
    <row r="97" spans="30:30" x14ac:dyDescent="0.35">
      <c r="AD97" s="258">
        <v>100</v>
      </c>
    </row>
  </sheetData>
  <sheetProtection password="DE3F" sheet="1" objects="1" scenarios="1" selectLockedCells="1"/>
  <customSheetViews>
    <customSheetView guid="{377A32C9-D8CF-4808-9C50-3AB68474CE61}" showGridLines="0" fitToPage="1" hiddenColumns="1">
      <selection activeCell="D18" sqref="D18"/>
      <pageMargins left="0.75" right="0.75" top="1" bottom="1" header="0.5" footer="0.5"/>
      <pageSetup paperSize="9" scale="70" orientation="landscape" r:id="rId1"/>
      <headerFooter alignWithMargins="0"/>
    </customSheetView>
  </customSheetViews>
  <mergeCells count="15">
    <mergeCell ref="B21:C21"/>
    <mergeCell ref="G27:I27"/>
    <mergeCell ref="G29:I29"/>
    <mergeCell ref="E7:M7"/>
    <mergeCell ref="AN3:AQ3"/>
    <mergeCell ref="AN30:AR30"/>
    <mergeCell ref="O29:Q29"/>
    <mergeCell ref="B27:C27"/>
    <mergeCell ref="O40:Q40"/>
    <mergeCell ref="B28:C28"/>
    <mergeCell ref="B7:C7"/>
    <mergeCell ref="B11:C11"/>
    <mergeCell ref="B25:C25"/>
    <mergeCell ref="B15:C15"/>
    <mergeCell ref="M27:M28"/>
  </mergeCells>
  <phoneticPr fontId="4" type="noConversion"/>
  <conditionalFormatting sqref="R25 N25">
    <cfRule type="cellIs" dxfId="22" priority="14" stopIfTrue="1" operator="equal">
      <formula>"-"</formula>
    </cfRule>
  </conditionalFormatting>
  <conditionalFormatting sqref="G21 E21 F25">
    <cfRule type="cellIs" dxfId="21" priority="9" stopIfTrue="1" operator="equal">
      <formula>"-"</formula>
    </cfRule>
  </conditionalFormatting>
  <conditionalFormatting sqref="I21 M21 K21 K25">
    <cfRule type="cellIs" dxfId="20" priority="3" stopIfTrue="1" operator="equal">
      <formula>"-"</formula>
    </cfRule>
  </conditionalFormatting>
  <conditionalFormatting sqref="G27:I27">
    <cfRule type="cellIs" dxfId="19" priority="2" stopIfTrue="1" operator="equal">
      <formula>"Pupil excluded"</formula>
    </cfRule>
  </conditionalFormatting>
  <conditionalFormatting sqref="E15">
    <cfRule type="expression" dxfId="18" priority="35" stopIfTrue="1">
      <formula>$E$11&lt;&gt;$AG$11</formula>
    </cfRule>
  </conditionalFormatting>
  <conditionalFormatting sqref="K15">
    <cfRule type="expression" dxfId="17" priority="36" stopIfTrue="1">
      <formula>$K$11&lt;&gt;$AG$11</formula>
    </cfRule>
  </conditionalFormatting>
  <conditionalFormatting sqref="G15">
    <cfRule type="expression" dxfId="16" priority="37" stopIfTrue="1">
      <formula>$G$11&lt;&gt;$AG$11</formula>
    </cfRule>
  </conditionalFormatting>
  <conditionalFormatting sqref="G29:I29">
    <cfRule type="cellIs" dxfId="15" priority="1" stopIfTrue="1" operator="equal">
      <formula>"-"</formula>
    </cfRule>
  </conditionalFormatting>
  <conditionalFormatting sqref="I19 K19 M19">
    <cfRule type="expression" dxfId="14" priority="43" stopIfTrue="1">
      <formula>OR($K$11&lt;&gt;$AG$11,$K$15&lt;&gt;$AJ$31)</formula>
    </cfRule>
  </conditionalFormatting>
  <dataValidations count="6">
    <dataValidation type="list" allowBlank="1" showInputMessage="1" showErrorMessage="1" sqref="K15">
      <formula1>$AJ$23:$AJ$31</formula1>
    </dataValidation>
    <dataValidation type="list" allowBlank="1" showInputMessage="1" showErrorMessage="1" sqref="N33 R33">
      <formula1>$AM$15:$AM$17</formula1>
    </dataValidation>
    <dataValidation type="list" allowBlank="1" showInputMessage="1" showErrorMessage="1" sqref="G15">
      <formula1>$AG$22:$AG$34</formula1>
    </dataValidation>
    <dataValidation type="list" allowBlank="1" showInputMessage="1" showErrorMessage="1" sqref="E11 G11 K11">
      <formula1>$AG$7:$AG$17</formula1>
    </dataValidation>
    <dataValidation type="list" allowBlank="1" showInputMessage="1" showErrorMessage="1" sqref="I19 M19 K19">
      <formula1>$AJ$33:$AJ$38</formula1>
    </dataValidation>
    <dataValidation type="list" allowBlank="1" showInputMessage="1" showErrorMessage="1" sqref="E15">
      <formula1>$AJ$7:$AJ$15</formula1>
    </dataValidation>
  </dataValidations>
  <hyperlinks>
    <hyperlink ref="M27:M28" location="'KS2 Data Input'!A1" display="To KS2 Data Input Sheet ---&gt;"/>
  </hyperlinks>
  <pageMargins left="0.75" right="0.75" top="1" bottom="1" header="0.5" footer="0.5"/>
  <pageSetup paperSize="9" scale="70"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1"/>
    <pageSetUpPr fitToPage="1"/>
  </sheetPr>
  <dimension ref="A1:BL133"/>
  <sheetViews>
    <sheetView showGridLines="0" showRowColHeaders="0" zoomScale="85" zoomScaleNormal="85" workbookViewId="0">
      <selection activeCell="O21" sqref="O21:O23"/>
    </sheetView>
  </sheetViews>
  <sheetFormatPr defaultRowHeight="12.75" x14ac:dyDescent="0.35"/>
  <cols>
    <col min="1" max="1" width="1.86328125" customWidth="1"/>
    <col min="2" max="2" width="39.1328125" customWidth="1"/>
    <col min="3" max="3" width="48.3984375" customWidth="1"/>
    <col min="4" max="4" width="2" customWidth="1"/>
    <col min="5" max="5" width="21.86328125" customWidth="1"/>
    <col min="6" max="6" width="3.73046875" customWidth="1"/>
    <col min="7" max="7" width="23.1328125" customWidth="1"/>
    <col min="8" max="8" width="3.73046875" customWidth="1"/>
    <col min="9" max="9" width="22" customWidth="1"/>
    <col min="10" max="10" width="3.73046875" customWidth="1"/>
    <col min="11" max="11" width="21.86328125" customWidth="1"/>
    <col min="12" max="12" width="3.73046875" customWidth="1"/>
    <col min="13" max="13" width="22" customWidth="1"/>
    <col min="14" max="14" width="21.86328125" customWidth="1"/>
    <col min="15" max="15" width="28.1328125" style="103" customWidth="1"/>
    <col min="16" max="16" width="18.3984375" style="187" customWidth="1"/>
    <col min="17" max="17" width="15.73046875" style="187" customWidth="1"/>
    <col min="18" max="18" width="9.1328125" style="187" customWidth="1"/>
    <col min="19" max="19" width="19.1328125" style="272" customWidth="1"/>
    <col min="20" max="20" width="19.1328125" style="273" customWidth="1"/>
    <col min="21" max="23" width="9.1328125" style="187" customWidth="1"/>
    <col min="24" max="24" width="9" style="274" customWidth="1"/>
    <col min="25" max="25" width="9" style="287" customWidth="1"/>
    <col min="26" max="26" width="9" style="287" hidden="1" customWidth="1"/>
    <col min="27" max="43" width="27.73046875" style="287" hidden="1" customWidth="1"/>
    <col min="44" max="45" width="9" style="287" hidden="1" customWidth="1"/>
    <col min="46" max="46" width="9.1328125" style="287" customWidth="1"/>
    <col min="47" max="51" width="9.1328125" style="274" customWidth="1"/>
    <col min="52" max="52" width="9" style="274" customWidth="1"/>
    <col min="53" max="53" width="11.59765625" customWidth="1"/>
    <col min="54" max="54" width="13" customWidth="1"/>
    <col min="55" max="55" width="11.73046875" customWidth="1"/>
    <col min="56" max="56" width="13.59765625" customWidth="1"/>
  </cols>
  <sheetData>
    <row r="1" spans="2:64" ht="9.75" customHeight="1" thickBot="1" x14ac:dyDescent="0.4">
      <c r="O1" s="105"/>
      <c r="P1" s="271"/>
      <c r="S1" s="406"/>
      <c r="T1" s="406"/>
      <c r="Z1" s="268"/>
      <c r="AA1" s="268"/>
      <c r="AB1" s="268"/>
      <c r="AC1" s="405" t="s">
        <v>94</v>
      </c>
      <c r="AD1" s="405"/>
      <c r="AE1" s="405"/>
      <c r="AF1" s="405"/>
      <c r="AG1" s="405"/>
      <c r="AH1" s="405"/>
      <c r="AI1" s="268"/>
      <c r="AJ1" s="268" t="s">
        <v>154</v>
      </c>
      <c r="AK1" s="268"/>
      <c r="AL1" s="268"/>
      <c r="AM1" s="268"/>
      <c r="AN1" s="268"/>
      <c r="AO1" s="268"/>
      <c r="AP1" s="268"/>
      <c r="AQ1" s="268"/>
      <c r="AR1" s="268"/>
      <c r="AS1" s="268"/>
    </row>
    <row r="2" spans="2:64" ht="21" thickBot="1" x14ac:dyDescent="0.65">
      <c r="B2" s="29" t="s">
        <v>41</v>
      </c>
      <c r="D2" s="20"/>
      <c r="N2" s="212" t="s">
        <v>27</v>
      </c>
      <c r="Z2" s="318" t="s">
        <v>151</v>
      </c>
      <c r="AA2" s="268"/>
      <c r="AB2" s="268"/>
      <c r="AC2" s="319" t="s">
        <v>67</v>
      </c>
      <c r="AD2" s="319"/>
      <c r="AE2" s="319" t="s">
        <v>279</v>
      </c>
      <c r="AF2" s="319"/>
      <c r="AG2" s="319" t="s">
        <v>54</v>
      </c>
      <c r="AH2" s="268"/>
      <c r="AI2" s="268"/>
      <c r="AJ2" s="319" t="s">
        <v>67</v>
      </c>
      <c r="AK2" s="268"/>
      <c r="AL2" s="268" t="s">
        <v>184</v>
      </c>
      <c r="AM2" s="268"/>
      <c r="AN2" s="319" t="s">
        <v>54</v>
      </c>
      <c r="AO2" s="268"/>
      <c r="AP2" s="320" t="s">
        <v>185</v>
      </c>
      <c r="AQ2" s="320"/>
      <c r="AR2" s="321" t="s">
        <v>235</v>
      </c>
      <c r="AS2" s="321"/>
      <c r="BA2" s="164"/>
      <c r="BB2" s="164"/>
      <c r="BC2" s="164"/>
      <c r="BD2" s="164"/>
      <c r="BE2" s="164"/>
      <c r="BF2" s="164"/>
      <c r="BG2" s="164"/>
      <c r="BH2" s="164"/>
      <c r="BI2" s="164"/>
      <c r="BJ2" s="164"/>
      <c r="BK2" s="164"/>
      <c r="BL2" s="164"/>
    </row>
    <row r="3" spans="2:64" ht="13.15" thickBot="1" x14ac:dyDescent="0.4">
      <c r="G3" s="407"/>
      <c r="H3" s="407"/>
      <c r="I3" s="407"/>
      <c r="J3" s="407"/>
      <c r="N3" s="28" t="s">
        <v>25</v>
      </c>
      <c r="Z3" s="268" t="s">
        <v>145</v>
      </c>
      <c r="AA3" s="268"/>
      <c r="AB3" s="268"/>
      <c r="AC3" s="322" t="s">
        <v>151</v>
      </c>
      <c r="AD3" s="323"/>
      <c r="AE3" s="322" t="s">
        <v>151</v>
      </c>
      <c r="AF3" s="323"/>
      <c r="AG3" s="318" t="s">
        <v>151</v>
      </c>
      <c r="AH3" s="268"/>
      <c r="AI3" s="268"/>
      <c r="AJ3" s="324" t="s">
        <v>151</v>
      </c>
      <c r="AK3" s="321"/>
      <c r="AL3" s="322" t="s">
        <v>151</v>
      </c>
      <c r="AM3" s="323"/>
      <c r="AN3" s="322" t="s">
        <v>151</v>
      </c>
      <c r="AO3" s="323"/>
      <c r="AP3" s="320" t="s">
        <v>151</v>
      </c>
      <c r="AQ3" s="320"/>
      <c r="AR3" s="324" t="s">
        <v>151</v>
      </c>
      <c r="AS3" s="321">
        <v>71</v>
      </c>
      <c r="BA3" s="164"/>
      <c r="BB3" s="164"/>
      <c r="BC3" s="164"/>
      <c r="BD3" s="164"/>
      <c r="BE3" s="164"/>
      <c r="BF3" s="164"/>
      <c r="BG3" s="164"/>
      <c r="BH3" s="164"/>
      <c r="BI3" s="164"/>
      <c r="BJ3" s="164"/>
      <c r="BK3" s="164"/>
      <c r="BL3" s="164"/>
    </row>
    <row r="4" spans="2:64" ht="15.4" thickBot="1" x14ac:dyDescent="0.45">
      <c r="B4" s="79" t="s">
        <v>109</v>
      </c>
      <c r="N4" s="30" t="s">
        <v>23</v>
      </c>
      <c r="Z4" s="268" t="s">
        <v>146</v>
      </c>
      <c r="AA4" s="268"/>
      <c r="AB4" s="268"/>
      <c r="AC4" s="323" t="s">
        <v>78</v>
      </c>
      <c r="AD4" s="323" t="s">
        <v>117</v>
      </c>
      <c r="AE4" s="323" t="s">
        <v>78</v>
      </c>
      <c r="AF4" s="323" t="s">
        <v>117</v>
      </c>
      <c r="AG4" s="323" t="s">
        <v>78</v>
      </c>
      <c r="AH4" s="323" t="s">
        <v>117</v>
      </c>
      <c r="AI4" s="325"/>
      <c r="AJ4" s="326" t="s">
        <v>147</v>
      </c>
      <c r="AK4" s="327" t="s">
        <v>117</v>
      </c>
      <c r="AL4" s="323" t="s">
        <v>78</v>
      </c>
      <c r="AM4" s="323" t="s">
        <v>117</v>
      </c>
      <c r="AN4" s="323" t="s">
        <v>147</v>
      </c>
      <c r="AO4" s="320" t="s">
        <v>117</v>
      </c>
      <c r="AP4" s="320" t="s">
        <v>78</v>
      </c>
      <c r="AQ4" s="320" t="s">
        <v>117</v>
      </c>
      <c r="AR4" s="327" t="s">
        <v>233</v>
      </c>
      <c r="AS4" s="321">
        <v>61</v>
      </c>
      <c r="BA4" s="164"/>
      <c r="BB4" s="164"/>
      <c r="BC4" s="164"/>
      <c r="BD4" s="164"/>
      <c r="BE4" s="164"/>
      <c r="BF4" s="164"/>
      <c r="BG4" s="164"/>
      <c r="BH4" s="164"/>
      <c r="BI4" s="164"/>
      <c r="BJ4" s="164"/>
      <c r="BK4" s="164"/>
      <c r="BL4" s="164"/>
    </row>
    <row r="5" spans="2:64" ht="15.4" thickBot="1" x14ac:dyDescent="0.45">
      <c r="B5" s="79" t="s">
        <v>218</v>
      </c>
      <c r="N5" s="31" t="s">
        <v>26</v>
      </c>
      <c r="Z5" s="268"/>
      <c r="AA5" s="268"/>
      <c r="AB5" s="268"/>
      <c r="AC5" s="323" t="s">
        <v>219</v>
      </c>
      <c r="AD5" s="323" t="s">
        <v>6</v>
      </c>
      <c r="AE5" s="323" t="s">
        <v>86</v>
      </c>
      <c r="AF5" s="323" t="s">
        <v>117</v>
      </c>
      <c r="AG5" s="323" t="s">
        <v>219</v>
      </c>
      <c r="AH5" s="323" t="s">
        <v>6</v>
      </c>
      <c r="AI5" s="325"/>
      <c r="AJ5" s="326" t="s">
        <v>353</v>
      </c>
      <c r="AK5" s="327">
        <v>59</v>
      </c>
      <c r="AL5" s="323" t="s">
        <v>82</v>
      </c>
      <c r="AM5" s="323" t="s">
        <v>6</v>
      </c>
      <c r="AN5" s="323" t="s">
        <v>354</v>
      </c>
      <c r="AO5" s="323">
        <v>59</v>
      </c>
      <c r="AP5" s="320" t="s">
        <v>82</v>
      </c>
      <c r="AQ5" s="320" t="s">
        <v>6</v>
      </c>
      <c r="AR5" s="328" t="s">
        <v>323</v>
      </c>
      <c r="AS5" s="329">
        <v>64</v>
      </c>
      <c r="BA5" s="164"/>
      <c r="BB5" s="164"/>
      <c r="BC5" s="164"/>
      <c r="BD5" s="164"/>
      <c r="BE5" s="164"/>
      <c r="BF5" s="164"/>
      <c r="BG5" s="164"/>
      <c r="BH5" s="164"/>
      <c r="BI5" s="164"/>
      <c r="BJ5" s="164"/>
      <c r="BK5" s="164"/>
      <c r="BL5" s="164"/>
    </row>
    <row r="6" spans="2:64" ht="21.75" customHeight="1" x14ac:dyDescent="0.35">
      <c r="N6" s="36"/>
      <c r="Z6" s="268"/>
      <c r="AA6" s="268"/>
      <c r="AB6" s="268"/>
      <c r="AC6" s="323" t="s">
        <v>86</v>
      </c>
      <c r="AD6" s="323" t="s">
        <v>117</v>
      </c>
      <c r="AE6" s="323" t="s">
        <v>115</v>
      </c>
      <c r="AF6" s="323" t="s">
        <v>117</v>
      </c>
      <c r="AG6" s="323" t="s">
        <v>86</v>
      </c>
      <c r="AH6" s="323" t="s">
        <v>117</v>
      </c>
      <c r="AI6" s="325"/>
      <c r="AJ6" s="326" t="s">
        <v>237</v>
      </c>
      <c r="AK6" s="327">
        <v>61</v>
      </c>
      <c r="AL6" s="323" t="s">
        <v>86</v>
      </c>
      <c r="AM6" s="323" t="s">
        <v>117</v>
      </c>
      <c r="AN6" s="326" t="s">
        <v>343</v>
      </c>
      <c r="AO6" s="326">
        <v>61</v>
      </c>
      <c r="AP6" s="320" t="s">
        <v>86</v>
      </c>
      <c r="AQ6" s="320" t="s">
        <v>117</v>
      </c>
      <c r="AR6" s="328" t="s">
        <v>324</v>
      </c>
      <c r="AS6" s="329">
        <v>67</v>
      </c>
      <c r="BA6" s="164"/>
      <c r="BB6" s="164"/>
      <c r="BC6" s="164"/>
      <c r="BD6" s="164"/>
      <c r="BE6" s="164"/>
      <c r="BF6" s="164"/>
      <c r="BG6" s="164"/>
      <c r="BH6" s="164"/>
      <c r="BI6" s="164"/>
      <c r="BJ6" s="164"/>
      <c r="BK6" s="164"/>
      <c r="BL6" s="164"/>
    </row>
    <row r="7" spans="2:64" ht="24.75" customHeight="1" x14ac:dyDescent="0.35">
      <c r="B7" s="387" t="s">
        <v>22</v>
      </c>
      <c r="C7" s="388"/>
      <c r="D7" s="1"/>
      <c r="E7" s="94"/>
      <c r="F7" s="94"/>
      <c r="G7" s="94"/>
      <c r="H7" s="94"/>
      <c r="I7" s="94"/>
      <c r="J7" s="94"/>
      <c r="K7" s="94"/>
      <c r="L7" s="94"/>
      <c r="M7" s="94"/>
      <c r="N7" s="94"/>
      <c r="O7" s="104"/>
      <c r="Z7" s="268"/>
      <c r="AA7" s="268"/>
      <c r="AB7" s="268"/>
      <c r="AC7" s="323" t="s">
        <v>115</v>
      </c>
      <c r="AD7" s="323" t="s">
        <v>117</v>
      </c>
      <c r="AE7" s="323" t="s">
        <v>113</v>
      </c>
      <c r="AF7" s="323" t="s">
        <v>117</v>
      </c>
      <c r="AG7" s="323" t="s">
        <v>115</v>
      </c>
      <c r="AH7" s="323" t="s">
        <v>117</v>
      </c>
      <c r="AI7" s="325"/>
      <c r="AJ7" s="328" t="s">
        <v>234</v>
      </c>
      <c r="AK7" s="327">
        <v>62</v>
      </c>
      <c r="AL7" s="323" t="s">
        <v>115</v>
      </c>
      <c r="AM7" s="323" t="s">
        <v>117</v>
      </c>
      <c r="AN7" s="328" t="s">
        <v>344</v>
      </c>
      <c r="AO7" s="329">
        <v>62</v>
      </c>
      <c r="AP7" s="320" t="s">
        <v>115</v>
      </c>
      <c r="AQ7" s="320" t="s">
        <v>117</v>
      </c>
      <c r="AR7" s="328" t="s">
        <v>325</v>
      </c>
      <c r="AS7" s="329">
        <v>70</v>
      </c>
      <c r="BA7" s="164"/>
      <c r="BB7" s="164"/>
      <c r="BC7" s="164"/>
      <c r="BD7" s="164"/>
      <c r="BE7" s="164"/>
      <c r="BF7" s="164"/>
      <c r="BG7" s="164"/>
      <c r="BH7" s="164"/>
      <c r="BI7" s="164"/>
      <c r="BJ7" s="164"/>
      <c r="BK7" s="164"/>
      <c r="BL7" s="164"/>
    </row>
    <row r="8" spans="2:64" ht="8.25" customHeight="1" x14ac:dyDescent="0.35">
      <c r="B8" s="190"/>
      <c r="C8" s="191"/>
      <c r="D8" s="1"/>
      <c r="E8" s="196"/>
      <c r="F8" s="196"/>
      <c r="G8" s="196"/>
      <c r="H8" s="196"/>
      <c r="I8" s="196"/>
      <c r="J8" s="196"/>
      <c r="K8" s="196"/>
      <c r="L8" s="196"/>
      <c r="M8" s="196"/>
      <c r="Z8" s="268"/>
      <c r="AA8" s="268"/>
      <c r="AB8" s="268"/>
      <c r="AC8" s="323" t="s">
        <v>270</v>
      </c>
      <c r="AD8" s="323" t="s">
        <v>117</v>
      </c>
      <c r="AE8" s="323" t="s">
        <v>79</v>
      </c>
      <c r="AF8" s="323" t="s">
        <v>117</v>
      </c>
      <c r="AG8" s="323" t="s">
        <v>270</v>
      </c>
      <c r="AH8" s="323" t="s">
        <v>117</v>
      </c>
      <c r="AI8" s="325"/>
      <c r="AJ8" s="326" t="s">
        <v>331</v>
      </c>
      <c r="AK8" s="327">
        <v>64</v>
      </c>
      <c r="AL8" s="323" t="s">
        <v>113</v>
      </c>
      <c r="AM8" s="323" t="s">
        <v>117</v>
      </c>
      <c r="AN8" s="328" t="s">
        <v>234</v>
      </c>
      <c r="AO8" s="327">
        <v>62</v>
      </c>
      <c r="AP8" s="330" t="s">
        <v>113</v>
      </c>
      <c r="AQ8" s="320" t="s">
        <v>117</v>
      </c>
      <c r="AR8" s="328" t="s">
        <v>326</v>
      </c>
      <c r="AS8" s="331" t="s">
        <v>327</v>
      </c>
      <c r="BA8" s="164"/>
      <c r="BB8" s="164"/>
      <c r="BC8" s="164"/>
      <c r="BD8" s="164"/>
      <c r="BE8" s="164"/>
      <c r="BF8" s="164"/>
      <c r="BG8" s="164"/>
      <c r="BH8" s="164"/>
      <c r="BI8" s="164"/>
      <c r="BJ8" s="164"/>
      <c r="BK8" s="164"/>
      <c r="BL8" s="164"/>
    </row>
    <row r="9" spans="2:64" ht="35.25" customHeight="1" x14ac:dyDescent="0.35">
      <c r="B9" s="190"/>
      <c r="C9" s="191"/>
      <c r="D9" s="1"/>
      <c r="E9" s="397" t="s">
        <v>21</v>
      </c>
      <c r="F9" s="398"/>
      <c r="G9" s="398"/>
      <c r="H9" s="398"/>
      <c r="I9" s="398"/>
      <c r="J9" s="398"/>
      <c r="K9" s="398"/>
      <c r="L9" s="398"/>
      <c r="M9" s="398"/>
      <c r="Z9" s="268"/>
      <c r="AA9" s="268"/>
      <c r="AB9" s="268"/>
      <c r="AC9" s="323" t="s">
        <v>113</v>
      </c>
      <c r="AD9" s="323" t="s">
        <v>117</v>
      </c>
      <c r="AE9" s="323" t="s">
        <v>114</v>
      </c>
      <c r="AF9" s="323" t="s">
        <v>117</v>
      </c>
      <c r="AG9" s="323" t="s">
        <v>113</v>
      </c>
      <c r="AH9" s="323" t="s">
        <v>117</v>
      </c>
      <c r="AI9" s="325"/>
      <c r="AJ9" s="326" t="s">
        <v>332</v>
      </c>
      <c r="AK9" s="327">
        <v>67</v>
      </c>
      <c r="AL9" s="323" t="s">
        <v>79</v>
      </c>
      <c r="AM9" s="323" t="s">
        <v>117</v>
      </c>
      <c r="AN9" s="326" t="s">
        <v>345</v>
      </c>
      <c r="AO9" s="327">
        <v>64</v>
      </c>
      <c r="AP9" s="320" t="s">
        <v>79</v>
      </c>
      <c r="AQ9" s="320" t="s">
        <v>117</v>
      </c>
      <c r="AR9" s="328" t="s">
        <v>328</v>
      </c>
      <c r="AS9" s="331" t="s">
        <v>329</v>
      </c>
      <c r="BA9" s="164"/>
      <c r="BB9" s="164"/>
      <c r="BC9" s="164"/>
      <c r="BD9" s="164"/>
      <c r="BE9" s="164"/>
      <c r="BF9" s="164"/>
      <c r="BG9" s="164"/>
      <c r="BH9" s="164"/>
      <c r="BI9" s="164"/>
      <c r="BJ9" s="164"/>
      <c r="BK9" s="164"/>
      <c r="BL9" s="164"/>
    </row>
    <row r="10" spans="2:64" ht="15" customHeight="1" x14ac:dyDescent="0.35">
      <c r="B10" s="190"/>
      <c r="C10" s="191"/>
      <c r="D10" s="1"/>
      <c r="E10" s="196"/>
      <c r="F10" s="196"/>
      <c r="G10" s="196"/>
      <c r="H10" s="196"/>
      <c r="I10" s="196"/>
      <c r="J10" s="196"/>
      <c r="K10" s="196"/>
      <c r="L10" s="196"/>
      <c r="M10" s="196"/>
      <c r="Z10" s="268"/>
      <c r="AA10" s="268"/>
      <c r="AB10" s="268"/>
      <c r="AC10" s="323" t="s">
        <v>79</v>
      </c>
      <c r="AD10" s="323" t="s">
        <v>117</v>
      </c>
      <c r="AE10" s="323" t="s">
        <v>80</v>
      </c>
      <c r="AF10" s="323" t="s">
        <v>117</v>
      </c>
      <c r="AG10" s="323" t="s">
        <v>79</v>
      </c>
      <c r="AH10" s="323" t="s">
        <v>117</v>
      </c>
      <c r="AI10" s="325"/>
      <c r="AJ10" s="326" t="s">
        <v>333</v>
      </c>
      <c r="AK10" s="327">
        <v>70</v>
      </c>
      <c r="AL10" s="323" t="s">
        <v>231</v>
      </c>
      <c r="AM10" s="322">
        <v>80</v>
      </c>
      <c r="AN10" s="326" t="s">
        <v>346</v>
      </c>
      <c r="AO10" s="327">
        <v>67</v>
      </c>
      <c r="AP10" s="323" t="s">
        <v>231</v>
      </c>
      <c r="AQ10" s="320">
        <v>80</v>
      </c>
      <c r="AR10" s="328" t="s">
        <v>330</v>
      </c>
      <c r="AS10" s="329">
        <v>79</v>
      </c>
      <c r="BA10" s="164"/>
      <c r="BB10" s="164"/>
      <c r="BC10" s="164"/>
      <c r="BD10" s="164"/>
      <c r="BE10" s="164"/>
      <c r="BF10" s="164"/>
      <c r="BG10" s="164"/>
      <c r="BH10" s="164"/>
      <c r="BI10" s="164"/>
      <c r="BJ10" s="164"/>
      <c r="BK10" s="164"/>
      <c r="BL10" s="164"/>
    </row>
    <row r="11" spans="2:64" ht="27" customHeight="1" x14ac:dyDescent="0.35">
      <c r="D11" s="25"/>
      <c r="E11" s="240" t="s">
        <v>271</v>
      </c>
      <c r="G11" s="128" t="s">
        <v>272</v>
      </c>
      <c r="H11" s="24"/>
      <c r="I11" s="24"/>
      <c r="J11" s="92"/>
      <c r="K11" s="24" t="s">
        <v>24</v>
      </c>
      <c r="L11" s="24"/>
      <c r="M11" s="24"/>
      <c r="Z11" s="268"/>
      <c r="AA11" s="268"/>
      <c r="AB11" s="268"/>
      <c r="AC11" s="323" t="s">
        <v>114</v>
      </c>
      <c r="AD11" s="323" t="s">
        <v>117</v>
      </c>
      <c r="AE11" s="323" t="s">
        <v>116</v>
      </c>
      <c r="AF11" s="323" t="s">
        <v>117</v>
      </c>
      <c r="AG11" s="323" t="s">
        <v>114</v>
      </c>
      <c r="AH11" s="323" t="s">
        <v>117</v>
      </c>
      <c r="AI11" s="325"/>
      <c r="AJ11" s="326" t="s">
        <v>334</v>
      </c>
      <c r="AK11" s="329">
        <v>73</v>
      </c>
      <c r="AL11" s="323" t="s">
        <v>114</v>
      </c>
      <c r="AM11" s="323" t="s">
        <v>117</v>
      </c>
      <c r="AN11" s="326" t="s">
        <v>347</v>
      </c>
      <c r="AO11" s="327">
        <v>70</v>
      </c>
      <c r="AP11" s="320" t="s">
        <v>114</v>
      </c>
      <c r="AQ11" s="332" t="s">
        <v>117</v>
      </c>
      <c r="AR11" s="164"/>
      <c r="AS11" s="164"/>
      <c r="BA11" s="164"/>
      <c r="BB11" s="164"/>
      <c r="BC11" s="164"/>
      <c r="BD11" s="164"/>
      <c r="BE11" s="164"/>
      <c r="BF11" s="164"/>
      <c r="BG11" s="164"/>
      <c r="BH11" s="164"/>
      <c r="BI11" s="164"/>
      <c r="BJ11" s="164"/>
      <c r="BK11" s="164"/>
      <c r="BL11" s="164"/>
    </row>
    <row r="12" spans="2:64" ht="10.5" customHeight="1" thickBot="1" x14ac:dyDescent="0.4">
      <c r="B12" s="23"/>
      <c r="D12" s="22"/>
      <c r="E12" s="14"/>
      <c r="Z12" s="268"/>
      <c r="AA12" s="268"/>
      <c r="AB12" s="268"/>
      <c r="AC12" s="323" t="s">
        <v>80</v>
      </c>
      <c r="AD12" s="323" t="s">
        <v>117</v>
      </c>
      <c r="AE12" s="323" t="s">
        <v>352</v>
      </c>
      <c r="AF12" s="323">
        <v>59</v>
      </c>
      <c r="AG12" s="323" t="s">
        <v>80</v>
      </c>
      <c r="AH12" s="323" t="s">
        <v>117</v>
      </c>
      <c r="AI12" s="325"/>
      <c r="AJ12" s="326" t="s">
        <v>335</v>
      </c>
      <c r="AK12" s="329">
        <v>76</v>
      </c>
      <c r="AL12" s="323" t="s">
        <v>80</v>
      </c>
      <c r="AM12" s="323" t="s">
        <v>117</v>
      </c>
      <c r="AN12" s="326" t="s">
        <v>348</v>
      </c>
      <c r="AO12" s="329">
        <v>73</v>
      </c>
      <c r="AP12" s="332" t="s">
        <v>80</v>
      </c>
      <c r="AQ12" s="320" t="s">
        <v>117</v>
      </c>
      <c r="AR12" s="323"/>
      <c r="AS12" s="323"/>
      <c r="BA12" s="164"/>
      <c r="BB12" s="164"/>
      <c r="BC12" s="164"/>
      <c r="BD12" s="164"/>
      <c r="BE12" s="164"/>
      <c r="BF12" s="164"/>
      <c r="BG12" s="164"/>
      <c r="BH12" s="164"/>
      <c r="BI12" s="164"/>
      <c r="BJ12" s="164"/>
      <c r="BK12" s="164"/>
      <c r="BL12" s="164"/>
    </row>
    <row r="13" spans="2:64" ht="38.25" customHeight="1" thickBot="1" x14ac:dyDescent="0.4">
      <c r="B13" s="389" t="s">
        <v>236</v>
      </c>
      <c r="C13" s="390"/>
      <c r="D13" s="26"/>
      <c r="E13" s="58" t="s">
        <v>151</v>
      </c>
      <c r="F13" s="100"/>
      <c r="G13" s="58" t="s">
        <v>151</v>
      </c>
      <c r="H13" s="230"/>
      <c r="I13" s="230"/>
      <c r="J13" s="124"/>
      <c r="K13" s="58" t="s">
        <v>151</v>
      </c>
      <c r="L13" s="230"/>
      <c r="M13" s="230"/>
      <c r="Z13" s="268"/>
      <c r="AA13" s="268"/>
      <c r="AB13" s="268"/>
      <c r="AC13" s="323" t="s">
        <v>269</v>
      </c>
      <c r="AD13" s="323" t="s">
        <v>117</v>
      </c>
      <c r="AE13" s="323" t="s">
        <v>238</v>
      </c>
      <c r="AF13" s="323">
        <v>61</v>
      </c>
      <c r="AG13" s="323" t="s">
        <v>269</v>
      </c>
      <c r="AH13" s="323" t="s">
        <v>117</v>
      </c>
      <c r="AI13" s="325"/>
      <c r="AJ13" s="326" t="s">
        <v>336</v>
      </c>
      <c r="AK13" s="327">
        <v>79</v>
      </c>
      <c r="AL13" s="323" t="s">
        <v>83</v>
      </c>
      <c r="AM13" s="323" t="s">
        <v>117</v>
      </c>
      <c r="AN13" s="326" t="s">
        <v>349</v>
      </c>
      <c r="AO13" s="329">
        <v>76</v>
      </c>
      <c r="AP13" s="320" t="s">
        <v>83</v>
      </c>
      <c r="AQ13" s="320" t="s">
        <v>117</v>
      </c>
      <c r="AR13" s="323"/>
      <c r="AS13" s="323"/>
      <c r="BA13" s="164"/>
      <c r="BB13" s="164"/>
      <c r="BC13" s="164"/>
      <c r="BD13" s="164"/>
      <c r="BE13" s="164"/>
      <c r="BF13" s="164"/>
      <c r="BG13" s="164"/>
      <c r="BH13" s="164"/>
      <c r="BI13" s="164"/>
      <c r="BJ13" s="164"/>
      <c r="BK13" s="164"/>
      <c r="BL13" s="164"/>
    </row>
    <row r="14" spans="2:64" ht="9.75" customHeight="1" x14ac:dyDescent="0.35">
      <c r="B14" s="227"/>
      <c r="C14" s="202"/>
      <c r="D14" s="26"/>
      <c r="E14" s="230"/>
      <c r="F14" s="232"/>
      <c r="G14" s="230"/>
      <c r="H14" s="230"/>
      <c r="I14" s="230"/>
      <c r="J14" s="124"/>
      <c r="K14" s="230"/>
      <c r="L14" s="230"/>
      <c r="M14" s="230"/>
      <c r="Z14" s="268"/>
      <c r="AA14" s="268"/>
      <c r="AB14" s="268"/>
      <c r="AC14" s="323" t="s">
        <v>81</v>
      </c>
      <c r="AD14" s="323" t="s">
        <v>117</v>
      </c>
      <c r="AE14" s="323" t="s">
        <v>234</v>
      </c>
      <c r="AF14" s="323">
        <v>62</v>
      </c>
      <c r="AG14" s="323" t="s">
        <v>81</v>
      </c>
      <c r="AH14" s="323" t="s">
        <v>117</v>
      </c>
      <c r="AI14" s="325"/>
      <c r="AJ14" s="326" t="s">
        <v>239</v>
      </c>
      <c r="AK14" s="326">
        <v>79</v>
      </c>
      <c r="AL14" s="323" t="s">
        <v>81</v>
      </c>
      <c r="AM14" s="323" t="s">
        <v>117</v>
      </c>
      <c r="AN14" s="326" t="s">
        <v>350</v>
      </c>
      <c r="AO14" s="327">
        <v>79</v>
      </c>
      <c r="AP14" s="320" t="s">
        <v>81</v>
      </c>
      <c r="AQ14" s="320" t="s">
        <v>117</v>
      </c>
      <c r="AR14" s="323"/>
      <c r="AS14" s="323"/>
      <c r="BA14" s="164"/>
      <c r="BB14" s="164"/>
      <c r="BC14" s="164"/>
      <c r="BD14" s="164"/>
      <c r="BE14" s="164"/>
      <c r="BF14" s="164"/>
      <c r="BG14" s="164"/>
      <c r="BH14" s="164"/>
      <c r="BI14" s="164"/>
      <c r="BJ14" s="164"/>
      <c r="BK14" s="164"/>
      <c r="BL14" s="164"/>
    </row>
    <row r="15" spans="2:64" ht="12" customHeight="1" thickBot="1" x14ac:dyDescent="0.4">
      <c r="B15" s="227"/>
      <c r="C15" s="202"/>
      <c r="D15" s="26"/>
      <c r="E15" s="230"/>
      <c r="F15" s="232"/>
      <c r="G15" s="230"/>
      <c r="H15" s="230"/>
      <c r="I15" s="230"/>
      <c r="J15" s="124"/>
      <c r="K15" s="230"/>
      <c r="L15" s="230"/>
      <c r="M15" s="230"/>
      <c r="Z15" s="268"/>
      <c r="AA15" s="268"/>
      <c r="AB15" s="268"/>
      <c r="AC15" s="323" t="s">
        <v>116</v>
      </c>
      <c r="AD15" s="323" t="s">
        <v>117</v>
      </c>
      <c r="AE15" s="326" t="s">
        <v>337</v>
      </c>
      <c r="AF15" s="327">
        <v>64</v>
      </c>
      <c r="AG15" s="323" t="s">
        <v>116</v>
      </c>
      <c r="AH15" s="323" t="s">
        <v>117</v>
      </c>
      <c r="AI15" s="325"/>
      <c r="AJ15" s="325"/>
      <c r="AK15" s="323"/>
      <c r="AL15" s="323" t="s">
        <v>116</v>
      </c>
      <c r="AM15" s="323" t="s">
        <v>117</v>
      </c>
      <c r="AN15" s="326" t="s">
        <v>239</v>
      </c>
      <c r="AO15" s="326">
        <v>79</v>
      </c>
      <c r="AP15" s="320" t="s">
        <v>116</v>
      </c>
      <c r="AQ15" s="320" t="s">
        <v>117</v>
      </c>
      <c r="AR15" s="333"/>
      <c r="AS15" s="323"/>
      <c r="BA15" s="164"/>
      <c r="BB15" s="164"/>
      <c r="BC15" s="164"/>
      <c r="BD15" s="164"/>
      <c r="BE15" s="164"/>
      <c r="BF15" s="164"/>
      <c r="BG15" s="164"/>
      <c r="BH15" s="164"/>
      <c r="BI15" s="164"/>
      <c r="BJ15" s="164"/>
      <c r="BK15" s="164"/>
      <c r="BL15" s="164"/>
    </row>
    <row r="16" spans="2:64" ht="32.85" customHeight="1" thickBot="1" x14ac:dyDescent="0.4">
      <c r="B16" s="385" t="s">
        <v>221</v>
      </c>
      <c r="C16" s="385"/>
      <c r="D16" s="22"/>
      <c r="E16" s="58" t="s">
        <v>151</v>
      </c>
      <c r="F16" s="84"/>
      <c r="G16" s="84"/>
      <c r="H16" s="84"/>
      <c r="I16" s="84"/>
      <c r="K16" s="58" t="s">
        <v>151</v>
      </c>
      <c r="L16" s="230"/>
      <c r="M16" s="230"/>
      <c r="Z16" s="268"/>
      <c r="AA16" s="268"/>
      <c r="AB16" s="268"/>
      <c r="AC16" s="323" t="s">
        <v>231</v>
      </c>
      <c r="AD16" s="323" t="s">
        <v>6</v>
      </c>
      <c r="AE16" s="326" t="s">
        <v>338</v>
      </c>
      <c r="AF16" s="327">
        <v>67</v>
      </c>
      <c r="AG16" s="323" t="s">
        <v>231</v>
      </c>
      <c r="AH16" s="323" t="s">
        <v>6</v>
      </c>
      <c r="AI16" s="325"/>
      <c r="AJ16" s="325"/>
      <c r="AK16" s="323"/>
      <c r="AL16" s="334">
        <v>80</v>
      </c>
      <c r="AM16" s="335">
        <f>AL16+3</f>
        <v>83</v>
      </c>
      <c r="AN16" s="323"/>
      <c r="AO16" s="323"/>
      <c r="AP16" s="334">
        <v>80</v>
      </c>
      <c r="AQ16" s="320">
        <f>AP16+3</f>
        <v>83</v>
      </c>
      <c r="AR16" s="336"/>
      <c r="AS16" s="268"/>
      <c r="BA16" s="164"/>
      <c r="BB16" s="164"/>
      <c r="BC16" s="164"/>
      <c r="BD16" s="164"/>
      <c r="BE16" s="164"/>
      <c r="BF16" s="164"/>
      <c r="BG16" s="164"/>
      <c r="BH16" s="164"/>
      <c r="BI16" s="164"/>
      <c r="BJ16" s="164"/>
      <c r="BK16" s="164"/>
      <c r="BL16" s="164"/>
    </row>
    <row r="17" spans="1:64" ht="15" customHeight="1" x14ac:dyDescent="0.35">
      <c r="B17" s="404" t="s">
        <v>268</v>
      </c>
      <c r="C17" s="404"/>
      <c r="D17" s="22"/>
      <c r="E17" s="93"/>
      <c r="F17" s="84"/>
      <c r="G17" s="84"/>
      <c r="H17" s="84"/>
      <c r="I17" s="84"/>
      <c r="K17" s="93"/>
      <c r="L17" s="93"/>
      <c r="M17" s="93"/>
      <c r="Z17" s="268"/>
      <c r="AA17" s="268"/>
      <c r="AB17" s="268"/>
      <c r="AC17" s="334">
        <v>80</v>
      </c>
      <c r="AD17" s="335">
        <v>80</v>
      </c>
      <c r="AE17" s="326" t="s">
        <v>339</v>
      </c>
      <c r="AF17" s="327">
        <v>70</v>
      </c>
      <c r="AG17" s="334">
        <v>80</v>
      </c>
      <c r="AH17" s="335">
        <v>80</v>
      </c>
      <c r="AI17" s="325"/>
      <c r="AJ17" s="268"/>
      <c r="AK17" s="268"/>
      <c r="AL17" s="334">
        <v>81</v>
      </c>
      <c r="AM17" s="335">
        <f t="shared" ref="AM17:AM53" si="0">AL17+3</f>
        <v>84</v>
      </c>
      <c r="AN17" s="335"/>
      <c r="AO17" s="335"/>
      <c r="AP17" s="334">
        <v>81</v>
      </c>
      <c r="AQ17" s="320">
        <f t="shared" ref="AQ17:AQ53" si="1">AP17+3</f>
        <v>84</v>
      </c>
      <c r="AR17" s="336"/>
      <c r="AS17" s="268"/>
      <c r="BA17" s="164"/>
      <c r="BB17" s="164"/>
      <c r="BC17" s="164"/>
      <c r="BD17" s="164"/>
      <c r="BE17" s="164"/>
      <c r="BF17" s="164"/>
      <c r="BG17" s="164"/>
      <c r="BH17" s="164"/>
      <c r="BI17" s="164"/>
      <c r="BJ17" s="164"/>
      <c r="BK17" s="164"/>
      <c r="BL17" s="164"/>
    </row>
    <row r="18" spans="1:64" ht="39.75" customHeight="1" x14ac:dyDescent="0.35">
      <c r="D18" s="22"/>
      <c r="E18" s="128" t="s">
        <v>66</v>
      </c>
      <c r="F18" s="126"/>
      <c r="G18" s="24"/>
      <c r="H18" s="24"/>
      <c r="I18" s="24"/>
      <c r="K18" s="2" t="s">
        <v>20</v>
      </c>
      <c r="L18" s="2"/>
      <c r="M18" s="2"/>
      <c r="Z18" s="268"/>
      <c r="AA18" s="268"/>
      <c r="AB18" s="268"/>
      <c r="AC18" s="334">
        <v>81</v>
      </c>
      <c r="AD18" s="335">
        <v>81</v>
      </c>
      <c r="AE18" s="326" t="s">
        <v>340</v>
      </c>
      <c r="AF18" s="329">
        <v>73</v>
      </c>
      <c r="AG18" s="334">
        <v>81</v>
      </c>
      <c r="AH18" s="335">
        <v>81</v>
      </c>
      <c r="AI18" s="325"/>
      <c r="AJ18" s="323"/>
      <c r="AK18" s="320"/>
      <c r="AL18" s="334">
        <v>82</v>
      </c>
      <c r="AM18" s="335">
        <f t="shared" si="0"/>
        <v>85</v>
      </c>
      <c r="AN18" s="335"/>
      <c r="AO18" s="335"/>
      <c r="AP18" s="334">
        <v>82</v>
      </c>
      <c r="AQ18" s="320">
        <f t="shared" si="1"/>
        <v>85</v>
      </c>
      <c r="AR18" s="336"/>
      <c r="AS18" s="268"/>
      <c r="BA18" s="164"/>
      <c r="BB18" s="164"/>
      <c r="BC18" s="164"/>
      <c r="BD18" s="164"/>
      <c r="BE18" s="164"/>
      <c r="BF18" s="164"/>
      <c r="BG18" s="164"/>
      <c r="BH18" s="164"/>
      <c r="BI18" s="164"/>
      <c r="BJ18" s="164"/>
      <c r="BK18" s="164"/>
      <c r="BL18" s="164"/>
    </row>
    <row r="19" spans="1:64" ht="8.1" customHeight="1" thickBot="1" x14ac:dyDescent="0.4">
      <c r="B19" s="1"/>
      <c r="F19" s="84"/>
      <c r="G19" s="84"/>
      <c r="H19" s="84"/>
      <c r="I19" s="84"/>
      <c r="Z19" s="268"/>
      <c r="AA19" s="268"/>
      <c r="AB19" s="268"/>
      <c r="AC19" s="334">
        <v>82</v>
      </c>
      <c r="AD19" s="335">
        <v>82</v>
      </c>
      <c r="AE19" s="326" t="s">
        <v>341</v>
      </c>
      <c r="AF19" s="329">
        <v>76</v>
      </c>
      <c r="AG19" s="334">
        <v>82</v>
      </c>
      <c r="AH19" s="335">
        <v>82</v>
      </c>
      <c r="AI19" s="325"/>
      <c r="AJ19" s="323"/>
      <c r="AK19" s="320"/>
      <c r="AL19" s="334">
        <v>83</v>
      </c>
      <c r="AM19" s="335">
        <f t="shared" si="0"/>
        <v>86</v>
      </c>
      <c r="AN19" s="335"/>
      <c r="AO19" s="335"/>
      <c r="AP19" s="334">
        <v>83</v>
      </c>
      <c r="AQ19" s="320">
        <f t="shared" si="1"/>
        <v>86</v>
      </c>
      <c r="AR19" s="336"/>
      <c r="AS19" s="268"/>
      <c r="BA19" s="164"/>
      <c r="BB19" s="164"/>
      <c r="BC19" s="164"/>
      <c r="BD19" s="164"/>
      <c r="BE19" s="164"/>
      <c r="BF19" s="164"/>
      <c r="BG19" s="164"/>
      <c r="BH19" s="164"/>
      <c r="BI19" s="164"/>
      <c r="BJ19" s="164"/>
      <c r="BK19" s="164"/>
      <c r="BL19" s="164"/>
    </row>
    <row r="20" spans="1:64" ht="45" customHeight="1" thickBot="1" x14ac:dyDescent="0.5">
      <c r="B20" s="389" t="s">
        <v>232</v>
      </c>
      <c r="C20" s="400"/>
      <c r="E20" s="237" t="s">
        <v>151</v>
      </c>
      <c r="F20" s="93"/>
      <c r="G20" s="230"/>
      <c r="H20" s="84"/>
      <c r="I20" s="84"/>
      <c r="K20" s="237" t="s">
        <v>151</v>
      </c>
      <c r="Z20" s="268"/>
      <c r="AA20" s="268"/>
      <c r="AB20" s="268"/>
      <c r="AC20" s="334">
        <v>83</v>
      </c>
      <c r="AD20" s="335">
        <v>83</v>
      </c>
      <c r="AE20" s="326" t="s">
        <v>342</v>
      </c>
      <c r="AF20" s="327">
        <v>79</v>
      </c>
      <c r="AG20" s="334">
        <v>83</v>
      </c>
      <c r="AH20" s="335">
        <v>83</v>
      </c>
      <c r="AI20" s="325"/>
      <c r="AJ20" s="323"/>
      <c r="AK20" s="320"/>
      <c r="AL20" s="334">
        <v>84</v>
      </c>
      <c r="AM20" s="335">
        <f t="shared" si="0"/>
        <v>87</v>
      </c>
      <c r="AN20" s="335"/>
      <c r="AO20" s="335"/>
      <c r="AP20" s="334">
        <v>84</v>
      </c>
      <c r="AQ20" s="320">
        <f t="shared" si="1"/>
        <v>87</v>
      </c>
      <c r="AR20" s="336"/>
      <c r="AS20" s="268"/>
      <c r="BA20" s="164"/>
      <c r="BB20" s="164"/>
      <c r="BC20" s="164"/>
      <c r="BD20" s="164"/>
      <c r="BE20" s="164"/>
      <c r="BF20" s="164"/>
      <c r="BG20" s="164"/>
      <c r="BH20" s="164"/>
      <c r="BI20" s="164"/>
      <c r="BJ20" s="164"/>
      <c r="BK20" s="164"/>
      <c r="BL20" s="164"/>
    </row>
    <row r="21" spans="1:64" ht="6.6" customHeight="1" x14ac:dyDescent="0.35">
      <c r="H21" s="84"/>
      <c r="I21" s="84"/>
      <c r="O21" s="401" t="s">
        <v>38</v>
      </c>
      <c r="S21" s="187"/>
      <c r="T21" s="272"/>
      <c r="U21" s="273"/>
      <c r="X21" s="187"/>
      <c r="Z21" s="268"/>
      <c r="AA21" s="268"/>
      <c r="AB21" s="268"/>
      <c r="AC21" s="334">
        <v>84</v>
      </c>
      <c r="AD21" s="335">
        <v>84</v>
      </c>
      <c r="AE21" s="323" t="s">
        <v>110</v>
      </c>
      <c r="AF21" s="323">
        <v>91</v>
      </c>
      <c r="AG21" s="334">
        <v>84</v>
      </c>
      <c r="AH21" s="335">
        <v>84</v>
      </c>
      <c r="AI21" s="325"/>
      <c r="AJ21" s="268"/>
      <c r="AK21" s="268"/>
      <c r="AL21" s="334">
        <v>85</v>
      </c>
      <c r="AM21" s="335">
        <f t="shared" si="0"/>
        <v>88</v>
      </c>
      <c r="AN21" s="335"/>
      <c r="AO21" s="335"/>
      <c r="AP21" s="334">
        <v>85</v>
      </c>
      <c r="AQ21" s="320">
        <f t="shared" si="1"/>
        <v>88</v>
      </c>
      <c r="AR21" s="336"/>
      <c r="AS21" s="268"/>
      <c r="BA21" s="164"/>
      <c r="BB21" s="164"/>
      <c r="BC21" s="164"/>
      <c r="BD21" s="164"/>
      <c r="BE21" s="164"/>
      <c r="BF21" s="164"/>
      <c r="BG21" s="164"/>
      <c r="BH21" s="164"/>
      <c r="BI21" s="164"/>
      <c r="BJ21" s="164"/>
      <c r="BK21" s="164"/>
      <c r="BL21" s="164"/>
    </row>
    <row r="22" spans="1:64" ht="29.25" customHeight="1" x14ac:dyDescent="0.35">
      <c r="B22" s="189"/>
      <c r="C22" s="202"/>
      <c r="D22" s="22"/>
      <c r="E22" s="17"/>
      <c r="F22" s="17"/>
      <c r="G22" s="17"/>
      <c r="O22" s="402"/>
      <c r="S22" s="187"/>
      <c r="T22" s="272"/>
      <c r="U22" s="273"/>
      <c r="X22" s="187"/>
      <c r="Z22" s="268"/>
      <c r="AA22" s="268"/>
      <c r="AB22" s="268"/>
      <c r="AC22" s="334">
        <v>85</v>
      </c>
      <c r="AD22" s="335">
        <v>85</v>
      </c>
      <c r="AE22" s="323" t="s">
        <v>111</v>
      </c>
      <c r="AF22" s="323">
        <v>103</v>
      </c>
      <c r="AG22" s="334">
        <v>85</v>
      </c>
      <c r="AH22" s="335">
        <v>85</v>
      </c>
      <c r="AI22" s="325"/>
      <c r="AJ22" s="268"/>
      <c r="AK22" s="268"/>
      <c r="AL22" s="334">
        <v>86</v>
      </c>
      <c r="AM22" s="335">
        <f t="shared" si="0"/>
        <v>89</v>
      </c>
      <c r="AN22" s="335"/>
      <c r="AO22" s="335"/>
      <c r="AP22" s="334">
        <v>86</v>
      </c>
      <c r="AQ22" s="320">
        <f t="shared" si="1"/>
        <v>89</v>
      </c>
      <c r="AR22" s="268"/>
      <c r="AS22" s="268"/>
      <c r="BA22" s="164"/>
      <c r="BB22" s="164"/>
      <c r="BC22" s="164"/>
      <c r="BD22" s="164"/>
      <c r="BE22" s="164"/>
      <c r="BF22" s="164"/>
      <c r="BG22" s="164"/>
      <c r="BH22" s="164"/>
      <c r="BI22" s="164"/>
      <c r="BJ22" s="164"/>
      <c r="BK22" s="164"/>
      <c r="BL22" s="164"/>
    </row>
    <row r="23" spans="1:64" ht="32.1" customHeight="1" thickBot="1" x14ac:dyDescent="0.4">
      <c r="B23" s="189"/>
      <c r="C23" s="202"/>
      <c r="D23" s="22"/>
      <c r="E23" s="17"/>
      <c r="F23" s="17"/>
      <c r="G23" s="17"/>
      <c r="H23" s="17"/>
      <c r="O23" s="403"/>
      <c r="S23" s="187"/>
      <c r="T23" s="272"/>
      <c r="U23" s="273"/>
      <c r="X23" s="187"/>
      <c r="Z23" s="268"/>
      <c r="AA23" s="268"/>
      <c r="AB23" s="268"/>
      <c r="AC23" s="334">
        <v>86</v>
      </c>
      <c r="AD23" s="335">
        <v>86</v>
      </c>
      <c r="AE23" s="323" t="s">
        <v>112</v>
      </c>
      <c r="AF23" s="323">
        <v>113</v>
      </c>
      <c r="AG23" s="334">
        <v>86</v>
      </c>
      <c r="AH23" s="335">
        <v>86</v>
      </c>
      <c r="AI23" s="325"/>
      <c r="AJ23" s="268"/>
      <c r="AK23" s="268"/>
      <c r="AL23" s="334">
        <v>87</v>
      </c>
      <c r="AM23" s="335">
        <f t="shared" si="0"/>
        <v>90</v>
      </c>
      <c r="AN23" s="335"/>
      <c r="AO23" s="335"/>
      <c r="AP23" s="334">
        <v>87</v>
      </c>
      <c r="AQ23" s="320">
        <f t="shared" si="1"/>
        <v>90</v>
      </c>
      <c r="AR23" s="268"/>
      <c r="AS23" s="268"/>
      <c r="BA23" s="164"/>
      <c r="BB23" s="164"/>
      <c r="BC23" s="164"/>
      <c r="BD23" s="164"/>
      <c r="BE23" s="164"/>
      <c r="BF23" s="164"/>
      <c r="BG23" s="164"/>
      <c r="BH23" s="164"/>
      <c r="BI23" s="164"/>
      <c r="BJ23" s="164"/>
      <c r="BK23" s="164"/>
      <c r="BL23" s="164"/>
    </row>
    <row r="24" spans="1:64" ht="12.6" customHeight="1" x14ac:dyDescent="0.35">
      <c r="B24" s="189"/>
      <c r="C24" s="202"/>
      <c r="D24" s="22"/>
      <c r="E24" s="17"/>
      <c r="F24" s="17"/>
      <c r="G24" s="17"/>
      <c r="H24" s="17"/>
      <c r="N24" s="236"/>
      <c r="O24" s="213"/>
      <c r="S24" s="187"/>
      <c r="T24" s="272"/>
      <c r="U24" s="273"/>
      <c r="X24" s="187"/>
      <c r="Z24" s="268"/>
      <c r="AA24" s="268"/>
      <c r="AB24" s="268"/>
      <c r="AC24" s="334">
        <v>87</v>
      </c>
      <c r="AD24" s="335">
        <v>87</v>
      </c>
      <c r="AE24" s="268"/>
      <c r="AF24" s="268"/>
      <c r="AG24" s="334">
        <v>87</v>
      </c>
      <c r="AH24" s="335">
        <v>87</v>
      </c>
      <c r="AI24" s="325"/>
      <c r="AJ24" s="268"/>
      <c r="AK24" s="268"/>
      <c r="AL24" s="334">
        <v>88</v>
      </c>
      <c r="AM24" s="335">
        <f t="shared" si="0"/>
        <v>91</v>
      </c>
      <c r="AN24" s="335"/>
      <c r="AO24" s="335"/>
      <c r="AP24" s="334">
        <v>88</v>
      </c>
      <c r="AQ24" s="320">
        <f t="shared" si="1"/>
        <v>91</v>
      </c>
      <c r="AR24" s="268"/>
      <c r="AS24" s="268"/>
      <c r="BA24" s="164"/>
      <c r="BB24" s="164"/>
      <c r="BC24" s="164"/>
      <c r="BD24" s="164"/>
      <c r="BE24" s="164"/>
      <c r="BF24" s="164"/>
      <c r="BG24" s="164"/>
      <c r="BH24" s="164"/>
      <c r="BI24" s="164"/>
      <c r="BJ24" s="164"/>
      <c r="BK24" s="164"/>
      <c r="BL24" s="164"/>
    </row>
    <row r="25" spans="1:64" ht="9" customHeight="1" x14ac:dyDescent="0.35">
      <c r="B25" s="189"/>
      <c r="C25" s="202"/>
      <c r="D25" s="22"/>
      <c r="E25" s="17"/>
      <c r="F25" s="17"/>
      <c r="G25" s="17"/>
      <c r="H25" s="17"/>
      <c r="I25" s="233"/>
      <c r="J25" s="74"/>
      <c r="K25" s="233"/>
      <c r="L25" s="234"/>
      <c r="M25" s="233"/>
      <c r="N25" s="103"/>
      <c r="O25" s="213"/>
      <c r="S25" s="187"/>
      <c r="T25" s="272"/>
      <c r="U25" s="273"/>
      <c r="X25" s="187"/>
      <c r="Z25" s="268"/>
      <c r="AA25" s="268"/>
      <c r="AB25" s="268"/>
      <c r="AC25" s="334">
        <v>88</v>
      </c>
      <c r="AD25" s="335">
        <v>88</v>
      </c>
      <c r="AE25" s="268"/>
      <c r="AF25" s="268"/>
      <c r="AG25" s="334">
        <v>88</v>
      </c>
      <c r="AH25" s="335">
        <v>88</v>
      </c>
      <c r="AI25" s="325"/>
      <c r="AJ25" s="268"/>
      <c r="AK25" s="268"/>
      <c r="AL25" s="334">
        <v>89</v>
      </c>
      <c r="AM25" s="335">
        <f t="shared" si="0"/>
        <v>92</v>
      </c>
      <c r="AN25" s="335"/>
      <c r="AO25" s="335"/>
      <c r="AP25" s="334">
        <v>89</v>
      </c>
      <c r="AQ25" s="320">
        <f t="shared" si="1"/>
        <v>92</v>
      </c>
      <c r="AR25" s="268"/>
      <c r="AS25" s="268"/>
      <c r="BA25" s="164"/>
      <c r="BB25" s="164"/>
      <c r="BC25" s="164"/>
      <c r="BD25" s="164"/>
      <c r="BE25" s="164"/>
      <c r="BF25" s="164"/>
      <c r="BG25" s="164"/>
      <c r="BH25" s="164"/>
      <c r="BI25" s="164"/>
      <c r="BJ25" s="164"/>
      <c r="BK25" s="164"/>
      <c r="BL25" s="164"/>
    </row>
    <row r="26" spans="1:64" ht="29.45" customHeight="1" x14ac:dyDescent="0.35">
      <c r="C26" s="202"/>
      <c r="D26" s="22"/>
      <c r="E26" s="128" t="s">
        <v>95</v>
      </c>
      <c r="F26" s="17"/>
      <c r="G26" s="128" t="s">
        <v>96</v>
      </c>
      <c r="H26" s="17"/>
      <c r="I26" s="128"/>
      <c r="K26" s="128" t="s">
        <v>97</v>
      </c>
      <c r="L26" s="128"/>
      <c r="M26" s="128"/>
      <c r="N26" s="235"/>
      <c r="O26" s="213"/>
      <c r="S26" s="187"/>
      <c r="T26" s="272"/>
      <c r="U26" s="273"/>
      <c r="X26" s="187"/>
      <c r="Z26" s="268"/>
      <c r="AA26" s="268"/>
      <c r="AB26" s="268"/>
      <c r="AC26" s="334">
        <v>89</v>
      </c>
      <c r="AD26" s="335">
        <v>89</v>
      </c>
      <c r="AE26" s="268"/>
      <c r="AF26" s="268"/>
      <c r="AG26" s="334">
        <v>89</v>
      </c>
      <c r="AH26" s="335">
        <v>89</v>
      </c>
      <c r="AI26" s="325"/>
      <c r="AJ26" s="268"/>
      <c r="AK26" s="268"/>
      <c r="AL26" s="334">
        <v>90</v>
      </c>
      <c r="AM26" s="335">
        <f t="shared" si="0"/>
        <v>93</v>
      </c>
      <c r="AN26" s="335"/>
      <c r="AO26" s="335"/>
      <c r="AP26" s="334">
        <v>90</v>
      </c>
      <c r="AQ26" s="320">
        <f t="shared" si="1"/>
        <v>93</v>
      </c>
      <c r="AR26" s="268"/>
      <c r="AS26" s="268"/>
      <c r="BA26" s="164"/>
      <c r="BB26" s="164"/>
      <c r="BC26" s="164"/>
      <c r="BD26" s="164"/>
      <c r="BE26" s="164"/>
      <c r="BF26" s="164"/>
      <c r="BG26" s="164"/>
      <c r="BH26" s="164"/>
      <c r="BI26" s="164"/>
      <c r="BJ26" s="164"/>
      <c r="BK26" s="164"/>
      <c r="BL26" s="164"/>
    </row>
    <row r="27" spans="1:64" ht="11.1" customHeight="1" thickBot="1" x14ac:dyDescent="0.4">
      <c r="C27" s="23"/>
      <c r="D27" s="22"/>
      <c r="E27" s="127"/>
      <c r="F27" s="127"/>
      <c r="G27" s="127"/>
      <c r="H27" s="17"/>
      <c r="I27" s="127"/>
      <c r="K27" s="85"/>
      <c r="L27" s="85"/>
      <c r="M27" s="85"/>
      <c r="O27" s="213"/>
      <c r="S27" s="187"/>
      <c r="T27" s="272"/>
      <c r="U27" s="273"/>
      <c r="X27" s="187"/>
      <c r="Z27" s="268"/>
      <c r="AA27" s="268"/>
      <c r="AB27" s="268"/>
      <c r="AC27" s="334">
        <v>90</v>
      </c>
      <c r="AD27" s="335">
        <v>90</v>
      </c>
      <c r="AE27" s="268"/>
      <c r="AF27" s="268"/>
      <c r="AG27" s="334">
        <v>90</v>
      </c>
      <c r="AH27" s="335">
        <v>90</v>
      </c>
      <c r="AI27" s="325"/>
      <c r="AJ27" s="268"/>
      <c r="AK27" s="268"/>
      <c r="AL27" s="334">
        <v>91</v>
      </c>
      <c r="AM27" s="335">
        <f t="shared" si="0"/>
        <v>94</v>
      </c>
      <c r="AN27" s="335"/>
      <c r="AO27" s="335"/>
      <c r="AP27" s="334">
        <v>91</v>
      </c>
      <c r="AQ27" s="320">
        <f t="shared" si="1"/>
        <v>94</v>
      </c>
      <c r="AR27" s="268"/>
      <c r="AS27" s="268"/>
      <c r="BA27" s="164"/>
      <c r="BB27" s="164"/>
      <c r="BC27" s="164"/>
      <c r="BD27" s="164"/>
      <c r="BE27" s="164"/>
      <c r="BF27" s="164"/>
      <c r="BG27" s="164"/>
      <c r="BH27" s="164"/>
      <c r="BI27" s="164"/>
      <c r="BJ27" s="164"/>
      <c r="BK27" s="164"/>
      <c r="BL27" s="164"/>
    </row>
    <row r="28" spans="1:64" ht="35.85" customHeight="1" thickBot="1" x14ac:dyDescent="0.45">
      <c r="B28" s="189" t="s">
        <v>220</v>
      </c>
      <c r="C28" s="189"/>
      <c r="D28" s="22"/>
      <c r="E28" s="215" t="str">
        <f>IFERROR(IF(AND(E13=AC16,E16=Z4),80,IF(E13=AC16,VLOOKUP(E20,AJ4:AK16,2,FALSE),IF(E13=AC5,VLOOKUP(E20,AJ4:AK14,2,FALSE),IF(E16=Z4,VLOOKUP(E13,AL4:AM55,2,FALSE),VLOOKUP(E13,AC4:AD57,2,FALSE))))),"Pupil excluded")</f>
        <v>Pupil excluded</v>
      </c>
      <c r="F28" s="127"/>
      <c r="G28" s="215" t="str">
        <f>IFERROR(VLOOKUP(G13,AE4:AF23,2,FALSE),"Pupil excluded")</f>
        <v>Pupil excluded</v>
      </c>
      <c r="H28" s="128"/>
      <c r="I28" s="231"/>
      <c r="K28" s="215" t="str">
        <f>IFERROR(IF(AND(K13=AC16,K16=Z4),80,IF(K13=AC16,VLOOKUP(K20,AN4:AO15,2,FALSE),IF(K13=AC5,VLOOKUP(K20,AN4:AO15,2,FALSE),IF(K16=Z4,VLOOKUP(K13,AP4:AQ56,2,FALSE),VLOOKUP(K13,AG4:AH57,2,FALSE))))),"Pupil excluded")</f>
        <v>Pupil excluded</v>
      </c>
      <c r="L28" s="231"/>
      <c r="M28" s="231"/>
      <c r="N28" s="131"/>
      <c r="O28" s="198"/>
      <c r="S28" s="187"/>
      <c r="T28" s="272"/>
      <c r="U28" s="273"/>
      <c r="X28" s="187"/>
      <c r="Z28" s="268"/>
      <c r="AA28" s="268"/>
      <c r="AB28" s="268"/>
      <c r="AC28" s="334">
        <v>91</v>
      </c>
      <c r="AD28" s="335">
        <v>91</v>
      </c>
      <c r="AE28" s="323"/>
      <c r="AF28" s="323"/>
      <c r="AG28" s="334">
        <v>91</v>
      </c>
      <c r="AH28" s="335">
        <v>91</v>
      </c>
      <c r="AI28" s="325"/>
      <c r="AJ28" s="268"/>
      <c r="AK28" s="268"/>
      <c r="AL28" s="334">
        <v>92</v>
      </c>
      <c r="AM28" s="335">
        <f t="shared" si="0"/>
        <v>95</v>
      </c>
      <c r="AN28" s="335"/>
      <c r="AO28" s="335"/>
      <c r="AP28" s="334">
        <v>92</v>
      </c>
      <c r="AQ28" s="320">
        <f t="shared" si="1"/>
        <v>95</v>
      </c>
      <c r="AR28" s="268"/>
      <c r="AS28" s="268"/>
      <c r="BA28" s="164"/>
      <c r="BB28" s="164"/>
      <c r="BC28" s="164"/>
      <c r="BD28" s="164"/>
      <c r="BE28" s="164"/>
      <c r="BF28" s="164"/>
      <c r="BG28" s="164"/>
      <c r="BH28" s="164"/>
      <c r="BI28" s="164"/>
      <c r="BJ28" s="164"/>
      <c r="BK28" s="164"/>
      <c r="BL28" s="164"/>
    </row>
    <row r="29" spans="1:64" ht="35.85" customHeight="1" x14ac:dyDescent="0.35">
      <c r="C29" s="23"/>
      <c r="D29" s="22"/>
      <c r="E29" s="127"/>
      <c r="F29" s="127"/>
      <c r="G29" s="127"/>
      <c r="H29" s="127"/>
      <c r="I29" s="127"/>
      <c r="K29" s="85"/>
      <c r="L29" s="85"/>
      <c r="M29" s="85"/>
      <c r="N29" s="199"/>
      <c r="O29" s="198"/>
      <c r="S29" s="187"/>
      <c r="T29" s="272"/>
      <c r="U29" s="273"/>
      <c r="X29" s="187"/>
      <c r="Z29" s="268"/>
      <c r="AA29" s="268"/>
      <c r="AB29" s="268"/>
      <c r="AC29" s="334">
        <v>92</v>
      </c>
      <c r="AD29" s="335">
        <v>92</v>
      </c>
      <c r="AE29" s="323"/>
      <c r="AF29" s="323"/>
      <c r="AG29" s="334">
        <v>92</v>
      </c>
      <c r="AH29" s="335">
        <v>92</v>
      </c>
      <c r="AI29" s="325"/>
      <c r="AJ29" s="268"/>
      <c r="AK29" s="268"/>
      <c r="AL29" s="334">
        <v>93</v>
      </c>
      <c r="AM29" s="335">
        <f t="shared" si="0"/>
        <v>96</v>
      </c>
      <c r="AN29" s="335"/>
      <c r="AO29" s="335"/>
      <c r="AP29" s="334">
        <v>93</v>
      </c>
      <c r="AQ29" s="320">
        <f t="shared" si="1"/>
        <v>96</v>
      </c>
      <c r="AR29" s="268"/>
      <c r="AS29" s="268"/>
      <c r="BA29" s="164"/>
      <c r="BB29" s="164"/>
      <c r="BC29" s="164"/>
      <c r="BD29" s="164"/>
      <c r="BE29" s="164"/>
      <c r="BF29" s="164"/>
      <c r="BG29" s="164"/>
      <c r="BH29" s="164"/>
      <c r="BI29" s="164"/>
      <c r="BJ29" s="164"/>
      <c r="BK29" s="164"/>
      <c r="BL29" s="164"/>
    </row>
    <row r="30" spans="1:64" s="18" customFormat="1" ht="36.6" customHeight="1" x14ac:dyDescent="0.35">
      <c r="A30"/>
      <c r="B30"/>
      <c r="C30"/>
      <c r="D30"/>
      <c r="E30"/>
      <c r="F30"/>
      <c r="G30"/>
      <c r="H30"/>
      <c r="I30"/>
      <c r="J30"/>
      <c r="K30"/>
      <c r="L30"/>
      <c r="M30"/>
      <c r="N30" s="93"/>
      <c r="O30" s="103"/>
      <c r="P30" s="187"/>
      <c r="Q30" s="187"/>
      <c r="R30" s="272"/>
      <c r="S30" s="273"/>
      <c r="T30" s="187"/>
      <c r="U30" s="187"/>
      <c r="V30" s="187"/>
      <c r="W30" s="274"/>
      <c r="X30" s="274"/>
      <c r="Y30" s="287"/>
      <c r="Z30" s="268"/>
      <c r="AA30" s="268"/>
      <c r="AB30" s="323">
        <v>12</v>
      </c>
      <c r="AC30" s="334">
        <v>93</v>
      </c>
      <c r="AD30" s="335">
        <v>93</v>
      </c>
      <c r="AE30" s="323"/>
      <c r="AF30" s="323"/>
      <c r="AG30" s="334">
        <v>93</v>
      </c>
      <c r="AH30" s="335">
        <v>93</v>
      </c>
      <c r="AI30" s="325"/>
      <c r="AJ30" s="268"/>
      <c r="AK30" s="268"/>
      <c r="AL30" s="334">
        <v>94</v>
      </c>
      <c r="AM30" s="335">
        <f t="shared" si="0"/>
        <v>97</v>
      </c>
      <c r="AN30" s="335"/>
      <c r="AO30" s="335"/>
      <c r="AP30" s="334">
        <v>94</v>
      </c>
      <c r="AQ30" s="320">
        <f t="shared" si="1"/>
        <v>97</v>
      </c>
      <c r="AR30" s="268"/>
      <c r="AS30" s="268"/>
      <c r="AT30" s="287"/>
      <c r="AU30" s="274"/>
      <c r="AV30" s="274"/>
      <c r="AW30" s="274"/>
      <c r="AX30" s="274"/>
      <c r="AY30" s="274"/>
      <c r="AZ30" s="274"/>
      <c r="BA30" s="268"/>
      <c r="BB30" s="268"/>
      <c r="BC30" s="268"/>
      <c r="BD30" s="268"/>
      <c r="BE30" s="268"/>
      <c r="BF30" s="268"/>
      <c r="BG30" s="268"/>
      <c r="BH30" s="268"/>
      <c r="BI30" s="268"/>
      <c r="BJ30" s="268"/>
      <c r="BK30" s="268"/>
      <c r="BL30" s="268"/>
    </row>
    <row r="31" spans="1:64" s="18" customFormat="1" ht="7.5" customHeight="1" x14ac:dyDescent="0.35">
      <c r="A31"/>
      <c r="B31"/>
      <c r="C31"/>
      <c r="D31"/>
      <c r="E31"/>
      <c r="F31"/>
      <c r="G31"/>
      <c r="H31"/>
      <c r="I31"/>
      <c r="J31"/>
      <c r="K31"/>
      <c r="L31"/>
      <c r="M31"/>
      <c r="N31"/>
      <c r="O31" s="103"/>
      <c r="P31" s="187"/>
      <c r="Q31" s="187"/>
      <c r="R31" s="187"/>
      <c r="S31" s="272"/>
      <c r="T31" s="273"/>
      <c r="U31" s="187"/>
      <c r="V31" s="187"/>
      <c r="W31" s="187"/>
      <c r="X31" s="274"/>
      <c r="Y31" s="287"/>
      <c r="Z31" s="268"/>
      <c r="AA31" s="268"/>
      <c r="AB31" s="268"/>
      <c r="AC31" s="334">
        <v>94</v>
      </c>
      <c r="AD31" s="335">
        <v>94</v>
      </c>
      <c r="AE31" s="323"/>
      <c r="AF31" s="323"/>
      <c r="AG31" s="334">
        <v>94</v>
      </c>
      <c r="AH31" s="335">
        <v>94</v>
      </c>
      <c r="AI31" s="325"/>
      <c r="AJ31" s="268"/>
      <c r="AK31" s="268"/>
      <c r="AL31" s="334">
        <v>95</v>
      </c>
      <c r="AM31" s="335">
        <f t="shared" si="0"/>
        <v>98</v>
      </c>
      <c r="AN31" s="335"/>
      <c r="AO31" s="335"/>
      <c r="AP31" s="334">
        <v>95</v>
      </c>
      <c r="AQ31" s="320">
        <f t="shared" si="1"/>
        <v>98</v>
      </c>
      <c r="AR31" s="268"/>
      <c r="AS31" s="268"/>
      <c r="AT31" s="287"/>
      <c r="AU31" s="274"/>
      <c r="AV31" s="274"/>
      <c r="AW31" s="274"/>
      <c r="AX31" s="274"/>
      <c r="AY31" s="274"/>
      <c r="AZ31" s="274"/>
      <c r="BA31" s="268"/>
      <c r="BB31" s="268"/>
      <c r="BC31" s="268"/>
      <c r="BD31" s="268"/>
      <c r="BE31" s="268"/>
      <c r="BF31" s="268"/>
      <c r="BG31" s="268"/>
      <c r="BH31" s="268"/>
      <c r="BI31" s="268"/>
      <c r="BJ31" s="268"/>
      <c r="BK31" s="268"/>
      <c r="BL31" s="268"/>
    </row>
    <row r="32" spans="1:64" ht="28.5" customHeight="1" x14ac:dyDescent="0.35">
      <c r="A32" s="18"/>
      <c r="D32" s="22"/>
      <c r="E32" s="18"/>
      <c r="F32" s="126"/>
      <c r="G32" s="18"/>
      <c r="H32" s="127"/>
      <c r="I32" s="18"/>
      <c r="K32" s="18"/>
      <c r="L32" s="18"/>
      <c r="M32" s="18"/>
      <c r="N32" s="69"/>
      <c r="Z32" s="268"/>
      <c r="AA32" s="268"/>
      <c r="AB32" s="268"/>
      <c r="AC32" s="334">
        <v>95</v>
      </c>
      <c r="AD32" s="335">
        <v>95</v>
      </c>
      <c r="AE32" s="323"/>
      <c r="AF32" s="323"/>
      <c r="AG32" s="334">
        <v>95</v>
      </c>
      <c r="AH32" s="335">
        <v>95</v>
      </c>
      <c r="AI32" s="325"/>
      <c r="AJ32" s="268"/>
      <c r="AK32" s="268"/>
      <c r="AL32" s="334">
        <v>96</v>
      </c>
      <c r="AM32" s="335">
        <f t="shared" si="0"/>
        <v>99</v>
      </c>
      <c r="AN32" s="335"/>
      <c r="AO32" s="335"/>
      <c r="AP32" s="334">
        <v>96</v>
      </c>
      <c r="AQ32" s="320">
        <f t="shared" si="1"/>
        <v>99</v>
      </c>
      <c r="AR32" s="268"/>
      <c r="AS32" s="268"/>
      <c r="BA32" s="164"/>
      <c r="BB32" s="164"/>
      <c r="BC32" s="164"/>
      <c r="BD32" s="164"/>
      <c r="BE32" s="164"/>
      <c r="BF32" s="164"/>
      <c r="BG32" s="164"/>
      <c r="BH32" s="164"/>
      <c r="BI32" s="164"/>
      <c r="BJ32" s="164"/>
      <c r="BK32" s="164"/>
      <c r="BL32" s="164"/>
    </row>
    <row r="33" spans="1:64" s="18" customFormat="1" ht="39" customHeight="1" x14ac:dyDescent="0.35">
      <c r="B33" s="228"/>
      <c r="C33" s="23"/>
      <c r="D33" s="22"/>
      <c r="E33"/>
      <c r="F33" s="84"/>
      <c r="G33" s="84"/>
      <c r="H33" s="127"/>
      <c r="I33" s="84"/>
      <c r="J33"/>
      <c r="K33"/>
      <c r="L33"/>
      <c r="M33"/>
      <c r="N33"/>
      <c r="P33" s="213"/>
      <c r="Q33" s="213"/>
      <c r="R33" s="213"/>
      <c r="S33" s="213"/>
      <c r="T33" s="273"/>
      <c r="U33" s="187"/>
      <c r="V33" s="187"/>
      <c r="W33" s="187"/>
      <c r="X33" s="274"/>
      <c r="Y33" s="287"/>
      <c r="Z33" s="268"/>
      <c r="AA33" s="268"/>
      <c r="AB33" s="268"/>
      <c r="AC33" s="334">
        <v>96</v>
      </c>
      <c r="AD33" s="335">
        <v>96</v>
      </c>
      <c r="AE33" s="323"/>
      <c r="AF33" s="323"/>
      <c r="AG33" s="334">
        <v>96</v>
      </c>
      <c r="AH33" s="335">
        <v>96</v>
      </c>
      <c r="AI33" s="325"/>
      <c r="AJ33" s="268"/>
      <c r="AK33" s="268"/>
      <c r="AL33" s="334">
        <v>97</v>
      </c>
      <c r="AM33" s="335">
        <f t="shared" si="0"/>
        <v>100</v>
      </c>
      <c r="AN33" s="335"/>
      <c r="AO33" s="335"/>
      <c r="AP33" s="334">
        <v>97</v>
      </c>
      <c r="AQ33" s="320">
        <f t="shared" si="1"/>
        <v>100</v>
      </c>
      <c r="AR33" s="268"/>
      <c r="AS33" s="268"/>
      <c r="AT33" s="287"/>
      <c r="AU33" s="274"/>
      <c r="AV33" s="274"/>
      <c r="AW33" s="274"/>
      <c r="AX33" s="274"/>
      <c r="AY33" s="274"/>
      <c r="AZ33" s="274"/>
      <c r="BA33" s="268"/>
      <c r="BB33" s="268"/>
      <c r="BC33" s="268"/>
      <c r="BD33" s="268"/>
      <c r="BE33" s="268"/>
      <c r="BF33" s="268"/>
      <c r="BG33" s="268"/>
      <c r="BH33" s="268"/>
      <c r="BI33" s="268"/>
      <c r="BJ33" s="268"/>
      <c r="BK33" s="268"/>
      <c r="BL33" s="268"/>
    </row>
    <row r="34" spans="1:64" ht="32.25" customHeight="1" x14ac:dyDescent="0.35">
      <c r="C34" s="229"/>
      <c r="D34" s="205"/>
      <c r="E34" s="17"/>
      <c r="F34" s="17"/>
      <c r="G34" s="17"/>
      <c r="H34" s="18"/>
      <c r="I34" s="17"/>
      <c r="J34" s="206"/>
      <c r="K34" s="17"/>
      <c r="L34" s="17"/>
      <c r="M34" s="17"/>
      <c r="P34" s="213"/>
      <c r="Q34" s="213"/>
      <c r="R34" s="213"/>
      <c r="S34" s="213"/>
      <c r="Z34" s="268"/>
      <c r="AA34" s="268"/>
      <c r="AB34" s="268"/>
      <c r="AC34" s="334">
        <v>97</v>
      </c>
      <c r="AD34" s="335">
        <v>97</v>
      </c>
      <c r="AE34" s="323"/>
      <c r="AF34" s="323"/>
      <c r="AG34" s="334">
        <v>97</v>
      </c>
      <c r="AH34" s="335">
        <v>97</v>
      </c>
      <c r="AI34" s="325"/>
      <c r="AJ34" s="268"/>
      <c r="AK34" s="268"/>
      <c r="AL34" s="334">
        <v>98</v>
      </c>
      <c r="AM34" s="335">
        <f t="shared" si="0"/>
        <v>101</v>
      </c>
      <c r="AN34" s="335"/>
      <c r="AO34" s="335"/>
      <c r="AP34" s="334">
        <v>98</v>
      </c>
      <c r="AQ34" s="320">
        <f t="shared" si="1"/>
        <v>101</v>
      </c>
      <c r="AR34" s="268"/>
      <c r="AS34" s="268"/>
      <c r="BA34" s="164"/>
      <c r="BB34" s="164"/>
      <c r="BC34" s="164"/>
      <c r="BD34" s="164"/>
      <c r="BE34" s="164"/>
      <c r="BF34" s="164"/>
      <c r="BG34" s="164"/>
      <c r="BH34" s="164"/>
      <c r="BI34" s="164"/>
      <c r="BJ34" s="164"/>
      <c r="BK34" s="164"/>
      <c r="BL34" s="164"/>
    </row>
    <row r="35" spans="1:64" ht="12" customHeight="1" x14ac:dyDescent="0.35">
      <c r="A35" s="18"/>
      <c r="C35" s="1"/>
      <c r="D35" s="22"/>
      <c r="H35" s="84"/>
      <c r="O35" s="198"/>
      <c r="P35" s="213"/>
      <c r="Q35" s="213"/>
      <c r="R35" s="213"/>
      <c r="S35" s="213"/>
      <c r="Z35" s="268"/>
      <c r="AA35" s="268"/>
      <c r="AB35" s="268"/>
      <c r="AC35" s="334">
        <v>98</v>
      </c>
      <c r="AD35" s="335">
        <v>98</v>
      </c>
      <c r="AE35" s="323"/>
      <c r="AF35" s="323"/>
      <c r="AG35" s="334">
        <v>98</v>
      </c>
      <c r="AH35" s="335">
        <v>98</v>
      </c>
      <c r="AI35" s="325"/>
      <c r="AJ35" s="268"/>
      <c r="AK35" s="268"/>
      <c r="AL35" s="334">
        <v>99</v>
      </c>
      <c r="AM35" s="335">
        <f t="shared" si="0"/>
        <v>102</v>
      </c>
      <c r="AN35" s="335"/>
      <c r="AO35" s="335"/>
      <c r="AP35" s="334">
        <v>99</v>
      </c>
      <c r="AQ35" s="320">
        <f t="shared" si="1"/>
        <v>102</v>
      </c>
      <c r="AR35" s="268"/>
      <c r="AS35" s="268"/>
      <c r="BA35" s="164"/>
      <c r="BB35" s="164"/>
      <c r="BC35" s="164"/>
      <c r="BD35" s="164"/>
      <c r="BE35" s="164"/>
      <c r="BF35" s="164"/>
      <c r="BG35" s="164"/>
      <c r="BH35" s="164"/>
      <c r="BI35" s="164"/>
      <c r="BJ35" s="164"/>
      <c r="BK35" s="164"/>
      <c r="BL35" s="164"/>
    </row>
    <row r="36" spans="1:64" ht="17.649999999999999" x14ac:dyDescent="0.35">
      <c r="A36" s="18"/>
      <c r="C36" s="1"/>
      <c r="H36" s="17"/>
      <c r="O36" s="200"/>
      <c r="P36" s="275"/>
      <c r="R36" s="213"/>
      <c r="S36" s="213"/>
      <c r="Z36" s="268"/>
      <c r="AA36" s="268"/>
      <c r="AB36" s="268"/>
      <c r="AC36" s="334">
        <v>99</v>
      </c>
      <c r="AD36" s="335">
        <v>99</v>
      </c>
      <c r="AE36" s="323"/>
      <c r="AF36" s="323"/>
      <c r="AG36" s="334">
        <v>99</v>
      </c>
      <c r="AH36" s="335">
        <v>99</v>
      </c>
      <c r="AI36" s="325"/>
      <c r="AJ36" s="268"/>
      <c r="AK36" s="268"/>
      <c r="AL36" s="334">
        <v>100</v>
      </c>
      <c r="AM36" s="335">
        <f t="shared" si="0"/>
        <v>103</v>
      </c>
      <c r="AN36" s="335"/>
      <c r="AO36" s="335"/>
      <c r="AP36" s="334">
        <v>100</v>
      </c>
      <c r="AQ36" s="320">
        <f t="shared" si="1"/>
        <v>103</v>
      </c>
      <c r="AR36" s="268"/>
      <c r="AS36" s="268"/>
      <c r="BA36" s="164"/>
      <c r="BB36" s="164"/>
      <c r="BC36" s="164"/>
      <c r="BD36" s="164"/>
      <c r="BE36" s="164"/>
      <c r="BF36" s="164"/>
      <c r="BG36" s="164"/>
      <c r="BH36" s="164"/>
      <c r="BI36" s="164"/>
      <c r="BJ36" s="164"/>
      <c r="BK36" s="164"/>
      <c r="BL36" s="164"/>
    </row>
    <row r="37" spans="1:64" ht="26.25" customHeight="1" x14ac:dyDescent="0.35">
      <c r="A37" s="18"/>
      <c r="C37" s="2"/>
      <c r="O37" s="197"/>
      <c r="P37" s="197"/>
      <c r="Z37" s="268"/>
      <c r="AA37" s="268"/>
      <c r="AB37" s="268"/>
      <c r="AC37" s="334">
        <v>100</v>
      </c>
      <c r="AD37" s="335">
        <v>100</v>
      </c>
      <c r="AE37" s="323"/>
      <c r="AF37" s="323"/>
      <c r="AG37" s="334">
        <v>100</v>
      </c>
      <c r="AH37" s="335">
        <v>100</v>
      </c>
      <c r="AI37" s="325"/>
      <c r="AJ37" s="268"/>
      <c r="AK37" s="268"/>
      <c r="AL37" s="334">
        <v>101</v>
      </c>
      <c r="AM37" s="335">
        <f t="shared" si="0"/>
        <v>104</v>
      </c>
      <c r="AN37" s="335"/>
      <c r="AO37" s="335"/>
      <c r="AP37" s="334">
        <v>101</v>
      </c>
      <c r="AQ37" s="320">
        <f t="shared" si="1"/>
        <v>104</v>
      </c>
      <c r="AR37" s="268"/>
      <c r="AS37" s="268"/>
      <c r="BA37" s="164"/>
      <c r="BB37" s="164"/>
      <c r="BC37" s="164"/>
      <c r="BD37" s="164"/>
      <c r="BE37" s="164"/>
      <c r="BF37" s="164"/>
      <c r="BG37" s="164"/>
      <c r="BH37" s="164"/>
      <c r="BI37" s="164"/>
      <c r="BJ37" s="164"/>
      <c r="BK37" s="164"/>
      <c r="BL37" s="164"/>
    </row>
    <row r="38" spans="1:64" ht="15" customHeight="1" x14ac:dyDescent="0.35">
      <c r="A38" s="18"/>
      <c r="Z38" s="268"/>
      <c r="AA38" s="268"/>
      <c r="AB38" s="268"/>
      <c r="AC38" s="334">
        <v>101</v>
      </c>
      <c r="AD38" s="335">
        <v>101</v>
      </c>
      <c r="AE38" s="323"/>
      <c r="AF38" s="323"/>
      <c r="AG38" s="334">
        <v>101</v>
      </c>
      <c r="AH38" s="335">
        <v>101</v>
      </c>
      <c r="AI38" s="325"/>
      <c r="AJ38" s="268"/>
      <c r="AK38" s="268"/>
      <c r="AL38" s="334">
        <v>102</v>
      </c>
      <c r="AM38" s="335">
        <f t="shared" si="0"/>
        <v>105</v>
      </c>
      <c r="AN38" s="335"/>
      <c r="AO38" s="335"/>
      <c r="AP38" s="334">
        <v>102</v>
      </c>
      <c r="AQ38" s="320">
        <f t="shared" si="1"/>
        <v>105</v>
      </c>
      <c r="AR38" s="268"/>
      <c r="AS38" s="268"/>
      <c r="BA38" s="164"/>
      <c r="BB38" s="164"/>
      <c r="BC38" s="164"/>
      <c r="BD38" s="164"/>
      <c r="BE38" s="164"/>
      <c r="BF38" s="164"/>
      <c r="BG38" s="164"/>
      <c r="BH38" s="164"/>
      <c r="BI38" s="164"/>
      <c r="BJ38" s="164"/>
      <c r="BK38" s="164"/>
      <c r="BL38" s="164"/>
    </row>
    <row r="39" spans="1:64" ht="27.75" customHeight="1" x14ac:dyDescent="0.35">
      <c r="A39" s="18"/>
      <c r="C39" s="74"/>
      <c r="F39" s="2"/>
      <c r="G39" s="2"/>
      <c r="I39" s="2"/>
      <c r="J39" s="2"/>
      <c r="O39" s="93"/>
      <c r="P39" s="93"/>
      <c r="Z39" s="268"/>
      <c r="AA39" s="268"/>
      <c r="AB39" s="268"/>
      <c r="AC39" s="334">
        <v>102</v>
      </c>
      <c r="AD39" s="335">
        <v>102</v>
      </c>
      <c r="AE39" s="323"/>
      <c r="AF39" s="323"/>
      <c r="AG39" s="334">
        <v>102</v>
      </c>
      <c r="AH39" s="335">
        <v>102</v>
      </c>
      <c r="AI39" s="325"/>
      <c r="AJ39" s="268"/>
      <c r="AK39" s="268"/>
      <c r="AL39" s="334">
        <v>103</v>
      </c>
      <c r="AM39" s="335">
        <f t="shared" si="0"/>
        <v>106</v>
      </c>
      <c r="AN39" s="335"/>
      <c r="AO39" s="335"/>
      <c r="AP39" s="334">
        <v>103</v>
      </c>
      <c r="AQ39" s="320">
        <f t="shared" si="1"/>
        <v>106</v>
      </c>
      <c r="AR39" s="268"/>
      <c r="AS39" s="268"/>
      <c r="BA39" s="164"/>
      <c r="BB39" s="164"/>
      <c r="BC39" s="164"/>
      <c r="BD39" s="164"/>
      <c r="BE39" s="164"/>
      <c r="BF39" s="164"/>
      <c r="BG39" s="164"/>
      <c r="BH39" s="164"/>
      <c r="BI39" s="164"/>
      <c r="BJ39" s="164"/>
      <c r="BK39" s="164"/>
      <c r="BL39" s="164"/>
    </row>
    <row r="40" spans="1:64" ht="27.75" customHeight="1" x14ac:dyDescent="0.35">
      <c r="C40" s="74"/>
      <c r="O40" s="93"/>
      <c r="P40" s="93"/>
      <c r="Z40" s="268"/>
      <c r="AA40" s="268"/>
      <c r="AB40" s="268"/>
      <c r="AC40" s="334">
        <v>103</v>
      </c>
      <c r="AD40" s="335">
        <v>103</v>
      </c>
      <c r="AE40" s="323"/>
      <c r="AF40" s="323"/>
      <c r="AG40" s="334">
        <v>103</v>
      </c>
      <c r="AH40" s="335">
        <v>103</v>
      </c>
      <c r="AI40" s="325"/>
      <c r="AJ40" s="268"/>
      <c r="AK40" s="268"/>
      <c r="AL40" s="334">
        <v>104</v>
      </c>
      <c r="AM40" s="335">
        <f t="shared" si="0"/>
        <v>107</v>
      </c>
      <c r="AN40" s="335"/>
      <c r="AO40" s="335"/>
      <c r="AP40" s="334">
        <v>104</v>
      </c>
      <c r="AQ40" s="320">
        <f t="shared" si="1"/>
        <v>107</v>
      </c>
      <c r="AR40" s="268"/>
      <c r="AS40" s="268"/>
      <c r="BA40" s="164"/>
      <c r="BB40" s="164"/>
      <c r="BC40" s="164"/>
      <c r="BD40" s="164"/>
      <c r="BE40" s="164"/>
      <c r="BF40" s="164"/>
      <c r="BG40" s="164"/>
      <c r="BH40" s="164"/>
      <c r="BI40" s="164"/>
      <c r="BJ40" s="164"/>
      <c r="BK40" s="164"/>
      <c r="BL40" s="164"/>
    </row>
    <row r="41" spans="1:64" ht="30" customHeight="1" x14ac:dyDescent="0.35">
      <c r="C41" s="74"/>
      <c r="D41" s="91"/>
      <c r="H41" s="2"/>
      <c r="O41" s="93"/>
      <c r="P41" s="93"/>
      <c r="Z41" s="268"/>
      <c r="AA41" s="268"/>
      <c r="AB41" s="268"/>
      <c r="AC41" s="334">
        <v>104</v>
      </c>
      <c r="AD41" s="335">
        <v>104</v>
      </c>
      <c r="AE41" s="323"/>
      <c r="AF41" s="323"/>
      <c r="AG41" s="334">
        <v>104</v>
      </c>
      <c r="AH41" s="335">
        <v>104</v>
      </c>
      <c r="AI41" s="325"/>
      <c r="AJ41" s="268"/>
      <c r="AK41" s="268"/>
      <c r="AL41" s="334">
        <v>105</v>
      </c>
      <c r="AM41" s="335">
        <f t="shared" si="0"/>
        <v>108</v>
      </c>
      <c r="AN41" s="335"/>
      <c r="AO41" s="335"/>
      <c r="AP41" s="334">
        <v>105</v>
      </c>
      <c r="AQ41" s="320">
        <f t="shared" si="1"/>
        <v>108</v>
      </c>
      <c r="AR41" s="268"/>
      <c r="AS41" s="268"/>
      <c r="BA41" s="164"/>
      <c r="BB41" s="164"/>
      <c r="BC41" s="164"/>
      <c r="BD41" s="164"/>
      <c r="BE41" s="164"/>
      <c r="BF41" s="164"/>
      <c r="BG41" s="164"/>
      <c r="BH41" s="164"/>
      <c r="BI41" s="164"/>
      <c r="BJ41" s="164"/>
      <c r="BK41" s="164"/>
      <c r="BL41" s="164"/>
    </row>
    <row r="42" spans="1:64" ht="12" customHeight="1" x14ac:dyDescent="0.35">
      <c r="C42" s="74"/>
      <c r="D42" s="91"/>
      <c r="F42" s="2"/>
      <c r="O42" s="93"/>
      <c r="P42" s="93"/>
      <c r="Z42" s="268"/>
      <c r="AA42" s="268"/>
      <c r="AB42" s="268"/>
      <c r="AC42" s="334">
        <v>105</v>
      </c>
      <c r="AD42" s="335">
        <v>105</v>
      </c>
      <c r="AE42" s="323"/>
      <c r="AF42" s="323"/>
      <c r="AG42" s="334">
        <v>105</v>
      </c>
      <c r="AH42" s="335">
        <v>105</v>
      </c>
      <c r="AI42" s="325"/>
      <c r="AJ42" s="268"/>
      <c r="AK42" s="268"/>
      <c r="AL42" s="334">
        <v>106</v>
      </c>
      <c r="AM42" s="335">
        <f t="shared" si="0"/>
        <v>109</v>
      </c>
      <c r="AN42" s="335"/>
      <c r="AO42" s="335"/>
      <c r="AP42" s="334">
        <v>106</v>
      </c>
      <c r="AQ42" s="320">
        <f t="shared" si="1"/>
        <v>109</v>
      </c>
      <c r="AR42" s="268"/>
      <c r="AS42" s="268"/>
      <c r="BA42" s="164"/>
      <c r="BB42" s="164"/>
      <c r="BC42" s="164"/>
      <c r="BD42" s="164"/>
      <c r="BE42" s="164"/>
      <c r="BF42" s="164"/>
      <c r="BG42" s="164"/>
      <c r="BH42" s="164"/>
      <c r="BI42" s="164"/>
      <c r="BJ42" s="164"/>
      <c r="BK42" s="164"/>
      <c r="BL42" s="164"/>
    </row>
    <row r="43" spans="1:64" ht="22.5" customHeight="1" x14ac:dyDescent="0.35">
      <c r="C43" s="74"/>
      <c r="D43" s="91"/>
      <c r="O43" s="187"/>
      <c r="Z43" s="268"/>
      <c r="AA43" s="268"/>
      <c r="AB43" s="268"/>
      <c r="AC43" s="334">
        <v>106</v>
      </c>
      <c r="AD43" s="335">
        <v>106</v>
      </c>
      <c r="AE43" s="323"/>
      <c r="AF43" s="323"/>
      <c r="AG43" s="334">
        <v>106</v>
      </c>
      <c r="AH43" s="335">
        <v>106</v>
      </c>
      <c r="AI43" s="325"/>
      <c r="AJ43" s="268"/>
      <c r="AK43" s="268"/>
      <c r="AL43" s="334">
        <v>107</v>
      </c>
      <c r="AM43" s="335">
        <f t="shared" si="0"/>
        <v>110</v>
      </c>
      <c r="AN43" s="335"/>
      <c r="AO43" s="335"/>
      <c r="AP43" s="334">
        <v>107</v>
      </c>
      <c r="AQ43" s="320">
        <f t="shared" si="1"/>
        <v>110</v>
      </c>
      <c r="AR43" s="268"/>
      <c r="AS43" s="268"/>
      <c r="BA43" s="164"/>
      <c r="BB43" s="164"/>
      <c r="BC43" s="164"/>
      <c r="BD43" s="164"/>
      <c r="BE43" s="164"/>
      <c r="BF43" s="164"/>
      <c r="BG43" s="164"/>
      <c r="BH43" s="164"/>
      <c r="BI43" s="164"/>
      <c r="BJ43" s="164"/>
      <c r="BK43" s="164"/>
      <c r="BL43" s="164"/>
    </row>
    <row r="44" spans="1:64" ht="27" customHeight="1" x14ac:dyDescent="0.35">
      <c r="D44" s="91"/>
      <c r="Z44" s="268"/>
      <c r="AA44" s="268"/>
      <c r="AB44" s="268"/>
      <c r="AC44" s="334">
        <v>107</v>
      </c>
      <c r="AD44" s="335">
        <v>107</v>
      </c>
      <c r="AE44" s="323"/>
      <c r="AF44" s="323"/>
      <c r="AG44" s="334">
        <v>107</v>
      </c>
      <c r="AH44" s="335">
        <v>107</v>
      </c>
      <c r="AI44" s="325"/>
      <c r="AJ44" s="268"/>
      <c r="AK44" s="268"/>
      <c r="AL44" s="334">
        <v>108</v>
      </c>
      <c r="AM44" s="335">
        <f t="shared" si="0"/>
        <v>111</v>
      </c>
      <c r="AN44" s="335"/>
      <c r="AO44" s="335"/>
      <c r="AP44" s="334">
        <v>108</v>
      </c>
      <c r="AQ44" s="320">
        <f t="shared" si="1"/>
        <v>111</v>
      </c>
      <c r="AR44" s="268"/>
      <c r="AS44" s="268"/>
      <c r="BA44" s="164"/>
      <c r="BB44" s="164"/>
      <c r="BC44" s="164"/>
      <c r="BD44" s="164"/>
      <c r="BE44" s="164"/>
      <c r="BF44" s="164"/>
      <c r="BG44" s="164"/>
      <c r="BH44" s="164"/>
      <c r="BI44" s="164"/>
      <c r="BJ44" s="164"/>
      <c r="BK44" s="164"/>
      <c r="BL44" s="164"/>
    </row>
    <row r="45" spans="1:64" ht="33.75" customHeight="1" x14ac:dyDescent="0.35">
      <c r="D45" s="91"/>
      <c r="Z45" s="268"/>
      <c r="AA45" s="268"/>
      <c r="AB45" s="268"/>
      <c r="AC45" s="334">
        <v>108</v>
      </c>
      <c r="AD45" s="335">
        <v>108</v>
      </c>
      <c r="AE45" s="323"/>
      <c r="AF45" s="323"/>
      <c r="AG45" s="334">
        <v>108</v>
      </c>
      <c r="AH45" s="335">
        <v>108</v>
      </c>
      <c r="AI45" s="325"/>
      <c r="AJ45" s="268"/>
      <c r="AK45" s="268"/>
      <c r="AL45" s="334">
        <v>109</v>
      </c>
      <c r="AM45" s="335">
        <f t="shared" si="0"/>
        <v>112</v>
      </c>
      <c r="AN45" s="335"/>
      <c r="AO45" s="335"/>
      <c r="AP45" s="334">
        <v>109</v>
      </c>
      <c r="AQ45" s="320">
        <f t="shared" si="1"/>
        <v>112</v>
      </c>
      <c r="AR45" s="268"/>
      <c r="AS45" s="268"/>
      <c r="BA45" s="164"/>
      <c r="BB45" s="164"/>
      <c r="BC45" s="164"/>
      <c r="BD45" s="164"/>
      <c r="BE45" s="164"/>
      <c r="BF45" s="164"/>
      <c r="BG45" s="164"/>
      <c r="BH45" s="164"/>
      <c r="BI45" s="164"/>
      <c r="BJ45" s="164"/>
      <c r="BK45" s="164"/>
      <c r="BL45" s="164"/>
    </row>
    <row r="46" spans="1:64" ht="17.25" customHeight="1" x14ac:dyDescent="0.35">
      <c r="Z46" s="268"/>
      <c r="AA46" s="268"/>
      <c r="AB46" s="268"/>
      <c r="AC46" s="334">
        <v>109</v>
      </c>
      <c r="AD46" s="335">
        <v>109</v>
      </c>
      <c r="AE46" s="323"/>
      <c r="AF46" s="323"/>
      <c r="AG46" s="334">
        <v>109</v>
      </c>
      <c r="AH46" s="335">
        <v>109</v>
      </c>
      <c r="AI46" s="325"/>
      <c r="AJ46" s="268"/>
      <c r="AK46" s="268"/>
      <c r="AL46" s="334">
        <v>110</v>
      </c>
      <c r="AM46" s="335">
        <f t="shared" si="0"/>
        <v>113</v>
      </c>
      <c r="AN46" s="335"/>
      <c r="AO46" s="335"/>
      <c r="AP46" s="334">
        <v>110</v>
      </c>
      <c r="AQ46" s="320">
        <f t="shared" si="1"/>
        <v>113</v>
      </c>
      <c r="AR46" s="268"/>
      <c r="AS46" s="268"/>
      <c r="BA46" s="164"/>
      <c r="BB46" s="164"/>
      <c r="BC46" s="164"/>
      <c r="BD46" s="164"/>
      <c r="BE46" s="164"/>
      <c r="BF46" s="164"/>
      <c r="BG46" s="164"/>
      <c r="BH46" s="164"/>
      <c r="BI46" s="164"/>
      <c r="BJ46" s="164"/>
      <c r="BK46" s="164"/>
      <c r="BL46" s="164"/>
    </row>
    <row r="47" spans="1:64" ht="18.75" customHeight="1" x14ac:dyDescent="0.35">
      <c r="Z47" s="268"/>
      <c r="AA47" s="268"/>
      <c r="AB47" s="268"/>
      <c r="AC47" s="334">
        <v>110</v>
      </c>
      <c r="AD47" s="335">
        <v>110</v>
      </c>
      <c r="AE47" s="323"/>
      <c r="AF47" s="323"/>
      <c r="AG47" s="334">
        <v>110</v>
      </c>
      <c r="AH47" s="335">
        <v>110</v>
      </c>
      <c r="AI47" s="325"/>
      <c r="AJ47" s="268"/>
      <c r="AK47" s="268"/>
      <c r="AL47" s="334">
        <v>111</v>
      </c>
      <c r="AM47" s="335">
        <f t="shared" si="0"/>
        <v>114</v>
      </c>
      <c r="AN47" s="335"/>
      <c r="AO47" s="335"/>
      <c r="AP47" s="334">
        <v>111</v>
      </c>
      <c r="AQ47" s="320">
        <f t="shared" si="1"/>
        <v>114</v>
      </c>
      <c r="AR47" s="268"/>
      <c r="AS47" s="268"/>
      <c r="BA47" s="164"/>
      <c r="BB47" s="164"/>
      <c r="BC47" s="164"/>
      <c r="BD47" s="164"/>
      <c r="BE47" s="164"/>
      <c r="BF47" s="164"/>
      <c r="BG47" s="164"/>
      <c r="BH47" s="164"/>
      <c r="BI47" s="164"/>
      <c r="BJ47" s="164"/>
      <c r="BK47" s="164"/>
      <c r="BL47" s="164"/>
    </row>
    <row r="48" spans="1:64" ht="27" customHeight="1" x14ac:dyDescent="0.35">
      <c r="Z48" s="268"/>
      <c r="AA48" s="268"/>
      <c r="AB48" s="268"/>
      <c r="AC48" s="334">
        <v>111</v>
      </c>
      <c r="AD48" s="335">
        <v>111</v>
      </c>
      <c r="AE48" s="323"/>
      <c r="AF48" s="323"/>
      <c r="AG48" s="334">
        <v>111</v>
      </c>
      <c r="AH48" s="335">
        <v>111</v>
      </c>
      <c r="AI48" s="323"/>
      <c r="AJ48" s="268"/>
      <c r="AK48" s="268"/>
      <c r="AL48" s="334">
        <v>112</v>
      </c>
      <c r="AM48" s="335">
        <f t="shared" si="0"/>
        <v>115</v>
      </c>
      <c r="AN48" s="335"/>
      <c r="AO48" s="335"/>
      <c r="AP48" s="334">
        <v>112</v>
      </c>
      <c r="AQ48" s="320">
        <f t="shared" si="1"/>
        <v>115</v>
      </c>
      <c r="AR48" s="268"/>
      <c r="AS48" s="268"/>
      <c r="BA48" s="164"/>
      <c r="BB48" s="164"/>
      <c r="BC48" s="164"/>
      <c r="BD48" s="164"/>
      <c r="BE48" s="164"/>
      <c r="BF48" s="164"/>
      <c r="BG48" s="164"/>
      <c r="BH48" s="164"/>
      <c r="BI48" s="164"/>
      <c r="BJ48" s="164"/>
      <c r="BK48" s="164"/>
      <c r="BL48" s="164"/>
    </row>
    <row r="49" spans="15:64" ht="14.25" x14ac:dyDescent="0.35">
      <c r="O49"/>
      <c r="P49" s="274"/>
      <c r="Q49" s="274"/>
      <c r="R49" s="274"/>
      <c r="S49" s="274"/>
      <c r="T49" s="274"/>
      <c r="U49" s="274"/>
      <c r="V49" s="274"/>
      <c r="W49" s="274"/>
      <c r="Z49" s="268"/>
      <c r="AA49" s="268"/>
      <c r="AB49" s="268"/>
      <c r="AC49" s="334">
        <v>112</v>
      </c>
      <c r="AD49" s="335">
        <v>112</v>
      </c>
      <c r="AE49" s="323"/>
      <c r="AF49" s="323"/>
      <c r="AG49" s="334">
        <v>112</v>
      </c>
      <c r="AH49" s="335">
        <v>112</v>
      </c>
      <c r="AI49" s="323"/>
      <c r="AJ49" s="268"/>
      <c r="AK49" s="268"/>
      <c r="AL49" s="334">
        <v>113</v>
      </c>
      <c r="AM49" s="335">
        <f t="shared" si="0"/>
        <v>116</v>
      </c>
      <c r="AN49" s="335"/>
      <c r="AO49" s="335"/>
      <c r="AP49" s="334">
        <v>113</v>
      </c>
      <c r="AQ49" s="320">
        <f t="shared" si="1"/>
        <v>116</v>
      </c>
      <c r="AR49" s="268"/>
      <c r="AS49" s="268"/>
      <c r="BA49" s="164"/>
      <c r="BB49" s="164"/>
      <c r="BC49" s="164"/>
      <c r="BD49" s="164"/>
      <c r="BE49" s="164"/>
      <c r="BF49" s="164"/>
      <c r="BG49" s="164"/>
      <c r="BH49" s="164"/>
      <c r="BI49" s="164"/>
      <c r="BJ49" s="164"/>
      <c r="BK49" s="164"/>
      <c r="BL49" s="164"/>
    </row>
    <row r="50" spans="15:64" ht="14.25" x14ac:dyDescent="0.35">
      <c r="O50"/>
      <c r="P50" s="274"/>
      <c r="Q50" s="274"/>
      <c r="R50" s="274"/>
      <c r="S50" s="274"/>
      <c r="T50" s="274"/>
      <c r="U50" s="274"/>
      <c r="V50" s="274"/>
      <c r="W50" s="274"/>
      <c r="Z50" s="268"/>
      <c r="AA50" s="268"/>
      <c r="AB50" s="268"/>
      <c r="AC50" s="334">
        <v>113</v>
      </c>
      <c r="AD50" s="335">
        <v>113</v>
      </c>
      <c r="AE50" s="323"/>
      <c r="AF50" s="323"/>
      <c r="AG50" s="334">
        <v>113</v>
      </c>
      <c r="AH50" s="335">
        <v>113</v>
      </c>
      <c r="AI50" s="323"/>
      <c r="AJ50" s="268"/>
      <c r="AK50" s="268"/>
      <c r="AL50" s="334">
        <v>114</v>
      </c>
      <c r="AM50" s="335">
        <f t="shared" si="0"/>
        <v>117</v>
      </c>
      <c r="AN50" s="335"/>
      <c r="AO50" s="335"/>
      <c r="AP50" s="334">
        <v>114</v>
      </c>
      <c r="AQ50" s="320">
        <f t="shared" si="1"/>
        <v>117</v>
      </c>
      <c r="AR50" s="268"/>
      <c r="AS50" s="268"/>
      <c r="BA50" s="164"/>
      <c r="BB50" s="164"/>
      <c r="BC50" s="164"/>
      <c r="BD50" s="164"/>
      <c r="BE50" s="164"/>
      <c r="BF50" s="164"/>
      <c r="BG50" s="164"/>
      <c r="BH50" s="164"/>
      <c r="BI50" s="164"/>
      <c r="BJ50" s="164"/>
      <c r="BK50" s="164"/>
      <c r="BL50" s="164"/>
    </row>
    <row r="51" spans="15:64" ht="27" customHeight="1" x14ac:dyDescent="0.35">
      <c r="O51"/>
      <c r="P51" s="274"/>
      <c r="Q51" s="274"/>
      <c r="R51" s="274"/>
      <c r="S51" s="274"/>
      <c r="T51" s="274"/>
      <c r="U51" s="274"/>
      <c r="V51" s="274"/>
      <c r="W51" s="274"/>
      <c r="Z51" s="268"/>
      <c r="AA51" s="268"/>
      <c r="AB51" s="268"/>
      <c r="AC51" s="334">
        <v>114</v>
      </c>
      <c r="AD51" s="335">
        <v>114</v>
      </c>
      <c r="AE51" s="323"/>
      <c r="AF51" s="323"/>
      <c r="AG51" s="334">
        <v>114</v>
      </c>
      <c r="AH51" s="335">
        <v>114</v>
      </c>
      <c r="AI51" s="323"/>
      <c r="AJ51" s="325"/>
      <c r="AK51" s="268"/>
      <c r="AL51" s="334">
        <v>115</v>
      </c>
      <c r="AM51" s="335">
        <f t="shared" si="0"/>
        <v>118</v>
      </c>
      <c r="AN51" s="335"/>
      <c r="AO51" s="335"/>
      <c r="AP51" s="334">
        <v>115</v>
      </c>
      <c r="AQ51" s="320">
        <f t="shared" si="1"/>
        <v>118</v>
      </c>
      <c r="AR51" s="268"/>
      <c r="AS51" s="268"/>
      <c r="BA51" s="164"/>
      <c r="BB51" s="164"/>
      <c r="BC51" s="164"/>
      <c r="BD51" s="164"/>
      <c r="BE51" s="164"/>
      <c r="BF51" s="164"/>
      <c r="BG51" s="164"/>
      <c r="BH51" s="164"/>
      <c r="BI51" s="164"/>
      <c r="BJ51" s="164"/>
      <c r="BK51" s="164"/>
      <c r="BL51" s="164"/>
    </row>
    <row r="52" spans="15:64" ht="14.25" x14ac:dyDescent="0.35">
      <c r="O52"/>
      <c r="P52" s="274"/>
      <c r="Q52" s="274"/>
      <c r="R52" s="274"/>
      <c r="S52" s="274"/>
      <c r="T52" s="274"/>
      <c r="U52" s="274"/>
      <c r="V52" s="274"/>
      <c r="W52" s="274"/>
      <c r="Z52" s="268"/>
      <c r="AA52" s="268"/>
      <c r="AB52" s="268"/>
      <c r="AC52" s="334">
        <v>115</v>
      </c>
      <c r="AD52" s="335">
        <v>115</v>
      </c>
      <c r="AE52" s="323"/>
      <c r="AF52" s="323"/>
      <c r="AG52" s="334">
        <v>115</v>
      </c>
      <c r="AH52" s="335">
        <v>115</v>
      </c>
      <c r="AI52" s="323"/>
      <c r="AJ52" s="325"/>
      <c r="AK52" s="268"/>
      <c r="AL52" s="334">
        <v>116</v>
      </c>
      <c r="AM52" s="335">
        <f t="shared" si="0"/>
        <v>119</v>
      </c>
      <c r="AN52" s="335"/>
      <c r="AO52" s="335"/>
      <c r="AP52" s="334">
        <v>116</v>
      </c>
      <c r="AQ52" s="320">
        <f t="shared" si="1"/>
        <v>119</v>
      </c>
      <c r="AR52" s="268"/>
      <c r="AS52" s="268"/>
      <c r="BA52" s="164"/>
      <c r="BB52" s="164"/>
      <c r="BC52" s="164"/>
      <c r="BD52" s="164"/>
      <c r="BE52" s="164"/>
      <c r="BF52" s="164"/>
      <c r="BG52" s="164"/>
      <c r="BH52" s="164"/>
      <c r="BI52" s="164"/>
      <c r="BJ52" s="164"/>
      <c r="BK52" s="164"/>
      <c r="BL52" s="164"/>
    </row>
    <row r="53" spans="15:64" ht="14.25" x14ac:dyDescent="0.35">
      <c r="O53"/>
      <c r="P53" s="274"/>
      <c r="Q53" s="274"/>
      <c r="R53" s="274"/>
      <c r="S53" s="274"/>
      <c r="T53" s="274"/>
      <c r="U53" s="274"/>
      <c r="V53" s="274"/>
      <c r="W53" s="274"/>
      <c r="Z53" s="268"/>
      <c r="AA53" s="268"/>
      <c r="AB53" s="268"/>
      <c r="AC53" s="334">
        <v>116</v>
      </c>
      <c r="AD53" s="335">
        <v>116</v>
      </c>
      <c r="AE53" s="323"/>
      <c r="AF53" s="323"/>
      <c r="AG53" s="334">
        <v>116</v>
      </c>
      <c r="AH53" s="335">
        <v>116</v>
      </c>
      <c r="AI53" s="323"/>
      <c r="AJ53" s="325"/>
      <c r="AK53" s="268"/>
      <c r="AL53" s="334">
        <v>117</v>
      </c>
      <c r="AM53" s="335">
        <f t="shared" si="0"/>
        <v>120</v>
      </c>
      <c r="AN53" s="335"/>
      <c r="AO53" s="335"/>
      <c r="AP53" s="334">
        <v>117</v>
      </c>
      <c r="AQ53" s="320">
        <f t="shared" si="1"/>
        <v>120</v>
      </c>
      <c r="AR53" s="268"/>
      <c r="AS53" s="268"/>
      <c r="BA53" s="164"/>
      <c r="BB53" s="164"/>
      <c r="BC53" s="164"/>
      <c r="BD53" s="164"/>
      <c r="BE53" s="164"/>
      <c r="BF53" s="164"/>
      <c r="BG53" s="164"/>
      <c r="BH53" s="164"/>
      <c r="BI53" s="164"/>
      <c r="BJ53" s="164"/>
      <c r="BK53" s="164"/>
      <c r="BL53" s="164"/>
    </row>
    <row r="54" spans="15:64" ht="14.25" x14ac:dyDescent="0.35">
      <c r="O54"/>
      <c r="P54" s="274"/>
      <c r="Q54" s="274"/>
      <c r="R54" s="274"/>
      <c r="S54" s="274"/>
      <c r="T54" s="274"/>
      <c r="U54" s="274"/>
      <c r="V54" s="274"/>
      <c r="W54" s="274"/>
      <c r="Z54" s="268"/>
      <c r="AA54" s="268"/>
      <c r="AB54" s="268"/>
      <c r="AC54" s="334">
        <v>117</v>
      </c>
      <c r="AD54" s="335">
        <v>117</v>
      </c>
      <c r="AE54" s="323"/>
      <c r="AF54" s="323"/>
      <c r="AG54" s="334">
        <v>117</v>
      </c>
      <c r="AH54" s="335">
        <v>117</v>
      </c>
      <c r="AI54" s="323"/>
      <c r="AJ54" s="325"/>
      <c r="AK54" s="268"/>
      <c r="AL54" s="334">
        <v>118</v>
      </c>
      <c r="AM54" s="335">
        <v>120</v>
      </c>
      <c r="AN54" s="268"/>
      <c r="AO54" s="268"/>
      <c r="AP54" s="334">
        <v>118</v>
      </c>
      <c r="AQ54" s="320">
        <v>120</v>
      </c>
      <c r="AR54" s="268"/>
      <c r="AS54" s="268"/>
      <c r="BA54" s="164"/>
      <c r="BB54" s="164"/>
      <c r="BC54" s="164"/>
      <c r="BD54" s="164"/>
      <c r="BE54" s="164"/>
      <c r="BF54" s="164"/>
      <c r="BG54" s="164"/>
      <c r="BH54" s="164"/>
      <c r="BI54" s="164"/>
      <c r="BJ54" s="164"/>
      <c r="BK54" s="164"/>
      <c r="BL54" s="164"/>
    </row>
    <row r="55" spans="15:64" ht="14.25" x14ac:dyDescent="0.35">
      <c r="O55"/>
      <c r="P55" s="274"/>
      <c r="Q55" s="274"/>
      <c r="R55" s="274"/>
      <c r="S55" s="274"/>
      <c r="T55" s="274"/>
      <c r="U55" s="274"/>
      <c r="V55" s="274"/>
      <c r="W55" s="274"/>
      <c r="Z55" s="268"/>
      <c r="AA55" s="268"/>
      <c r="AB55" s="268"/>
      <c r="AC55" s="334">
        <v>118</v>
      </c>
      <c r="AD55" s="335">
        <v>118</v>
      </c>
      <c r="AE55" s="323"/>
      <c r="AF55" s="323"/>
      <c r="AG55" s="334">
        <v>118</v>
      </c>
      <c r="AH55" s="335">
        <v>118</v>
      </c>
      <c r="AI55" s="323"/>
      <c r="AJ55" s="325"/>
      <c r="AK55" s="268"/>
      <c r="AL55" s="334">
        <v>119</v>
      </c>
      <c r="AM55" s="335">
        <v>120</v>
      </c>
      <c r="AN55" s="268"/>
      <c r="AO55" s="268"/>
      <c r="AP55" s="334">
        <v>119</v>
      </c>
      <c r="AQ55" s="320">
        <v>120</v>
      </c>
      <c r="AR55" s="268"/>
      <c r="AS55" s="268"/>
      <c r="BA55" s="164"/>
      <c r="BB55" s="164"/>
      <c r="BC55" s="164"/>
      <c r="BD55" s="164"/>
      <c r="BE55" s="164"/>
      <c r="BF55" s="164"/>
      <c r="BG55" s="164"/>
      <c r="BH55" s="164"/>
      <c r="BI55" s="164"/>
      <c r="BJ55" s="164"/>
      <c r="BK55" s="164"/>
      <c r="BL55" s="164"/>
    </row>
    <row r="56" spans="15:64" ht="14.25" x14ac:dyDescent="0.35">
      <c r="O56"/>
      <c r="P56" s="274"/>
      <c r="Q56" s="274"/>
      <c r="R56" s="274"/>
      <c r="S56" s="274"/>
      <c r="T56" s="274"/>
      <c r="U56" s="274"/>
      <c r="V56" s="274"/>
      <c r="W56" s="274"/>
      <c r="Z56" s="268"/>
      <c r="AA56" s="268"/>
      <c r="AB56" s="268"/>
      <c r="AC56" s="334">
        <v>119</v>
      </c>
      <c r="AD56" s="335">
        <v>119</v>
      </c>
      <c r="AE56" s="323"/>
      <c r="AF56" s="323"/>
      <c r="AG56" s="334">
        <v>119</v>
      </c>
      <c r="AH56" s="335">
        <v>119</v>
      </c>
      <c r="AI56" s="323"/>
      <c r="AJ56" s="325"/>
      <c r="AK56" s="268"/>
      <c r="AL56" s="334">
        <v>120</v>
      </c>
      <c r="AM56" s="335">
        <v>120</v>
      </c>
      <c r="AN56" s="268"/>
      <c r="AO56" s="268"/>
      <c r="AP56" s="334">
        <v>120</v>
      </c>
      <c r="AQ56" s="320">
        <v>120</v>
      </c>
      <c r="AR56" s="268"/>
      <c r="AS56" s="268"/>
      <c r="BA56" s="164"/>
      <c r="BB56" s="164"/>
      <c r="BC56" s="164"/>
      <c r="BD56" s="164"/>
      <c r="BE56" s="164"/>
      <c r="BF56" s="164"/>
      <c r="BG56" s="164"/>
      <c r="BH56" s="164"/>
      <c r="BI56" s="164"/>
      <c r="BJ56" s="164"/>
      <c r="BK56" s="164"/>
      <c r="BL56" s="164"/>
    </row>
    <row r="57" spans="15:64" ht="14.25" x14ac:dyDescent="0.35">
      <c r="O57"/>
      <c r="P57" s="274"/>
      <c r="Q57" s="274"/>
      <c r="R57" s="274"/>
      <c r="S57" s="274"/>
      <c r="T57" s="274"/>
      <c r="U57" s="274"/>
      <c r="V57" s="274"/>
      <c r="W57" s="274"/>
      <c r="Z57" s="268"/>
      <c r="AA57" s="268"/>
      <c r="AB57" s="268"/>
      <c r="AC57" s="334">
        <v>120</v>
      </c>
      <c r="AD57" s="335">
        <v>120</v>
      </c>
      <c r="AE57" s="323"/>
      <c r="AF57" s="323"/>
      <c r="AG57" s="334">
        <v>120</v>
      </c>
      <c r="AH57" s="335">
        <v>120</v>
      </c>
      <c r="AI57" s="323"/>
      <c r="AJ57" s="325"/>
      <c r="AK57" s="268"/>
      <c r="AL57" s="268"/>
      <c r="AM57" s="268"/>
      <c r="AN57" s="268"/>
      <c r="AO57" s="268"/>
      <c r="AP57" s="268"/>
      <c r="AQ57" s="268"/>
      <c r="AR57" s="268"/>
      <c r="AS57" s="268"/>
      <c r="BA57" s="164"/>
      <c r="BB57" s="164"/>
      <c r="BC57" s="164"/>
      <c r="BD57" s="164"/>
      <c r="BE57" s="164"/>
      <c r="BF57" s="164"/>
      <c r="BG57" s="164"/>
      <c r="BH57" s="164"/>
      <c r="BI57" s="164"/>
      <c r="BJ57" s="164"/>
      <c r="BK57" s="164"/>
      <c r="BL57" s="164"/>
    </row>
    <row r="58" spans="15:64" ht="14.25" x14ac:dyDescent="0.45">
      <c r="O58"/>
      <c r="P58" s="274"/>
      <c r="Q58" s="274"/>
      <c r="R58" s="274"/>
      <c r="S58" s="274"/>
      <c r="T58" s="274"/>
      <c r="U58" s="274"/>
      <c r="V58" s="274"/>
      <c r="W58" s="274"/>
      <c r="AC58" s="297"/>
      <c r="AD58" s="297"/>
      <c r="AE58" s="295"/>
      <c r="AF58" s="295"/>
      <c r="AG58" s="295"/>
      <c r="AI58" s="295"/>
      <c r="AJ58" s="296"/>
      <c r="BA58" s="164"/>
      <c r="BB58" s="164"/>
      <c r="BC58" s="164"/>
      <c r="BD58" s="164"/>
      <c r="BE58" s="164"/>
      <c r="BF58" s="164"/>
      <c r="BG58" s="164"/>
      <c r="BH58" s="164"/>
      <c r="BI58" s="164"/>
      <c r="BJ58" s="164"/>
      <c r="BK58" s="164"/>
      <c r="BL58" s="164"/>
    </row>
    <row r="59" spans="15:64" ht="14.25" x14ac:dyDescent="0.45">
      <c r="O59"/>
      <c r="P59" s="274"/>
      <c r="Q59" s="274"/>
      <c r="R59" s="274"/>
      <c r="S59" s="274"/>
      <c r="T59" s="274"/>
      <c r="U59" s="274"/>
      <c r="V59" s="274"/>
      <c r="W59" s="274"/>
      <c r="AC59" s="297"/>
      <c r="AD59" s="297"/>
      <c r="AE59" s="295"/>
      <c r="AF59" s="295"/>
      <c r="AG59" s="295"/>
      <c r="AI59" s="295"/>
      <c r="AJ59" s="296"/>
      <c r="BA59" s="164"/>
      <c r="BB59" s="164"/>
      <c r="BC59" s="164"/>
      <c r="BD59" s="164"/>
      <c r="BE59" s="164"/>
      <c r="BF59" s="164"/>
      <c r="BG59" s="164"/>
      <c r="BH59" s="164"/>
      <c r="BI59" s="164"/>
      <c r="BJ59" s="164"/>
      <c r="BK59" s="164"/>
      <c r="BL59" s="164"/>
    </row>
    <row r="60" spans="15:64" ht="14.25" x14ac:dyDescent="0.45">
      <c r="O60"/>
      <c r="P60" s="274"/>
      <c r="Q60" s="274"/>
      <c r="R60" s="274"/>
      <c r="S60" s="274"/>
      <c r="T60" s="274"/>
      <c r="U60" s="274"/>
      <c r="V60" s="274"/>
      <c r="W60" s="274"/>
      <c r="AC60" s="297"/>
      <c r="AD60" s="297"/>
      <c r="AE60" s="295"/>
      <c r="AF60" s="295"/>
      <c r="AG60" s="295"/>
      <c r="AI60" s="295"/>
      <c r="AJ60" s="296"/>
      <c r="BA60" s="164"/>
      <c r="BB60" s="164"/>
      <c r="BC60" s="164"/>
      <c r="BD60" s="164"/>
      <c r="BE60" s="164"/>
      <c r="BF60" s="164"/>
      <c r="BG60" s="164"/>
      <c r="BH60" s="164"/>
      <c r="BI60" s="164"/>
      <c r="BJ60" s="164"/>
      <c r="BK60" s="164"/>
      <c r="BL60" s="164"/>
    </row>
    <row r="61" spans="15:64" ht="14.25" x14ac:dyDescent="0.45">
      <c r="O61"/>
      <c r="P61" s="274"/>
      <c r="Q61" s="274"/>
      <c r="R61" s="274"/>
      <c r="S61" s="274"/>
      <c r="T61" s="274"/>
      <c r="U61" s="274"/>
      <c r="V61" s="274"/>
      <c r="W61" s="274"/>
      <c r="AC61" s="297"/>
      <c r="AD61" s="297"/>
      <c r="AE61" s="295"/>
      <c r="AF61" s="295"/>
      <c r="AG61" s="294"/>
      <c r="AI61" s="295"/>
      <c r="AJ61" s="296"/>
      <c r="BA61" s="164"/>
      <c r="BB61" s="164"/>
      <c r="BC61" s="164"/>
      <c r="BD61" s="164"/>
      <c r="BE61" s="164"/>
      <c r="BF61" s="164"/>
      <c r="BG61" s="164"/>
      <c r="BH61" s="164"/>
      <c r="BI61" s="164"/>
      <c r="BJ61" s="164"/>
      <c r="BK61" s="164"/>
      <c r="BL61" s="164"/>
    </row>
    <row r="62" spans="15:64" ht="14.25" x14ac:dyDescent="0.45">
      <c r="O62"/>
      <c r="P62" s="274"/>
      <c r="Q62" s="274"/>
      <c r="R62" s="274"/>
      <c r="S62" s="274"/>
      <c r="T62" s="274"/>
      <c r="U62" s="274"/>
      <c r="V62" s="274"/>
      <c r="W62" s="274"/>
      <c r="AC62" s="297"/>
      <c r="AD62" s="297"/>
      <c r="AE62" s="295"/>
      <c r="AF62" s="295"/>
      <c r="AG62" s="294"/>
      <c r="AI62" s="295"/>
      <c r="AJ62" s="296"/>
      <c r="BA62" s="164"/>
      <c r="BB62" s="164"/>
      <c r="BC62" s="164"/>
      <c r="BD62" s="164"/>
      <c r="BE62" s="164"/>
      <c r="BF62" s="164"/>
      <c r="BG62" s="164"/>
      <c r="BH62" s="164"/>
      <c r="BI62" s="164"/>
      <c r="BJ62" s="164"/>
      <c r="BK62" s="164"/>
      <c r="BL62" s="164"/>
    </row>
    <row r="63" spans="15:64" ht="14.25" x14ac:dyDescent="0.45">
      <c r="O63"/>
      <c r="P63" s="274"/>
      <c r="Q63" s="274"/>
      <c r="R63" s="274"/>
      <c r="S63" s="274"/>
      <c r="T63" s="274"/>
      <c r="U63" s="274"/>
      <c r="V63" s="274"/>
      <c r="W63" s="274"/>
      <c r="AC63" s="297"/>
      <c r="AD63" s="297"/>
      <c r="AE63" s="295"/>
      <c r="AF63" s="295"/>
      <c r="AG63" s="294"/>
      <c r="AI63" s="295"/>
      <c r="AJ63" s="296"/>
      <c r="BA63" s="164"/>
      <c r="BB63" s="164"/>
      <c r="BC63" s="164"/>
      <c r="BD63" s="164"/>
      <c r="BE63" s="164"/>
      <c r="BF63" s="164"/>
      <c r="BG63" s="164"/>
      <c r="BH63" s="164"/>
      <c r="BI63" s="164"/>
      <c r="BJ63" s="164"/>
      <c r="BK63" s="164"/>
      <c r="BL63" s="164"/>
    </row>
    <row r="64" spans="15:64" x14ac:dyDescent="0.35">
      <c r="O64"/>
      <c r="P64" s="274"/>
      <c r="Q64" s="274"/>
      <c r="R64" s="274"/>
      <c r="S64" s="274"/>
      <c r="T64" s="274"/>
      <c r="U64" s="274"/>
      <c r="V64" s="274"/>
      <c r="W64" s="274"/>
      <c r="AC64" s="295"/>
      <c r="AD64" s="295"/>
      <c r="AE64" s="295"/>
      <c r="AF64" s="295"/>
      <c r="AG64" s="294"/>
      <c r="AI64" s="295"/>
      <c r="AJ64" s="296"/>
      <c r="BA64" s="164"/>
      <c r="BB64" s="164"/>
      <c r="BC64" s="164"/>
      <c r="BD64" s="164"/>
      <c r="BE64" s="164"/>
      <c r="BF64" s="164"/>
      <c r="BG64" s="164"/>
      <c r="BH64" s="164"/>
      <c r="BI64" s="164"/>
      <c r="BJ64" s="164"/>
      <c r="BK64" s="164"/>
      <c r="BL64" s="164"/>
    </row>
    <row r="65" spans="15:64" x14ac:dyDescent="0.35">
      <c r="O65"/>
      <c r="P65" s="274"/>
      <c r="Q65" s="274"/>
      <c r="R65" s="274"/>
      <c r="S65" s="274"/>
      <c r="T65" s="274"/>
      <c r="U65" s="274"/>
      <c r="V65" s="274"/>
      <c r="W65" s="274"/>
      <c r="AC65" s="295"/>
      <c r="AD65" s="295"/>
      <c r="AE65" s="295"/>
      <c r="AF65" s="295"/>
      <c r="AG65" s="295"/>
      <c r="AI65" s="295"/>
      <c r="AJ65" s="296"/>
      <c r="BA65" s="164"/>
      <c r="BB65" s="164"/>
      <c r="BC65" s="164"/>
      <c r="BD65" s="164"/>
      <c r="BE65" s="164"/>
      <c r="BF65" s="164"/>
      <c r="BG65" s="164"/>
      <c r="BH65" s="164"/>
      <c r="BI65" s="164"/>
      <c r="BJ65" s="164"/>
      <c r="BK65" s="164"/>
      <c r="BL65" s="164"/>
    </row>
    <row r="66" spans="15:64" x14ac:dyDescent="0.35">
      <c r="O66"/>
      <c r="P66" s="274"/>
      <c r="Q66" s="274"/>
      <c r="R66" s="274"/>
      <c r="S66" s="274"/>
      <c r="T66" s="274"/>
      <c r="U66" s="274"/>
      <c r="V66" s="274"/>
      <c r="W66" s="274"/>
      <c r="AC66" s="295"/>
      <c r="AD66" s="295"/>
      <c r="AE66" s="295"/>
      <c r="AF66" s="295"/>
      <c r="AI66" s="295"/>
      <c r="AJ66" s="296"/>
      <c r="BA66" s="164"/>
      <c r="BB66" s="164"/>
      <c r="BC66" s="164"/>
      <c r="BD66" s="164"/>
      <c r="BE66" s="164"/>
      <c r="BF66" s="164"/>
      <c r="BG66" s="164"/>
      <c r="BH66" s="164"/>
      <c r="BI66" s="164"/>
      <c r="BJ66" s="164"/>
      <c r="BK66" s="164"/>
      <c r="BL66" s="164"/>
    </row>
    <row r="67" spans="15:64" x14ac:dyDescent="0.35">
      <c r="O67"/>
      <c r="P67" s="274"/>
      <c r="Q67" s="274"/>
      <c r="R67" s="274"/>
      <c r="S67" s="274"/>
      <c r="T67" s="274"/>
      <c r="U67" s="274"/>
      <c r="V67" s="274"/>
      <c r="W67" s="274"/>
      <c r="AC67" s="294"/>
      <c r="AD67" s="294"/>
      <c r="AE67" s="295"/>
      <c r="AF67" s="295"/>
      <c r="AI67" s="295"/>
      <c r="AJ67" s="296"/>
      <c r="BA67" s="164"/>
      <c r="BB67" s="164"/>
      <c r="BC67" s="164"/>
      <c r="BD67" s="164"/>
      <c r="BE67" s="164"/>
      <c r="BF67" s="164"/>
      <c r="BG67" s="164"/>
      <c r="BH67" s="164"/>
      <c r="BI67" s="164"/>
      <c r="BJ67" s="164"/>
      <c r="BK67" s="164"/>
      <c r="BL67" s="164"/>
    </row>
    <row r="68" spans="15:64" x14ac:dyDescent="0.35">
      <c r="O68"/>
      <c r="P68" s="274"/>
      <c r="Q68" s="274"/>
      <c r="R68" s="274"/>
      <c r="S68" s="274"/>
      <c r="T68" s="274"/>
      <c r="U68" s="274"/>
      <c r="V68" s="274"/>
      <c r="W68" s="274"/>
      <c r="AC68" s="294"/>
      <c r="AD68" s="294"/>
      <c r="AE68" s="295"/>
      <c r="AF68" s="295"/>
      <c r="AI68" s="295"/>
      <c r="AJ68" s="296"/>
      <c r="BA68" s="164"/>
      <c r="BB68" s="164"/>
      <c r="BC68" s="164"/>
      <c r="BD68" s="164"/>
      <c r="BE68" s="164"/>
      <c r="BF68" s="164"/>
      <c r="BG68" s="164"/>
      <c r="BH68" s="164"/>
      <c r="BI68" s="164"/>
      <c r="BJ68" s="164"/>
      <c r="BK68" s="164"/>
      <c r="BL68" s="164"/>
    </row>
    <row r="69" spans="15:64" x14ac:dyDescent="0.35">
      <c r="O69"/>
      <c r="P69" s="274"/>
      <c r="Q69" s="274"/>
      <c r="R69" s="274"/>
      <c r="S69" s="274"/>
      <c r="T69" s="274"/>
      <c r="U69" s="274"/>
      <c r="V69" s="274"/>
      <c r="W69" s="274"/>
      <c r="AC69" s="294"/>
      <c r="AD69" s="294"/>
      <c r="AE69" s="295"/>
      <c r="AF69" s="295"/>
      <c r="AI69" s="295"/>
      <c r="AJ69" s="296"/>
      <c r="BA69" s="164"/>
      <c r="BB69" s="164"/>
      <c r="BC69" s="164"/>
      <c r="BD69" s="164"/>
      <c r="BE69" s="164"/>
      <c r="BF69" s="164"/>
      <c r="BG69" s="164"/>
      <c r="BH69" s="164"/>
      <c r="BI69" s="164"/>
      <c r="BJ69" s="164"/>
      <c r="BK69" s="164"/>
      <c r="BL69" s="164"/>
    </row>
    <row r="70" spans="15:64" x14ac:dyDescent="0.35">
      <c r="O70"/>
      <c r="P70" s="274"/>
      <c r="Q70" s="274"/>
      <c r="R70" s="274"/>
      <c r="S70" s="274"/>
      <c r="T70" s="274"/>
      <c r="U70" s="274"/>
      <c r="V70" s="274"/>
      <c r="W70" s="274"/>
      <c r="AC70" s="294"/>
      <c r="AD70" s="294"/>
      <c r="AE70" s="295"/>
      <c r="AF70" s="295"/>
      <c r="AI70" s="295"/>
      <c r="AJ70" s="296"/>
      <c r="BA70" s="164"/>
      <c r="BB70" s="164"/>
      <c r="BC70" s="164"/>
      <c r="BD70" s="164"/>
      <c r="BE70" s="164"/>
      <c r="BF70" s="164"/>
      <c r="BG70" s="164"/>
      <c r="BH70" s="164"/>
      <c r="BI70" s="164"/>
      <c r="BJ70" s="164"/>
      <c r="BK70" s="164"/>
      <c r="BL70" s="164"/>
    </row>
    <row r="71" spans="15:64" x14ac:dyDescent="0.35">
      <c r="O71"/>
      <c r="P71" s="274"/>
      <c r="Q71" s="274"/>
      <c r="R71" s="274"/>
      <c r="S71" s="274"/>
      <c r="T71" s="274"/>
      <c r="U71" s="274"/>
      <c r="V71" s="274"/>
      <c r="W71" s="274"/>
      <c r="AC71" s="294"/>
      <c r="AD71" s="294"/>
      <c r="AE71" s="295"/>
      <c r="AF71" s="295"/>
      <c r="AI71" s="295"/>
      <c r="AJ71" s="296"/>
      <c r="BA71" s="164"/>
      <c r="BB71" s="164"/>
      <c r="BC71" s="164"/>
      <c r="BD71" s="164"/>
      <c r="BE71" s="164"/>
      <c r="BF71" s="164"/>
      <c r="BG71" s="164"/>
      <c r="BH71" s="164"/>
      <c r="BI71" s="164"/>
      <c r="BJ71" s="164"/>
      <c r="BK71" s="164"/>
      <c r="BL71" s="164"/>
    </row>
    <row r="72" spans="15:64" x14ac:dyDescent="0.35">
      <c r="O72"/>
      <c r="P72" s="274"/>
      <c r="Q72" s="274"/>
      <c r="R72" s="274"/>
      <c r="S72" s="274"/>
      <c r="T72" s="274"/>
      <c r="U72" s="274"/>
      <c r="V72" s="274"/>
      <c r="W72" s="274"/>
      <c r="AC72" s="294"/>
      <c r="AD72" s="294"/>
      <c r="AE72" s="295"/>
      <c r="AF72" s="295"/>
      <c r="AI72" s="295"/>
      <c r="AJ72" s="296"/>
      <c r="BA72" s="164"/>
      <c r="BB72" s="164"/>
      <c r="BC72" s="164"/>
      <c r="BD72" s="164"/>
      <c r="BE72" s="164"/>
      <c r="BF72" s="164"/>
      <c r="BG72" s="164"/>
      <c r="BH72" s="164"/>
      <c r="BI72" s="164"/>
      <c r="BJ72" s="164"/>
      <c r="BK72" s="164"/>
      <c r="BL72" s="164"/>
    </row>
    <row r="73" spans="15:64" x14ac:dyDescent="0.35">
      <c r="O73"/>
      <c r="P73" s="274"/>
      <c r="Q73" s="274"/>
      <c r="R73" s="274"/>
      <c r="S73" s="274"/>
      <c r="T73" s="274"/>
      <c r="U73" s="274"/>
      <c r="V73" s="274"/>
      <c r="W73" s="274"/>
      <c r="AC73" s="295"/>
      <c r="AD73" s="295"/>
      <c r="AI73" s="295"/>
      <c r="AJ73" s="296"/>
      <c r="BA73" s="164"/>
      <c r="BB73" s="164"/>
      <c r="BC73" s="164"/>
      <c r="BD73" s="164"/>
      <c r="BE73" s="164"/>
      <c r="BF73" s="164"/>
      <c r="BG73" s="164"/>
      <c r="BH73" s="164"/>
      <c r="BI73" s="164"/>
      <c r="BJ73" s="164"/>
      <c r="BK73" s="164"/>
      <c r="BL73" s="164"/>
    </row>
    <row r="74" spans="15:64" x14ac:dyDescent="0.35">
      <c r="O74"/>
      <c r="P74" s="274"/>
      <c r="Q74" s="274"/>
      <c r="R74" s="274"/>
      <c r="S74" s="274"/>
      <c r="T74" s="274"/>
      <c r="U74" s="274"/>
      <c r="V74" s="274"/>
      <c r="W74" s="274"/>
      <c r="AC74" s="295"/>
      <c r="AD74" s="295"/>
      <c r="AE74" s="295"/>
      <c r="AF74" s="295"/>
      <c r="AI74" s="295"/>
      <c r="AJ74" s="296"/>
      <c r="BA74" s="164"/>
      <c r="BB74" s="164"/>
      <c r="BC74" s="164"/>
      <c r="BD74" s="164"/>
      <c r="BE74" s="164"/>
      <c r="BF74" s="164"/>
      <c r="BG74" s="164"/>
      <c r="BH74" s="164"/>
      <c r="BI74" s="164"/>
      <c r="BJ74" s="164"/>
      <c r="BK74" s="164"/>
      <c r="BL74" s="164"/>
    </row>
    <row r="75" spans="15:64" x14ac:dyDescent="0.35">
      <c r="O75"/>
      <c r="P75" s="274"/>
      <c r="Q75" s="274"/>
      <c r="R75" s="274"/>
      <c r="S75" s="274"/>
      <c r="T75" s="274"/>
      <c r="U75" s="274"/>
      <c r="V75" s="274"/>
      <c r="W75" s="274"/>
      <c r="AC75" s="295"/>
      <c r="AD75" s="295"/>
      <c r="AE75" s="295"/>
      <c r="AF75" s="295"/>
      <c r="AI75" s="295"/>
      <c r="AJ75" s="296"/>
      <c r="BA75" s="164"/>
      <c r="BB75" s="164"/>
      <c r="BC75" s="164"/>
      <c r="BD75" s="164"/>
      <c r="BE75" s="164"/>
      <c r="BF75" s="164"/>
      <c r="BG75" s="164"/>
      <c r="BH75" s="164"/>
      <c r="BI75" s="164"/>
      <c r="BJ75" s="164"/>
      <c r="BK75" s="164"/>
      <c r="BL75" s="164"/>
    </row>
    <row r="76" spans="15:64" x14ac:dyDescent="0.35">
      <c r="O76"/>
      <c r="P76" s="274"/>
      <c r="Q76" s="274"/>
      <c r="R76" s="274"/>
      <c r="S76" s="274"/>
      <c r="T76" s="274"/>
      <c r="U76" s="274"/>
      <c r="V76" s="274"/>
      <c r="W76" s="274"/>
      <c r="AC76" s="295"/>
      <c r="AD76" s="295"/>
      <c r="AE76" s="295"/>
      <c r="AF76" s="295"/>
      <c r="AI76" s="295"/>
      <c r="AJ76" s="296"/>
      <c r="BA76" s="164"/>
      <c r="BB76" s="164"/>
      <c r="BC76" s="164"/>
      <c r="BD76" s="164"/>
      <c r="BE76" s="164"/>
      <c r="BF76" s="164"/>
      <c r="BG76" s="164"/>
      <c r="BH76" s="164"/>
      <c r="BI76" s="164"/>
      <c r="BJ76" s="164"/>
      <c r="BK76" s="164"/>
      <c r="BL76" s="164"/>
    </row>
    <row r="77" spans="15:64" x14ac:dyDescent="0.35">
      <c r="O77"/>
      <c r="P77" s="274"/>
      <c r="Q77" s="274"/>
      <c r="R77" s="274"/>
      <c r="S77" s="274"/>
      <c r="T77" s="274"/>
      <c r="U77" s="274"/>
      <c r="V77" s="274"/>
      <c r="W77" s="274"/>
      <c r="AC77" s="295"/>
      <c r="AD77" s="295"/>
      <c r="AE77" s="295"/>
      <c r="AF77" s="295"/>
      <c r="AI77" s="295"/>
      <c r="AJ77" s="296"/>
      <c r="BA77" s="164"/>
      <c r="BB77" s="164"/>
      <c r="BC77" s="164"/>
      <c r="BD77" s="164"/>
      <c r="BE77" s="164"/>
      <c r="BF77" s="164"/>
      <c r="BG77" s="164"/>
      <c r="BH77" s="164"/>
      <c r="BI77" s="164"/>
      <c r="BJ77" s="164"/>
      <c r="BK77" s="164"/>
      <c r="BL77" s="164"/>
    </row>
    <row r="78" spans="15:64" x14ac:dyDescent="0.35">
      <c r="O78"/>
      <c r="P78" s="274"/>
      <c r="Q78" s="274"/>
      <c r="R78" s="274"/>
      <c r="S78" s="274"/>
      <c r="T78" s="274"/>
      <c r="U78" s="274"/>
      <c r="V78" s="274"/>
      <c r="W78" s="274"/>
      <c r="AC78" s="295"/>
      <c r="AD78" s="295"/>
      <c r="AE78" s="295"/>
      <c r="AF78" s="295"/>
      <c r="AI78" s="295"/>
      <c r="AJ78" s="296"/>
      <c r="BA78" s="164"/>
      <c r="BB78" s="164"/>
      <c r="BC78" s="164"/>
      <c r="BD78" s="164"/>
      <c r="BE78" s="164"/>
      <c r="BF78" s="164"/>
      <c r="BG78" s="164"/>
      <c r="BH78" s="164"/>
      <c r="BI78" s="164"/>
      <c r="BJ78" s="164"/>
      <c r="BK78" s="164"/>
      <c r="BL78" s="164"/>
    </row>
    <row r="79" spans="15:64" x14ac:dyDescent="0.35">
      <c r="O79"/>
      <c r="P79" s="274"/>
      <c r="Q79" s="274"/>
      <c r="R79" s="274"/>
      <c r="S79" s="274"/>
      <c r="T79" s="274"/>
      <c r="U79" s="274"/>
      <c r="V79" s="274"/>
      <c r="W79" s="274"/>
      <c r="AC79" s="295"/>
      <c r="AD79" s="295"/>
      <c r="AE79" s="295"/>
      <c r="AF79" s="295"/>
      <c r="AI79" s="295"/>
      <c r="AJ79" s="296"/>
    </row>
    <row r="80" spans="15:64" x14ac:dyDescent="0.35">
      <c r="O80"/>
      <c r="P80" s="274"/>
      <c r="Q80" s="274"/>
      <c r="R80" s="274"/>
      <c r="S80" s="274"/>
      <c r="T80" s="274"/>
      <c r="U80" s="274"/>
      <c r="V80" s="274"/>
      <c r="W80" s="274"/>
      <c r="AC80" s="295"/>
      <c r="AD80" s="295"/>
      <c r="AE80" s="295"/>
      <c r="AF80" s="295"/>
      <c r="AI80" s="295"/>
      <c r="AJ80" s="296"/>
    </row>
    <row r="81" spans="15:36" x14ac:dyDescent="0.35">
      <c r="O81"/>
      <c r="P81" s="274"/>
      <c r="Q81" s="274"/>
      <c r="R81" s="274"/>
      <c r="S81" s="274"/>
      <c r="T81" s="274"/>
      <c r="U81" s="274"/>
      <c r="V81" s="274"/>
      <c r="W81" s="274"/>
      <c r="AC81" s="295"/>
      <c r="AD81" s="295"/>
      <c r="AE81" s="295"/>
      <c r="AF81" s="295"/>
      <c r="AI81" s="295"/>
      <c r="AJ81" s="296"/>
    </row>
    <row r="82" spans="15:36" x14ac:dyDescent="0.35">
      <c r="O82"/>
      <c r="P82" s="274"/>
      <c r="Q82" s="274"/>
      <c r="R82" s="274"/>
      <c r="S82" s="274"/>
      <c r="T82" s="274"/>
      <c r="U82" s="274"/>
      <c r="V82" s="274"/>
      <c r="W82" s="274"/>
      <c r="AC82" s="295"/>
      <c r="AD82" s="295"/>
      <c r="AE82" s="295"/>
      <c r="AF82" s="295"/>
      <c r="AI82" s="295"/>
      <c r="AJ82" s="296"/>
    </row>
    <row r="83" spans="15:36" x14ac:dyDescent="0.35">
      <c r="O83"/>
      <c r="P83" s="274"/>
      <c r="Q83" s="274"/>
      <c r="R83" s="274"/>
      <c r="S83" s="274"/>
      <c r="T83" s="274"/>
      <c r="U83" s="274"/>
      <c r="V83" s="274"/>
      <c r="W83" s="274"/>
      <c r="AC83" s="295"/>
      <c r="AD83" s="295"/>
      <c r="AE83" s="295"/>
      <c r="AF83" s="295"/>
      <c r="AI83" s="295"/>
      <c r="AJ83" s="296"/>
    </row>
    <row r="84" spans="15:36" x14ac:dyDescent="0.35">
      <c r="O84"/>
      <c r="P84" s="274"/>
      <c r="Q84" s="274"/>
      <c r="R84" s="274"/>
      <c r="S84" s="274"/>
      <c r="T84" s="274"/>
      <c r="U84" s="274"/>
      <c r="V84" s="274"/>
      <c r="W84" s="274"/>
      <c r="AC84" s="295"/>
      <c r="AD84" s="295"/>
      <c r="AE84" s="295"/>
      <c r="AF84" s="295"/>
      <c r="AI84" s="295"/>
      <c r="AJ84" s="296"/>
    </row>
    <row r="85" spans="15:36" x14ac:dyDescent="0.35">
      <c r="O85"/>
      <c r="P85" s="274"/>
      <c r="Q85" s="274"/>
      <c r="R85" s="274"/>
      <c r="S85" s="274"/>
      <c r="T85" s="274"/>
      <c r="U85" s="274"/>
      <c r="V85" s="274"/>
      <c r="W85" s="274"/>
      <c r="AC85" s="295"/>
      <c r="AD85" s="295"/>
      <c r="AE85" s="295"/>
      <c r="AF85" s="295"/>
      <c r="AI85" s="295"/>
      <c r="AJ85" s="296"/>
    </row>
    <row r="86" spans="15:36" x14ac:dyDescent="0.35">
      <c r="O86"/>
      <c r="P86" s="274"/>
      <c r="Q86" s="274"/>
      <c r="R86" s="274"/>
      <c r="S86" s="274"/>
      <c r="T86" s="274"/>
      <c r="U86" s="274"/>
      <c r="V86" s="274"/>
      <c r="W86" s="274"/>
      <c r="AC86" s="295"/>
      <c r="AD86" s="295"/>
      <c r="AE86" s="295"/>
      <c r="AF86" s="295"/>
      <c r="AI86" s="295"/>
      <c r="AJ86" s="296"/>
    </row>
    <row r="87" spans="15:36" x14ac:dyDescent="0.35">
      <c r="O87"/>
      <c r="P87" s="274"/>
      <c r="Q87" s="274"/>
      <c r="R87" s="274"/>
      <c r="S87" s="274"/>
      <c r="T87" s="274"/>
      <c r="U87" s="274"/>
      <c r="V87" s="274"/>
      <c r="W87" s="274"/>
      <c r="AC87" s="295"/>
      <c r="AD87" s="295"/>
      <c r="AE87" s="295"/>
      <c r="AF87" s="295"/>
      <c r="AI87" s="295"/>
      <c r="AJ87" s="296"/>
    </row>
    <row r="88" spans="15:36" x14ac:dyDescent="0.35">
      <c r="O88"/>
      <c r="P88" s="274"/>
      <c r="Q88" s="274"/>
      <c r="R88" s="274"/>
      <c r="S88" s="274"/>
      <c r="T88" s="274"/>
      <c r="U88" s="274"/>
      <c r="V88" s="274"/>
      <c r="W88" s="274"/>
      <c r="AC88" s="295"/>
      <c r="AD88" s="295"/>
      <c r="AE88" s="295"/>
      <c r="AF88" s="295"/>
      <c r="AI88" s="295"/>
      <c r="AJ88" s="295"/>
    </row>
    <row r="89" spans="15:36" x14ac:dyDescent="0.35">
      <c r="O89"/>
      <c r="P89" s="274"/>
      <c r="Q89" s="274"/>
      <c r="R89" s="274"/>
      <c r="S89" s="274"/>
      <c r="T89" s="274"/>
      <c r="U89" s="274"/>
      <c r="V89" s="274"/>
      <c r="W89" s="274"/>
      <c r="AC89" s="295"/>
      <c r="AD89" s="295"/>
      <c r="AE89" s="295"/>
      <c r="AF89" s="295"/>
      <c r="AI89" s="295"/>
      <c r="AJ89" s="295"/>
    </row>
    <row r="90" spans="15:36" x14ac:dyDescent="0.35">
      <c r="O90"/>
      <c r="P90" s="274"/>
      <c r="Q90" s="274"/>
      <c r="R90" s="274"/>
      <c r="S90" s="274"/>
      <c r="T90" s="274"/>
      <c r="U90" s="274"/>
      <c r="V90" s="274"/>
      <c r="W90" s="274"/>
      <c r="AC90" s="295"/>
      <c r="AD90" s="295"/>
      <c r="AE90" s="295"/>
      <c r="AF90" s="295"/>
      <c r="AI90" s="295"/>
      <c r="AJ90" s="295"/>
    </row>
    <row r="91" spans="15:36" x14ac:dyDescent="0.35">
      <c r="O91"/>
      <c r="P91" s="274"/>
      <c r="Q91" s="274"/>
      <c r="R91" s="274"/>
      <c r="S91" s="274"/>
      <c r="T91" s="274"/>
      <c r="U91" s="274"/>
      <c r="V91" s="274"/>
      <c r="W91" s="274"/>
      <c r="AC91" s="295"/>
      <c r="AD91" s="295"/>
      <c r="AE91" s="295"/>
      <c r="AF91" s="295"/>
      <c r="AI91" s="295"/>
      <c r="AJ91" s="295"/>
    </row>
    <row r="92" spans="15:36" x14ac:dyDescent="0.35">
      <c r="O92"/>
      <c r="P92" s="274"/>
      <c r="Q92" s="274"/>
      <c r="R92" s="274"/>
      <c r="S92" s="274"/>
      <c r="T92" s="274"/>
      <c r="U92" s="274"/>
      <c r="V92" s="274"/>
      <c r="W92" s="274"/>
      <c r="AC92" s="295"/>
      <c r="AD92" s="295"/>
      <c r="AE92" s="295"/>
      <c r="AF92" s="295"/>
      <c r="AI92" s="295"/>
      <c r="AJ92" s="295"/>
    </row>
    <row r="93" spans="15:36" x14ac:dyDescent="0.35">
      <c r="O93"/>
      <c r="P93" s="274"/>
      <c r="Q93" s="274"/>
      <c r="R93" s="274"/>
      <c r="S93" s="274"/>
      <c r="T93" s="274"/>
      <c r="U93" s="274"/>
      <c r="V93" s="274"/>
      <c r="W93" s="274"/>
      <c r="AC93" s="295"/>
      <c r="AD93" s="295"/>
      <c r="AE93" s="295"/>
      <c r="AF93" s="295"/>
      <c r="AI93" s="295"/>
      <c r="AJ93" s="295"/>
    </row>
    <row r="94" spans="15:36" x14ac:dyDescent="0.35">
      <c r="O94"/>
      <c r="P94" s="274"/>
      <c r="Q94" s="274"/>
      <c r="R94" s="274"/>
      <c r="S94" s="274"/>
      <c r="T94" s="274"/>
      <c r="U94" s="274"/>
      <c r="V94" s="274"/>
      <c r="W94" s="274"/>
      <c r="AC94" s="295"/>
      <c r="AD94" s="295"/>
      <c r="AE94" s="295"/>
      <c r="AF94" s="295"/>
      <c r="AI94" s="295"/>
      <c r="AJ94" s="295"/>
    </row>
    <row r="95" spans="15:36" x14ac:dyDescent="0.35">
      <c r="O95"/>
      <c r="P95" s="274"/>
      <c r="Q95" s="274"/>
      <c r="R95" s="274"/>
      <c r="S95" s="274"/>
      <c r="T95" s="274"/>
      <c r="U95" s="274"/>
      <c r="V95" s="274"/>
      <c r="W95" s="274"/>
      <c r="AC95" s="295"/>
      <c r="AD95" s="295"/>
      <c r="AE95" s="295"/>
      <c r="AF95" s="295"/>
      <c r="AI95" s="295"/>
      <c r="AJ95" s="295"/>
    </row>
    <row r="96" spans="15:36" x14ac:dyDescent="0.35">
      <c r="O96"/>
      <c r="P96" s="274"/>
      <c r="Q96" s="274"/>
      <c r="R96" s="274"/>
      <c r="S96" s="274"/>
      <c r="T96" s="274"/>
      <c r="U96" s="274"/>
      <c r="V96" s="274"/>
      <c r="W96" s="274"/>
      <c r="AE96" s="295"/>
      <c r="AF96" s="295"/>
      <c r="AI96" s="295"/>
      <c r="AJ96" s="295"/>
    </row>
    <row r="97" spans="15:36" x14ac:dyDescent="0.35">
      <c r="O97"/>
      <c r="P97" s="274"/>
      <c r="Q97" s="274"/>
      <c r="R97" s="274"/>
      <c r="S97" s="274"/>
      <c r="T97" s="274"/>
      <c r="U97" s="274"/>
      <c r="V97" s="274"/>
      <c r="W97" s="274"/>
      <c r="AE97" s="295"/>
      <c r="AF97" s="295"/>
      <c r="AI97" s="295"/>
      <c r="AJ97" s="295"/>
    </row>
    <row r="98" spans="15:36" x14ac:dyDescent="0.35">
      <c r="O98"/>
      <c r="P98" s="274"/>
      <c r="Q98" s="274"/>
      <c r="R98" s="274"/>
      <c r="S98" s="274"/>
      <c r="T98" s="274"/>
      <c r="U98" s="274"/>
      <c r="V98" s="274"/>
      <c r="W98" s="274"/>
      <c r="AE98" s="295"/>
      <c r="AF98" s="295"/>
      <c r="AI98" s="295"/>
      <c r="AJ98" s="295"/>
    </row>
    <row r="99" spans="15:36" x14ac:dyDescent="0.35">
      <c r="O99"/>
      <c r="P99" s="274"/>
      <c r="Q99" s="274"/>
      <c r="R99" s="274"/>
      <c r="S99" s="274"/>
      <c r="T99" s="274"/>
      <c r="U99" s="274"/>
      <c r="V99" s="274"/>
      <c r="W99" s="274"/>
      <c r="AE99" s="295"/>
      <c r="AF99" s="295"/>
      <c r="AI99" s="295"/>
      <c r="AJ99" s="295"/>
    </row>
    <row r="100" spans="15:36" x14ac:dyDescent="0.35">
      <c r="O100"/>
      <c r="P100" s="274"/>
      <c r="Q100" s="274"/>
      <c r="R100" s="274"/>
      <c r="S100" s="274"/>
      <c r="T100" s="274"/>
      <c r="U100" s="274"/>
      <c r="V100" s="274"/>
      <c r="W100" s="274"/>
      <c r="AE100" s="295"/>
      <c r="AF100" s="295"/>
      <c r="AI100" s="295"/>
      <c r="AJ100" s="295"/>
    </row>
    <row r="101" spans="15:36" x14ac:dyDescent="0.35">
      <c r="O101"/>
      <c r="P101" s="274"/>
      <c r="Q101" s="274"/>
      <c r="R101" s="274"/>
      <c r="S101" s="274"/>
      <c r="T101" s="274"/>
      <c r="U101" s="274"/>
      <c r="V101" s="274"/>
      <c r="W101" s="274"/>
      <c r="AE101" s="295"/>
      <c r="AF101" s="295"/>
      <c r="AI101" s="295"/>
      <c r="AJ101" s="295"/>
    </row>
    <row r="102" spans="15:36" x14ac:dyDescent="0.35">
      <c r="O102"/>
      <c r="P102" s="274"/>
      <c r="Q102" s="274"/>
      <c r="R102" s="274"/>
      <c r="S102" s="274"/>
      <c r="T102" s="274"/>
      <c r="U102" s="274"/>
      <c r="V102" s="274"/>
      <c r="W102" s="274"/>
      <c r="AI102" s="295"/>
      <c r="AJ102" s="295"/>
    </row>
    <row r="103" spans="15:36" x14ac:dyDescent="0.35">
      <c r="O103"/>
      <c r="P103" s="274"/>
      <c r="Q103" s="274"/>
      <c r="R103" s="274"/>
      <c r="S103" s="274"/>
      <c r="T103" s="274"/>
      <c r="U103" s="274"/>
      <c r="V103" s="274"/>
      <c r="W103" s="274"/>
      <c r="AI103" s="295"/>
      <c r="AJ103" s="295"/>
    </row>
    <row r="104" spans="15:36" x14ac:dyDescent="0.35">
      <c r="O104"/>
      <c r="P104" s="274"/>
      <c r="Q104" s="274"/>
      <c r="R104" s="274"/>
      <c r="S104" s="274"/>
      <c r="T104" s="274"/>
      <c r="U104" s="274"/>
      <c r="V104" s="274"/>
      <c r="W104" s="274"/>
      <c r="AJ104" s="295"/>
    </row>
    <row r="105" spans="15:36" x14ac:dyDescent="0.35">
      <c r="O105"/>
      <c r="P105" s="274"/>
      <c r="Q105" s="274"/>
      <c r="R105" s="274"/>
      <c r="S105" s="274"/>
      <c r="T105" s="274"/>
      <c r="U105" s="274"/>
      <c r="V105" s="274"/>
      <c r="W105" s="274"/>
      <c r="AJ105" s="295"/>
    </row>
    <row r="106" spans="15:36" x14ac:dyDescent="0.35">
      <c r="O106"/>
      <c r="P106" s="274"/>
      <c r="Q106" s="274"/>
      <c r="R106" s="274"/>
      <c r="S106" s="274"/>
      <c r="T106" s="274"/>
      <c r="U106" s="274"/>
      <c r="V106" s="274"/>
      <c r="W106" s="274"/>
      <c r="AJ106" s="295"/>
    </row>
    <row r="107" spans="15:36" x14ac:dyDescent="0.35">
      <c r="O107"/>
      <c r="P107" s="274"/>
      <c r="Q107" s="274"/>
      <c r="R107" s="274"/>
      <c r="S107" s="274"/>
      <c r="T107" s="274"/>
      <c r="U107" s="274"/>
      <c r="V107" s="274"/>
      <c r="W107" s="274"/>
      <c r="AJ107" s="295"/>
    </row>
    <row r="108" spans="15:36" x14ac:dyDescent="0.35">
      <c r="O108"/>
      <c r="P108" s="274"/>
      <c r="Q108" s="274"/>
      <c r="R108" s="274"/>
      <c r="S108" s="274"/>
      <c r="T108" s="274"/>
      <c r="U108" s="274"/>
      <c r="V108" s="274"/>
      <c r="W108" s="274"/>
      <c r="AJ108" s="295"/>
    </row>
    <row r="109" spans="15:36" x14ac:dyDescent="0.35">
      <c r="O109"/>
      <c r="P109" s="274"/>
      <c r="Q109" s="274"/>
      <c r="R109" s="274"/>
      <c r="S109" s="274"/>
      <c r="T109" s="274"/>
      <c r="U109" s="274"/>
      <c r="V109" s="274"/>
      <c r="W109" s="274"/>
      <c r="AJ109" s="295"/>
    </row>
    <row r="110" spans="15:36" x14ac:dyDescent="0.35">
      <c r="O110"/>
      <c r="P110" s="274"/>
      <c r="Q110" s="274"/>
      <c r="R110" s="274"/>
      <c r="S110" s="274"/>
      <c r="T110" s="274"/>
      <c r="U110" s="274"/>
      <c r="V110" s="274"/>
      <c r="W110" s="274"/>
      <c r="AJ110" s="295"/>
    </row>
    <row r="111" spans="15:36" x14ac:dyDescent="0.35">
      <c r="O111"/>
      <c r="P111" s="274"/>
      <c r="Q111" s="274"/>
      <c r="R111" s="274"/>
      <c r="S111" s="274"/>
      <c r="T111" s="274"/>
      <c r="U111" s="274"/>
      <c r="V111" s="274"/>
      <c r="W111" s="274"/>
      <c r="AJ111" s="295"/>
    </row>
    <row r="112" spans="15:36" x14ac:dyDescent="0.35">
      <c r="O112"/>
      <c r="P112" s="274"/>
      <c r="Q112" s="274"/>
      <c r="R112" s="274"/>
      <c r="S112" s="274"/>
      <c r="T112" s="274"/>
      <c r="U112" s="274"/>
      <c r="V112" s="274"/>
      <c r="W112" s="274"/>
      <c r="AJ112" s="295"/>
    </row>
    <row r="113" spans="15:36" x14ac:dyDescent="0.35">
      <c r="O113"/>
      <c r="P113" s="274"/>
      <c r="Q113" s="274"/>
      <c r="R113" s="274"/>
      <c r="S113" s="274"/>
      <c r="T113" s="274"/>
      <c r="U113" s="274"/>
      <c r="V113" s="274"/>
      <c r="W113" s="274"/>
      <c r="AJ113" s="295"/>
    </row>
    <row r="114" spans="15:36" x14ac:dyDescent="0.35">
      <c r="O114"/>
      <c r="P114" s="274"/>
      <c r="Q114" s="274"/>
      <c r="R114" s="274"/>
      <c r="S114" s="274"/>
      <c r="T114" s="274"/>
      <c r="U114" s="274"/>
      <c r="V114" s="274"/>
      <c r="W114" s="274"/>
      <c r="AJ114" s="295"/>
    </row>
    <row r="115" spans="15:36" x14ac:dyDescent="0.35">
      <c r="O115"/>
      <c r="P115" s="274"/>
      <c r="Q115" s="274"/>
      <c r="R115" s="274"/>
      <c r="S115" s="274"/>
      <c r="T115" s="274"/>
      <c r="U115" s="274"/>
      <c r="V115" s="274"/>
      <c r="W115" s="274"/>
      <c r="AJ115" s="295"/>
    </row>
    <row r="116" spans="15:36" x14ac:dyDescent="0.35">
      <c r="O116"/>
      <c r="P116" s="274"/>
      <c r="Q116" s="274"/>
      <c r="R116" s="274"/>
      <c r="S116" s="274"/>
      <c r="T116" s="274"/>
      <c r="U116" s="274"/>
      <c r="V116" s="274"/>
      <c r="W116" s="274"/>
      <c r="AJ116" s="295"/>
    </row>
    <row r="117" spans="15:36" x14ac:dyDescent="0.35">
      <c r="O117"/>
      <c r="P117" s="274"/>
      <c r="Q117" s="274"/>
      <c r="R117" s="274"/>
      <c r="S117" s="274"/>
      <c r="T117" s="274"/>
      <c r="U117" s="274"/>
      <c r="V117" s="274"/>
      <c r="W117" s="274"/>
      <c r="AJ117" s="295"/>
    </row>
    <row r="118" spans="15:36" x14ac:dyDescent="0.35">
      <c r="O118"/>
      <c r="P118" s="274"/>
      <c r="Q118" s="274"/>
      <c r="R118" s="274"/>
      <c r="S118" s="274"/>
      <c r="T118" s="274"/>
      <c r="U118" s="274"/>
      <c r="V118" s="274"/>
      <c r="W118" s="274"/>
      <c r="AJ118" s="295"/>
    </row>
    <row r="119" spans="15:36" x14ac:dyDescent="0.35">
      <c r="O119"/>
      <c r="P119" s="274"/>
      <c r="Q119" s="274"/>
      <c r="R119" s="274"/>
      <c r="S119" s="274"/>
      <c r="T119" s="274"/>
      <c r="U119" s="274"/>
      <c r="V119" s="274"/>
      <c r="W119" s="274"/>
      <c r="AJ119" s="295"/>
    </row>
    <row r="120" spans="15:36" x14ac:dyDescent="0.35">
      <c r="O120"/>
      <c r="P120" s="274"/>
      <c r="Q120" s="274"/>
      <c r="R120" s="274"/>
      <c r="S120" s="274"/>
      <c r="T120" s="274"/>
      <c r="U120" s="274"/>
      <c r="V120" s="274"/>
      <c r="W120" s="274"/>
      <c r="AJ120" s="295"/>
    </row>
    <row r="121" spans="15:36" x14ac:dyDescent="0.35">
      <c r="O121"/>
      <c r="P121" s="274"/>
      <c r="Q121" s="274"/>
      <c r="R121" s="274"/>
      <c r="S121" s="274"/>
      <c r="T121" s="274"/>
      <c r="U121" s="274"/>
      <c r="V121" s="274"/>
      <c r="W121" s="274"/>
      <c r="AJ121" s="295"/>
    </row>
    <row r="122" spans="15:36" x14ac:dyDescent="0.35">
      <c r="O122"/>
      <c r="P122" s="274"/>
      <c r="Q122" s="274"/>
      <c r="R122" s="274"/>
      <c r="S122" s="274"/>
      <c r="T122" s="274"/>
      <c r="U122" s="274"/>
      <c r="V122" s="274"/>
      <c r="W122" s="274"/>
      <c r="AJ122" s="295"/>
    </row>
    <row r="123" spans="15:36" x14ac:dyDescent="0.35">
      <c r="O123"/>
      <c r="P123" s="274"/>
      <c r="Q123" s="274"/>
      <c r="R123" s="274"/>
      <c r="S123" s="274"/>
      <c r="T123" s="274"/>
      <c r="U123" s="274"/>
      <c r="V123" s="274"/>
      <c r="W123" s="274"/>
      <c r="AJ123" s="295"/>
    </row>
    <row r="124" spans="15:36" x14ac:dyDescent="0.35">
      <c r="O124"/>
      <c r="P124" s="274"/>
      <c r="Q124" s="274"/>
      <c r="R124" s="274"/>
      <c r="S124" s="274"/>
      <c r="T124" s="274"/>
      <c r="U124" s="274"/>
      <c r="V124" s="274"/>
      <c r="W124" s="274"/>
    </row>
    <row r="125" spans="15:36" x14ac:dyDescent="0.35">
      <c r="O125"/>
      <c r="P125" s="274"/>
      <c r="Q125" s="274"/>
      <c r="R125" s="274"/>
      <c r="S125" s="274"/>
      <c r="T125" s="274"/>
      <c r="U125" s="274"/>
      <c r="V125" s="274"/>
      <c r="W125" s="274"/>
    </row>
    <row r="126" spans="15:36" x14ac:dyDescent="0.35">
      <c r="O126"/>
      <c r="P126" s="274"/>
      <c r="Q126" s="274"/>
      <c r="R126" s="274"/>
      <c r="S126" s="274"/>
      <c r="T126" s="274"/>
      <c r="U126" s="274"/>
      <c r="V126" s="274"/>
      <c r="W126" s="274"/>
    </row>
    <row r="128" spans="15:36" x14ac:dyDescent="0.35">
      <c r="AH128" s="295">
        <v>70</v>
      </c>
    </row>
    <row r="129" spans="34:34" x14ac:dyDescent="0.35">
      <c r="AH129" s="295">
        <v>73</v>
      </c>
    </row>
    <row r="130" spans="34:34" x14ac:dyDescent="0.35">
      <c r="AH130" s="295">
        <v>76</v>
      </c>
    </row>
    <row r="131" spans="34:34" x14ac:dyDescent="0.35">
      <c r="AH131" s="295">
        <v>79</v>
      </c>
    </row>
    <row r="132" spans="34:34" x14ac:dyDescent="0.35">
      <c r="AH132" s="298" t="s">
        <v>6</v>
      </c>
    </row>
    <row r="133" spans="34:34" x14ac:dyDescent="0.35">
      <c r="AH133" s="295">
        <v>100</v>
      </c>
    </row>
  </sheetData>
  <sheetProtection password="DE3F" sheet="1" objects="1" scenarios="1" selectLockedCells="1"/>
  <dataConsolidate/>
  <customSheetViews>
    <customSheetView guid="{377A32C9-D8CF-4808-9C50-3AB68474CE61}" scale="85" showGridLines="0" fitToPage="1" hiddenColumns="1">
      <selection activeCell="F18" sqref="F18"/>
      <pageMargins left="0.75" right="0.75" top="1" bottom="1" header="0.5" footer="0.5"/>
      <pageSetup paperSize="9" scale="70" orientation="landscape" r:id="rId1"/>
      <headerFooter alignWithMargins="0"/>
    </customSheetView>
  </customSheetViews>
  <mergeCells count="10">
    <mergeCell ref="B20:C20"/>
    <mergeCell ref="O21:O23"/>
    <mergeCell ref="B16:C16"/>
    <mergeCell ref="B17:C17"/>
    <mergeCell ref="AC1:AH1"/>
    <mergeCell ref="S1:T1"/>
    <mergeCell ref="B13:C13"/>
    <mergeCell ref="B7:C7"/>
    <mergeCell ref="G3:J3"/>
    <mergeCell ref="E9:M9"/>
  </mergeCells>
  <phoneticPr fontId="4" type="noConversion"/>
  <conditionalFormatting sqref="F22:F26">
    <cfRule type="expression" dxfId="13" priority="41" stopIfTrue="1">
      <formula>AND(#REF!&gt;35,ISNUMBER(#REF!))</formula>
    </cfRule>
    <cfRule type="cellIs" dxfId="12" priority="42" stopIfTrue="1" operator="equal">
      <formula>"-"</formula>
    </cfRule>
  </conditionalFormatting>
  <conditionalFormatting sqref="E28 K28:M28 G28 I28">
    <cfRule type="cellIs" dxfId="11" priority="15" stopIfTrue="1" operator="equal">
      <formula>$AF$7</formula>
    </cfRule>
  </conditionalFormatting>
  <conditionalFormatting sqref="E20">
    <cfRule type="expression" dxfId="10" priority="7" stopIfTrue="1">
      <formula>OR($E$13="No scaled score awarded",$E$13="B - working below the standard of the test")</formula>
    </cfRule>
  </conditionalFormatting>
  <conditionalFormatting sqref="K20">
    <cfRule type="expression" dxfId="9" priority="6" stopIfTrue="1">
      <formula>OR($K$13="No scaled score awarded",$K$13="B - working below the standard of the test")</formula>
    </cfRule>
  </conditionalFormatting>
  <conditionalFormatting sqref="E16">
    <cfRule type="expression" dxfId="8" priority="59" stopIfTrue="1">
      <formula>OR(E13=$AC$4,E13=$AC$5,E13=$AC$6,E13=$AC$7,E13=$AC$8,E13=$AC$9,E13=$AC$10,E13=$AC$11,E13=$AC$12,E13=$AC$13,E13=$AC$14,E13=$AC$15)</formula>
    </cfRule>
  </conditionalFormatting>
  <conditionalFormatting sqref="K16:M16">
    <cfRule type="expression" dxfId="7" priority="63" stopIfTrue="1">
      <formula>OR(K13=$AG$4,K13=$AG$5,K13=$AG$6,K13=$AG$7,K13=$AG$8,K13=$AG$9,K13=$AG$10,K13=$AG$11,K13=$AG$12,K13=$AG$13,K13=$AG$14,K13=$AG$15)</formula>
    </cfRule>
  </conditionalFormatting>
  <dataValidations count="6">
    <dataValidation type="list" allowBlank="1" showInputMessage="1" showErrorMessage="1" sqref="E16 K16">
      <formula1>$Z$2:$Z$4</formula1>
    </dataValidation>
    <dataValidation type="list" allowBlank="1" showInputMessage="1" showErrorMessage="1" sqref="E13">
      <formula1>$AC$3:$AC$57</formula1>
    </dataValidation>
    <dataValidation type="list" allowBlank="1" showInputMessage="1" showErrorMessage="1" sqref="K13">
      <formula1>$AG$3:$AG$57</formula1>
    </dataValidation>
    <dataValidation type="list" allowBlank="1" showInputMessage="1" showErrorMessage="1" sqref="K20">
      <formula1>$AN$3:$AN$15</formula1>
    </dataValidation>
    <dataValidation type="list" allowBlank="1" showInputMessage="1" showErrorMessage="1" sqref="E20">
      <formula1>$AJ$3:$AJ$14</formula1>
    </dataValidation>
    <dataValidation type="list" allowBlank="1" showInputMessage="1" showErrorMessage="1" sqref="G13">
      <formula1>$AE$3:$AE$23</formula1>
    </dataValidation>
  </dataValidations>
  <hyperlinks>
    <hyperlink ref="Q33:Q34" location="'1 Measure Ready Reckoner'!A1" display="To Single Measure Ready Reckoner  ---&gt;"/>
    <hyperlink ref="O21:O23" location="'Single Measure Ready Reckoner'!A1" display="To Single Measure Ready Reckoner  ---&gt;"/>
    <hyperlink ref="B17:C17" r:id="rId2" display="Further information on special consideration"/>
  </hyperlinks>
  <pageMargins left="0.75" right="0.75" top="1" bottom="1" header="0.5" footer="0.5"/>
  <pageSetup paperSize="9" scale="70" orientation="landscape" r:id="rId3"/>
  <headerFooter alignWithMargins="0"/>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8"/>
    <pageSetUpPr fitToPage="1"/>
  </sheetPr>
  <dimension ref="A1:BN47"/>
  <sheetViews>
    <sheetView showGridLines="0" showRowColHeaders="0" zoomScale="85" zoomScaleNormal="85" workbookViewId="0">
      <selection activeCell="G9" sqref="G9:I9"/>
    </sheetView>
  </sheetViews>
  <sheetFormatPr defaultRowHeight="12.75" x14ac:dyDescent="0.35"/>
  <cols>
    <col min="1" max="1" width="1.1328125" customWidth="1"/>
    <col min="2" max="2" width="2" customWidth="1"/>
    <col min="3" max="3" width="40.73046875" customWidth="1"/>
    <col min="4" max="4" width="11" customWidth="1"/>
    <col min="5" max="5" width="4" customWidth="1"/>
    <col min="6" max="6" width="17.59765625" customWidth="1"/>
    <col min="7" max="7" width="4.1328125" customWidth="1"/>
    <col min="8" max="8" width="34.86328125" customWidth="1"/>
    <col min="9" max="9" width="6" customWidth="1"/>
    <col min="10" max="10" width="1.73046875" customWidth="1"/>
    <col min="11" max="11" width="5.73046875" customWidth="1"/>
    <col min="12" max="12" width="6.59765625" customWidth="1"/>
    <col min="13" max="13" width="4.86328125" customWidth="1"/>
    <col min="14" max="15" width="13.1328125" customWidth="1"/>
    <col min="16" max="16" width="3.1328125" customWidth="1"/>
    <col min="17" max="17" width="3.73046875" customWidth="1"/>
    <col min="19" max="19" width="9.1328125" style="74" customWidth="1"/>
    <col min="20" max="20" width="6.59765625" style="74" customWidth="1"/>
    <col min="21" max="21" width="13.73046875" style="161" customWidth="1"/>
    <col min="22" max="22" width="6.73046875" style="74" customWidth="1"/>
    <col min="23" max="23" width="9.86328125" style="249" customWidth="1"/>
    <col min="24" max="24" width="41.73046875" style="249" hidden="1" customWidth="1"/>
    <col min="25" max="28" width="9.1328125" style="249" hidden="1" customWidth="1"/>
    <col min="29" max="29" width="20.86328125" style="249" hidden="1" customWidth="1"/>
    <col min="30" max="30" width="14.59765625" style="249" hidden="1" customWidth="1"/>
    <col min="31" max="31" width="12" style="249" hidden="1" customWidth="1"/>
    <col min="32" max="32" width="11.1328125" style="249" hidden="1" customWidth="1"/>
    <col min="33" max="33" width="9.1328125" style="249" customWidth="1"/>
    <col min="34" max="35" width="9.1328125" style="164" customWidth="1"/>
    <col min="36" max="37" width="9" style="74" customWidth="1"/>
    <col min="38" max="38" width="19.86328125" style="74" customWidth="1"/>
    <col min="39" max="39" width="9" style="74" customWidth="1"/>
    <col min="40" max="40" width="9.1328125" style="74" customWidth="1"/>
  </cols>
  <sheetData>
    <row r="1" spans="1:66" ht="10.5" customHeight="1" thickBot="1" x14ac:dyDescent="0.5">
      <c r="A1" s="214"/>
      <c r="R1" s="74"/>
      <c r="S1" s="161"/>
      <c r="T1" s="161"/>
      <c r="U1" s="241"/>
      <c r="X1" s="337" t="s">
        <v>151</v>
      </c>
      <c r="Y1" s="302"/>
      <c r="Z1" s="302"/>
      <c r="AA1" s="302"/>
      <c r="AB1" s="164"/>
      <c r="AC1" s="164"/>
      <c r="AD1" s="164"/>
      <c r="AE1" s="164"/>
      <c r="AF1" s="164"/>
      <c r="AO1" s="74"/>
      <c r="AP1" s="74"/>
      <c r="AQ1" s="74"/>
      <c r="AR1" s="74"/>
      <c r="AS1" s="74"/>
      <c r="AT1" s="74"/>
      <c r="AU1" s="74"/>
      <c r="AV1" s="241"/>
      <c r="AW1" s="241"/>
      <c r="AX1" s="241"/>
      <c r="AY1" s="241"/>
      <c r="AZ1" s="241"/>
      <c r="BA1" s="241"/>
      <c r="BB1" s="241"/>
      <c r="BC1" s="241"/>
      <c r="BD1" s="241"/>
      <c r="BE1" s="74"/>
      <c r="BF1" s="74"/>
      <c r="BG1" s="74"/>
      <c r="BH1" s="74"/>
      <c r="BI1" s="74"/>
      <c r="BJ1" s="74"/>
      <c r="BK1" s="74"/>
      <c r="BL1" s="74"/>
      <c r="BM1" s="74"/>
    </row>
    <row r="2" spans="1:66" ht="21" thickBot="1" x14ac:dyDescent="0.65">
      <c r="B2" s="29" t="s">
        <v>160</v>
      </c>
      <c r="D2" s="29"/>
      <c r="E2" s="29"/>
      <c r="F2" s="29"/>
      <c r="G2" s="29"/>
      <c r="N2" s="432" t="s">
        <v>27</v>
      </c>
      <c r="O2" s="433"/>
      <c r="R2" s="74"/>
      <c r="S2" s="161"/>
      <c r="T2" s="161"/>
      <c r="U2" s="241"/>
      <c r="X2" s="338" t="s">
        <v>166</v>
      </c>
      <c r="Y2" s="302"/>
      <c r="Z2" s="302"/>
      <c r="AA2" s="302"/>
      <c r="AB2" s="164"/>
      <c r="AC2" s="164" t="s">
        <v>182</v>
      </c>
      <c r="AD2" s="164" t="s">
        <v>148</v>
      </c>
      <c r="AE2" s="164" t="s">
        <v>149</v>
      </c>
      <c r="AF2" s="164" t="s">
        <v>150</v>
      </c>
      <c r="AO2" s="74"/>
      <c r="AP2" s="74"/>
      <c r="AQ2" s="74"/>
      <c r="AR2" s="74"/>
      <c r="AS2" s="74"/>
      <c r="AT2" s="74"/>
      <c r="AU2" s="74"/>
      <c r="AV2" s="241"/>
      <c r="AW2" s="241"/>
      <c r="AX2" s="241"/>
      <c r="AY2" s="241"/>
      <c r="AZ2" s="241"/>
      <c r="BA2" s="241"/>
      <c r="BB2" s="241"/>
      <c r="BC2" s="241"/>
      <c r="BD2" s="241"/>
      <c r="BE2" s="74"/>
      <c r="BF2" s="74"/>
      <c r="BG2" s="74"/>
      <c r="BH2" s="74"/>
      <c r="BI2" s="74"/>
      <c r="BJ2" s="74"/>
      <c r="BK2" s="74"/>
      <c r="BL2" s="74"/>
      <c r="BM2" s="74"/>
    </row>
    <row r="3" spans="1:66" ht="22.5" customHeight="1" thickBot="1" x14ac:dyDescent="0.5">
      <c r="M3" s="55"/>
      <c r="N3" s="434" t="s">
        <v>25</v>
      </c>
      <c r="O3" s="435"/>
      <c r="R3" s="74"/>
      <c r="S3" s="161"/>
      <c r="T3" s="161"/>
      <c r="U3" s="241"/>
      <c r="X3" s="338" t="s">
        <v>161</v>
      </c>
      <c r="Y3" s="302"/>
      <c r="Z3" s="314"/>
      <c r="AA3" s="314"/>
      <c r="AB3" s="164"/>
      <c r="AC3" s="164" t="s">
        <v>244</v>
      </c>
      <c r="AD3" s="339">
        <v>61.82</v>
      </c>
      <c r="AE3" s="339">
        <v>61.76</v>
      </c>
      <c r="AF3" s="339">
        <v>62.11</v>
      </c>
      <c r="AH3" s="164">
        <v>50</v>
      </c>
      <c r="AI3" s="164" t="s">
        <v>309</v>
      </c>
      <c r="AO3" s="74"/>
      <c r="AP3" s="74"/>
      <c r="AQ3" s="74"/>
      <c r="AR3" s="74"/>
      <c r="AS3" s="74"/>
      <c r="AT3" s="74"/>
      <c r="AU3" s="74"/>
      <c r="AV3" s="241"/>
      <c r="AW3" s="241"/>
      <c r="AX3" s="241"/>
      <c r="AY3" s="241"/>
      <c r="AZ3" s="241"/>
      <c r="BA3" s="241"/>
      <c r="BB3" s="241"/>
      <c r="BC3" s="241"/>
      <c r="BD3" s="241"/>
      <c r="BE3" s="74"/>
      <c r="BF3" s="74"/>
      <c r="BG3" s="74"/>
      <c r="BH3" s="74"/>
      <c r="BI3" s="74"/>
      <c r="BJ3" s="74"/>
      <c r="BK3" s="74"/>
      <c r="BL3" s="74"/>
      <c r="BM3" s="74"/>
    </row>
    <row r="4" spans="1:66" ht="15.75" customHeight="1" thickBot="1" x14ac:dyDescent="0.5">
      <c r="B4" s="78" t="s">
        <v>162</v>
      </c>
      <c r="C4" s="74"/>
      <c r="D4" s="40"/>
      <c r="N4" s="436" t="s">
        <v>50</v>
      </c>
      <c r="O4" s="435"/>
      <c r="R4" s="74"/>
      <c r="S4" s="161"/>
      <c r="T4" s="161"/>
      <c r="U4" s="241"/>
      <c r="X4" s="338" t="s">
        <v>163</v>
      </c>
      <c r="Y4" s="302"/>
      <c r="Z4" s="314"/>
      <c r="AA4" s="314"/>
      <c r="AB4" s="164"/>
      <c r="AC4" s="164" t="s">
        <v>245</v>
      </c>
      <c r="AD4" s="339">
        <v>66.02</v>
      </c>
      <c r="AE4" s="339">
        <v>65.58</v>
      </c>
      <c r="AF4" s="339">
        <v>66.709999999999994</v>
      </c>
      <c r="AH4" s="164">
        <v>55</v>
      </c>
      <c r="AO4" s="74"/>
      <c r="AP4" s="74"/>
      <c r="AQ4" s="74"/>
      <c r="AR4" s="74"/>
      <c r="AS4" s="74"/>
      <c r="AT4" s="74"/>
      <c r="AU4" s="74"/>
      <c r="AV4" s="241"/>
      <c r="AW4" s="241"/>
      <c r="AX4" s="241"/>
      <c r="AY4" s="241"/>
      <c r="AZ4" s="241"/>
      <c r="BA4" s="241"/>
      <c r="BB4" s="241"/>
      <c r="BC4" s="241"/>
      <c r="BD4" s="241"/>
      <c r="BE4" s="74"/>
      <c r="BF4" s="74"/>
      <c r="BG4" s="74"/>
      <c r="BH4" s="74"/>
      <c r="BI4" s="74"/>
      <c r="BJ4" s="74"/>
      <c r="BK4" s="74"/>
      <c r="BL4" s="74"/>
      <c r="BM4" s="74"/>
    </row>
    <row r="5" spans="1:66" ht="15.75" customHeight="1" thickBot="1" x14ac:dyDescent="0.45">
      <c r="B5" s="78" t="s">
        <v>164</v>
      </c>
      <c r="C5" s="74"/>
      <c r="N5" s="437" t="s">
        <v>23</v>
      </c>
      <c r="O5" s="438"/>
      <c r="R5" s="74"/>
      <c r="S5" s="161"/>
      <c r="T5" s="161"/>
      <c r="U5" s="241"/>
      <c r="X5" s="302"/>
      <c r="Y5" s="302"/>
      <c r="Z5" s="314"/>
      <c r="AA5" s="314"/>
      <c r="AB5" s="164"/>
      <c r="AC5" s="164" t="s">
        <v>246</v>
      </c>
      <c r="AD5" s="339">
        <v>69.349999999999994</v>
      </c>
      <c r="AE5" s="339">
        <v>68.75</v>
      </c>
      <c r="AF5" s="339">
        <v>70.16</v>
      </c>
      <c r="AH5" s="164">
        <v>65</v>
      </c>
      <c r="AO5" s="74"/>
      <c r="AP5" s="74"/>
      <c r="AQ5" s="74"/>
      <c r="AR5" s="74"/>
      <c r="AS5" s="74"/>
      <c r="AT5" s="74"/>
      <c r="AU5" s="74"/>
      <c r="AV5" s="241"/>
      <c r="AW5" s="241"/>
      <c r="AX5" s="241"/>
      <c r="AY5" s="241"/>
      <c r="AZ5" s="241"/>
      <c r="BA5" s="241"/>
      <c r="BB5" s="241"/>
      <c r="BC5" s="241"/>
      <c r="BD5" s="241"/>
      <c r="BE5" s="74"/>
      <c r="BF5" s="74"/>
      <c r="BG5" s="74"/>
      <c r="BH5" s="74"/>
      <c r="BI5" s="74"/>
      <c r="BJ5" s="74"/>
      <c r="BK5" s="74"/>
      <c r="BL5" s="74"/>
      <c r="BM5" s="74"/>
    </row>
    <row r="6" spans="1:66" ht="15.75" customHeight="1" thickBot="1" x14ac:dyDescent="0.45">
      <c r="B6" s="54"/>
      <c r="N6" s="414" t="s">
        <v>167</v>
      </c>
      <c r="O6" s="415"/>
      <c r="R6" s="74"/>
      <c r="S6" s="161"/>
      <c r="T6" s="161"/>
      <c r="U6" s="241"/>
      <c r="X6" s="302"/>
      <c r="Y6" s="302"/>
      <c r="Z6" s="314"/>
      <c r="AA6" s="314"/>
      <c r="AB6" s="164"/>
      <c r="AC6" s="164" t="s">
        <v>247</v>
      </c>
      <c r="AD6" s="339">
        <v>72.739999999999995</v>
      </c>
      <c r="AE6" s="339">
        <v>72.27</v>
      </c>
      <c r="AF6" s="339">
        <v>73.88</v>
      </c>
      <c r="AH6" s="269">
        <v>70</v>
      </c>
      <c r="AI6" s="285"/>
      <c r="AO6" s="74"/>
      <c r="AP6" s="74"/>
      <c r="AQ6" s="74"/>
      <c r="AR6" s="74"/>
      <c r="AS6" s="74"/>
      <c r="AT6" s="74"/>
      <c r="AU6" s="74"/>
      <c r="AV6" s="241"/>
      <c r="AW6" s="241"/>
      <c r="AX6" s="241"/>
      <c r="AY6" s="241"/>
      <c r="AZ6" s="241"/>
      <c r="BA6" s="241"/>
      <c r="BB6" s="241"/>
      <c r="BC6" s="241"/>
      <c r="BD6" s="241"/>
      <c r="BE6" s="74"/>
      <c r="BF6" s="74"/>
      <c r="BG6" s="74"/>
      <c r="BH6" s="74"/>
      <c r="BI6" s="74"/>
      <c r="BJ6" s="74"/>
      <c r="BK6" s="74"/>
      <c r="BL6" s="74"/>
      <c r="BM6" s="74"/>
    </row>
    <row r="7" spans="1:66" ht="18" customHeight="1" x14ac:dyDescent="0.5">
      <c r="B7" s="52" t="s">
        <v>165</v>
      </c>
      <c r="D7" s="37"/>
      <c r="R7" s="74"/>
      <c r="S7" s="161"/>
      <c r="T7" s="161"/>
      <c r="U7" s="241"/>
      <c r="X7" s="302"/>
      <c r="Y7" s="302"/>
      <c r="Z7" s="314"/>
      <c r="AA7" s="314"/>
      <c r="AB7" s="164"/>
      <c r="AC7" s="164" t="s">
        <v>248</v>
      </c>
      <c r="AD7" s="339">
        <v>76.489999999999995</v>
      </c>
      <c r="AE7" s="339">
        <v>75.53</v>
      </c>
      <c r="AF7" s="339">
        <v>77.44</v>
      </c>
      <c r="AH7" s="269">
        <v>75</v>
      </c>
      <c r="AO7" s="74"/>
      <c r="AP7" s="74"/>
      <c r="AQ7" s="74"/>
      <c r="AR7" s="74"/>
      <c r="AS7" s="74"/>
      <c r="AT7" s="74"/>
      <c r="AU7" s="74"/>
      <c r="AV7" s="241"/>
      <c r="AW7" s="241"/>
      <c r="AX7" s="241"/>
      <c r="AY7" s="241"/>
      <c r="AZ7" s="241"/>
      <c r="BA7" s="241"/>
      <c r="BB7" s="241"/>
      <c r="BC7" s="241"/>
      <c r="BD7" s="241"/>
      <c r="BE7" s="241"/>
      <c r="BF7" s="241"/>
      <c r="BG7" s="241"/>
      <c r="BH7" s="241"/>
      <c r="BI7" s="241"/>
      <c r="BJ7" s="241"/>
      <c r="BK7" s="241"/>
      <c r="BL7" s="241"/>
      <c r="BM7" s="241"/>
      <c r="BN7" s="241"/>
    </row>
    <row r="8" spans="1:66" ht="13.5" customHeight="1" thickBot="1" x14ac:dyDescent="0.55000000000000004">
      <c r="C8" s="37"/>
      <c r="D8" s="37"/>
      <c r="R8" s="74"/>
      <c r="S8" s="161"/>
      <c r="T8" s="161"/>
      <c r="U8" s="241"/>
      <c r="X8" s="302"/>
      <c r="Y8" s="302"/>
      <c r="Z8" s="314"/>
      <c r="AA8" s="314"/>
      <c r="AB8" s="164"/>
      <c r="AC8" s="164" t="s">
        <v>249</v>
      </c>
      <c r="AD8" s="339">
        <v>79.260000000000005</v>
      </c>
      <c r="AE8" s="339">
        <v>78.680000000000007</v>
      </c>
      <c r="AF8" s="339">
        <v>80.180000000000007</v>
      </c>
      <c r="AH8" s="269">
        <v>80</v>
      </c>
      <c r="AO8" s="74"/>
      <c r="AP8" s="74"/>
      <c r="AQ8" s="74"/>
      <c r="AR8" s="74"/>
      <c r="AS8" s="74"/>
      <c r="AT8" s="74"/>
      <c r="AU8" s="74"/>
      <c r="AV8" s="241"/>
      <c r="AW8" s="241"/>
      <c r="AX8" s="241"/>
      <c r="AY8" s="241"/>
      <c r="AZ8" s="241"/>
      <c r="BA8" s="241"/>
      <c r="BB8" s="241"/>
      <c r="BC8" s="241"/>
      <c r="BD8" s="241"/>
      <c r="BE8" s="241"/>
      <c r="BF8" s="241"/>
      <c r="BG8" s="241"/>
      <c r="BH8" s="241"/>
      <c r="BI8" s="241"/>
      <c r="BJ8" s="241"/>
      <c r="BK8" s="241"/>
      <c r="BL8" s="241"/>
      <c r="BM8" s="241"/>
      <c r="BN8" s="241"/>
    </row>
    <row r="9" spans="1:66" ht="41.25" customHeight="1" thickBot="1" x14ac:dyDescent="0.4">
      <c r="B9" s="420" t="s">
        <v>277</v>
      </c>
      <c r="C9" s="390"/>
      <c r="D9" s="390"/>
      <c r="E9" s="33"/>
      <c r="F9" s="33"/>
      <c r="G9" s="424" t="s">
        <v>151</v>
      </c>
      <c r="H9" s="425"/>
      <c r="I9" s="426"/>
      <c r="J9" s="43">
        <f>VLOOKUP($G$9,$X$1:X1:$Y$4,2,FALSE)</f>
        <v>0</v>
      </c>
      <c r="K9" s="43"/>
      <c r="N9" s="427"/>
      <c r="O9" s="427"/>
      <c r="R9" s="74"/>
      <c r="S9" s="161"/>
      <c r="T9" s="161"/>
      <c r="U9" s="241"/>
      <c r="X9" s="302"/>
      <c r="Y9" s="302"/>
      <c r="Z9" s="314"/>
      <c r="AA9" s="314"/>
      <c r="AB9" s="164"/>
      <c r="AC9" s="164" t="s">
        <v>250</v>
      </c>
      <c r="AD9" s="339">
        <v>82.87</v>
      </c>
      <c r="AE9" s="339">
        <v>82</v>
      </c>
      <c r="AF9" s="339">
        <v>85.04</v>
      </c>
      <c r="AH9" s="269">
        <v>85</v>
      </c>
      <c r="AO9" s="74"/>
      <c r="AP9" s="74"/>
      <c r="AQ9" s="74"/>
      <c r="AR9" s="74"/>
      <c r="AS9" s="74"/>
      <c r="AT9" s="74"/>
      <c r="AU9" s="74"/>
      <c r="AV9" s="241"/>
      <c r="AW9" s="241"/>
      <c r="AX9" s="241"/>
      <c r="AY9" s="241"/>
      <c r="AZ9" s="241"/>
      <c r="BA9" s="241"/>
      <c r="BB9" s="241"/>
      <c r="BC9" s="241"/>
      <c r="BD9" s="241"/>
      <c r="BE9" s="241"/>
      <c r="BF9" s="241"/>
      <c r="BG9" s="241"/>
      <c r="BH9" s="241"/>
      <c r="BI9" s="241"/>
      <c r="BJ9" s="241"/>
      <c r="BK9" s="241"/>
      <c r="BL9" s="241"/>
      <c r="BM9" s="241"/>
      <c r="BN9" s="241"/>
    </row>
    <row r="10" spans="1:66" x14ac:dyDescent="0.35">
      <c r="C10" s="36"/>
      <c r="D10" s="36"/>
      <c r="E10" s="36"/>
      <c r="F10" s="36"/>
      <c r="G10" s="36"/>
      <c r="H10" s="36"/>
      <c r="I10" s="36"/>
      <c r="J10" s="123"/>
      <c r="K10" s="123"/>
      <c r="L10" s="36"/>
      <c r="M10" s="36"/>
      <c r="N10" s="427"/>
      <c r="O10" s="427"/>
      <c r="P10" s="36"/>
      <c r="R10" s="74"/>
      <c r="S10" s="161"/>
      <c r="T10" s="161"/>
      <c r="U10" s="241"/>
      <c r="X10" s="302"/>
      <c r="Y10" s="302"/>
      <c r="Z10" s="314"/>
      <c r="AA10" s="314"/>
      <c r="AB10" s="164"/>
      <c r="AC10" s="164" t="s">
        <v>251</v>
      </c>
      <c r="AD10" s="339">
        <v>86.4</v>
      </c>
      <c r="AE10" s="339">
        <v>84.79</v>
      </c>
      <c r="AF10" s="339">
        <v>88.46</v>
      </c>
      <c r="AH10" s="269">
        <v>90</v>
      </c>
      <c r="AO10" s="74"/>
      <c r="AP10" s="74"/>
      <c r="AQ10" s="74"/>
      <c r="AR10" s="74"/>
      <c r="AS10" s="74"/>
      <c r="AT10" s="74"/>
      <c r="AU10" s="74"/>
      <c r="AV10" s="241"/>
      <c r="AW10" s="241"/>
      <c r="AX10" s="241"/>
      <c r="AY10" s="241"/>
      <c r="AZ10" s="241"/>
      <c r="BA10" s="241"/>
      <c r="BB10" s="241"/>
      <c r="BC10" s="241"/>
      <c r="BD10" s="241"/>
      <c r="BE10" s="241"/>
      <c r="BF10" s="241"/>
      <c r="BG10" s="241"/>
      <c r="BH10" s="241"/>
      <c r="BI10" s="241"/>
      <c r="BJ10" s="241"/>
      <c r="BK10" s="241"/>
      <c r="BL10" s="241"/>
      <c r="BM10" s="241"/>
      <c r="BN10" s="241"/>
    </row>
    <row r="11" spans="1:66" ht="18" customHeight="1" x14ac:dyDescent="0.5">
      <c r="B11" s="52" t="s">
        <v>48</v>
      </c>
      <c r="D11" s="41"/>
      <c r="H11" s="53"/>
      <c r="J11" s="43"/>
      <c r="K11" s="123"/>
      <c r="L11" s="36"/>
      <c r="M11" s="36"/>
      <c r="N11" s="44"/>
      <c r="O11" s="36"/>
      <c r="P11" s="36"/>
      <c r="Q11" s="36"/>
      <c r="R11" s="74"/>
      <c r="S11" s="161"/>
      <c r="T11" s="161"/>
      <c r="U11" s="241"/>
      <c r="X11" s="302"/>
      <c r="Y11" s="302"/>
      <c r="Z11" s="314"/>
      <c r="AA11" s="314"/>
      <c r="AB11" s="164"/>
      <c r="AC11" s="164" t="s">
        <v>252</v>
      </c>
      <c r="AD11" s="339">
        <v>89.04</v>
      </c>
      <c r="AE11" s="339">
        <v>88.03</v>
      </c>
      <c r="AF11" s="339">
        <v>90.38</v>
      </c>
      <c r="AH11" s="269">
        <v>95</v>
      </c>
      <c r="AO11" s="74"/>
      <c r="AP11" s="74"/>
      <c r="AQ11" s="74"/>
      <c r="AR11" s="74"/>
      <c r="AS11" s="74"/>
      <c r="AT11" s="74"/>
      <c r="AU11" s="74"/>
      <c r="AV11" s="241"/>
      <c r="AW11" s="241"/>
      <c r="AX11" s="241"/>
      <c r="AY11" s="241"/>
      <c r="AZ11" s="241"/>
      <c r="BA11" s="241"/>
      <c r="BB11" s="241"/>
      <c r="BC11" s="241"/>
      <c r="BD11" s="241"/>
      <c r="BE11" s="241"/>
      <c r="BF11" s="241"/>
      <c r="BG11" s="241"/>
      <c r="BH11" s="241"/>
      <c r="BI11" s="241"/>
      <c r="BJ11" s="241"/>
      <c r="BK11" s="241"/>
      <c r="BL11" s="241"/>
      <c r="BM11" s="241"/>
      <c r="BN11" s="241"/>
    </row>
    <row r="12" spans="1:66" ht="10.5" customHeight="1" thickBot="1" x14ac:dyDescent="0.45">
      <c r="B12" s="45"/>
      <c r="D12" s="34"/>
      <c r="J12" s="43"/>
      <c r="K12" s="123"/>
      <c r="L12" s="36"/>
      <c r="M12" s="36"/>
      <c r="N12" s="57"/>
      <c r="O12" s="36"/>
      <c r="P12" s="36"/>
      <c r="Q12" s="36"/>
      <c r="R12" s="74"/>
      <c r="S12" s="161"/>
      <c r="T12" s="161"/>
      <c r="U12" s="241"/>
      <c r="X12" s="302"/>
      <c r="Y12" s="302"/>
      <c r="Z12" s="314"/>
      <c r="AA12" s="314"/>
      <c r="AB12" s="164"/>
      <c r="AC12" s="164" t="s">
        <v>253</v>
      </c>
      <c r="AD12" s="339">
        <v>93.43</v>
      </c>
      <c r="AE12" s="339">
        <v>91.88</v>
      </c>
      <c r="AF12" s="339">
        <v>94.72</v>
      </c>
      <c r="AH12" s="269">
        <v>100</v>
      </c>
      <c r="AO12" s="74"/>
      <c r="AP12" s="74"/>
      <c r="AQ12" s="74"/>
      <c r="AR12" s="74"/>
      <c r="AS12" s="74"/>
      <c r="AT12" s="74"/>
      <c r="AU12" s="74"/>
      <c r="AV12" s="241"/>
      <c r="AW12" s="241"/>
      <c r="AX12" s="241"/>
      <c r="AY12" s="241"/>
      <c r="AZ12" s="241"/>
      <c r="BA12" s="241"/>
      <c r="BB12" s="241"/>
      <c r="BC12" s="241"/>
      <c r="BD12" s="241"/>
      <c r="BE12" s="241"/>
      <c r="BF12" s="241"/>
      <c r="BG12" s="241"/>
      <c r="BH12" s="241"/>
      <c r="BI12" s="241"/>
      <c r="BJ12" s="241"/>
      <c r="BK12" s="241"/>
      <c r="BL12" s="241"/>
      <c r="BM12" s="241"/>
      <c r="BN12" s="241"/>
    </row>
    <row r="13" spans="1:66" ht="18" customHeight="1" x14ac:dyDescent="0.35">
      <c r="B13" s="76" t="s">
        <v>47</v>
      </c>
      <c r="C13" s="1"/>
      <c r="G13" s="439" t="str">
        <f>IF(AND(G9=X2,ISNUMBER('KS2 Data Input'!E28)),'KS2 Data Input'!E28,IF(AND(G9=X3,ISNUMBER('KS2 Data Input'!G28)),'KS2 Data Input'!G28,IF(AND(G9=X4,ISNUMBER('KS2 Data Input'!K28)),'KS2 Data Input'!K28,IF(G9=X1,"Please select the progress measure you wish to use","Pupil excluded (invalid KS2)"))))</f>
        <v>Please select the progress measure you wish to use</v>
      </c>
      <c r="H13" s="440"/>
      <c r="I13" s="441"/>
      <c r="J13" s="163"/>
      <c r="K13" s="123"/>
      <c r="L13" s="36"/>
      <c r="M13" s="73"/>
      <c r="N13" s="416"/>
      <c r="O13" s="417"/>
      <c r="P13" s="36"/>
      <c r="Q13" s="36"/>
      <c r="R13" s="226"/>
      <c r="S13" s="161"/>
      <c r="T13" s="161"/>
      <c r="U13" s="241"/>
      <c r="X13" s="302"/>
      <c r="Y13" s="302"/>
      <c r="Z13" s="314"/>
      <c r="AA13" s="314"/>
      <c r="AB13" s="164"/>
      <c r="AC13" s="164" t="s">
        <v>254</v>
      </c>
      <c r="AD13" s="339">
        <v>95.69</v>
      </c>
      <c r="AE13" s="339">
        <v>93.7</v>
      </c>
      <c r="AF13" s="339">
        <v>97.59</v>
      </c>
      <c r="AH13" s="269">
        <v>105</v>
      </c>
      <c r="AO13" s="74"/>
      <c r="AP13" s="74"/>
      <c r="AQ13" s="74"/>
      <c r="AR13" s="74"/>
      <c r="AS13" s="74"/>
      <c r="AT13" s="74"/>
      <c r="AU13" s="74"/>
      <c r="AV13" s="241"/>
      <c r="AW13" s="241"/>
      <c r="AX13" s="241"/>
      <c r="AY13" s="241"/>
      <c r="AZ13" s="241"/>
      <c r="BA13" s="241"/>
      <c r="BB13" s="241"/>
      <c r="BC13" s="241"/>
      <c r="BD13" s="241"/>
      <c r="BE13" s="241"/>
      <c r="BF13" s="241"/>
      <c r="BG13" s="241"/>
      <c r="BH13" s="241"/>
      <c r="BI13" s="241"/>
      <c r="BJ13" s="241"/>
      <c r="BK13" s="241"/>
      <c r="BL13" s="241"/>
      <c r="BM13" s="241"/>
      <c r="BN13" s="241"/>
    </row>
    <row r="14" spans="1:66" ht="23.25" customHeight="1" thickBot="1" x14ac:dyDescent="0.55000000000000004">
      <c r="B14" s="76" t="s">
        <v>158</v>
      </c>
      <c r="C14" s="1"/>
      <c r="E14" s="32"/>
      <c r="F14" s="32"/>
      <c r="G14" s="442"/>
      <c r="H14" s="443"/>
      <c r="I14" s="444"/>
      <c r="K14" s="36"/>
      <c r="L14" s="36"/>
      <c r="M14" s="73"/>
      <c r="N14" s="418"/>
      <c r="O14" s="417"/>
      <c r="P14" s="36"/>
      <c r="Q14" s="36"/>
      <c r="R14" s="74"/>
      <c r="S14" s="161"/>
      <c r="T14" s="161"/>
      <c r="U14" s="241"/>
      <c r="X14" s="302"/>
      <c r="Y14" s="302"/>
      <c r="Z14" s="314"/>
      <c r="AA14" s="314"/>
      <c r="AB14" s="164"/>
      <c r="AC14" s="164" t="s">
        <v>255</v>
      </c>
      <c r="AD14" s="339">
        <v>97.68</v>
      </c>
      <c r="AE14" s="339">
        <v>96.36</v>
      </c>
      <c r="AF14" s="339">
        <v>98.66</v>
      </c>
      <c r="AH14" s="269">
        <v>110</v>
      </c>
      <c r="AO14" s="74"/>
      <c r="AP14" s="74"/>
      <c r="AQ14" s="74"/>
      <c r="AR14" s="74"/>
      <c r="AS14" s="74"/>
      <c r="AT14" s="74"/>
      <c r="AU14" s="74"/>
      <c r="AV14" s="241"/>
      <c r="AW14" s="241"/>
      <c r="AX14" s="241"/>
      <c r="AY14" s="241"/>
      <c r="AZ14" s="241"/>
      <c r="BA14" s="241"/>
      <c r="BB14" s="241"/>
      <c r="BC14" s="241"/>
      <c r="BD14" s="241"/>
      <c r="BE14" s="241"/>
      <c r="BF14" s="241"/>
      <c r="BG14" s="241"/>
      <c r="BH14" s="241"/>
      <c r="BI14" s="241"/>
      <c r="BJ14" s="241"/>
      <c r="BK14" s="241"/>
      <c r="BL14" s="241"/>
      <c r="BM14" s="241"/>
      <c r="BN14" s="241"/>
    </row>
    <row r="15" spans="1:66" ht="11.25" customHeight="1" x14ac:dyDescent="0.4">
      <c r="B15" s="76"/>
      <c r="C15" s="77"/>
      <c r="D15" s="33"/>
      <c r="G15" s="42"/>
      <c r="I15" s="42"/>
      <c r="J15" s="42"/>
      <c r="K15" s="36"/>
      <c r="L15" s="44"/>
      <c r="M15" s="36"/>
      <c r="N15" s="36"/>
      <c r="O15" s="36"/>
      <c r="P15" s="36"/>
      <c r="Q15" s="36"/>
      <c r="R15" s="74"/>
      <c r="S15" s="161"/>
      <c r="T15" s="161"/>
      <c r="U15" s="241"/>
      <c r="X15" s="302"/>
      <c r="Y15" s="302"/>
      <c r="Z15" s="314"/>
      <c r="AA15" s="314"/>
      <c r="AB15" s="164"/>
      <c r="AC15" s="164" t="s">
        <v>256</v>
      </c>
      <c r="AD15" s="339">
        <v>99.08</v>
      </c>
      <c r="AE15" s="339">
        <v>98.24</v>
      </c>
      <c r="AF15" s="339">
        <v>100.51</v>
      </c>
      <c r="AH15" s="269">
        <v>115</v>
      </c>
      <c r="AO15" s="74"/>
      <c r="AP15" s="74"/>
      <c r="AQ15" s="74"/>
      <c r="AR15" s="74"/>
      <c r="AS15" s="74"/>
      <c r="AT15" s="74"/>
      <c r="AU15" s="74"/>
      <c r="AV15" s="241"/>
      <c r="AW15" s="241"/>
      <c r="AX15" s="241"/>
      <c r="AY15" s="241"/>
      <c r="AZ15" s="241"/>
      <c r="BA15" s="241"/>
      <c r="BB15" s="241"/>
      <c r="BC15" s="241"/>
      <c r="BD15" s="241"/>
      <c r="BE15" s="241"/>
      <c r="BF15" s="241"/>
      <c r="BG15" s="241"/>
      <c r="BH15" s="241"/>
      <c r="BI15" s="241"/>
      <c r="BJ15" s="241"/>
      <c r="BK15" s="241"/>
      <c r="BL15" s="241"/>
      <c r="BM15" s="241"/>
      <c r="BN15" s="241"/>
    </row>
    <row r="16" spans="1:66" ht="12.75" customHeight="1" x14ac:dyDescent="0.4">
      <c r="D16" s="40"/>
      <c r="E16" s="35"/>
      <c r="F16" s="35"/>
      <c r="G16" s="42"/>
      <c r="I16" s="42"/>
      <c r="J16" s="42"/>
      <c r="R16" s="74"/>
      <c r="S16" s="161"/>
      <c r="T16" s="161"/>
      <c r="U16" s="241"/>
      <c r="X16" s="302"/>
      <c r="Y16" s="302"/>
      <c r="Z16" s="314"/>
      <c r="AA16" s="314"/>
      <c r="AB16" s="164"/>
      <c r="AC16" s="164" t="s">
        <v>257</v>
      </c>
      <c r="AD16" s="339">
        <v>100.56</v>
      </c>
      <c r="AE16" s="339">
        <v>99.1</v>
      </c>
      <c r="AF16" s="339">
        <v>101.79</v>
      </c>
      <c r="AH16" s="269">
        <v>120</v>
      </c>
      <c r="AO16" s="74"/>
      <c r="AP16" s="74"/>
      <c r="AQ16" s="74"/>
      <c r="AR16" s="74"/>
      <c r="AS16" s="74"/>
      <c r="AT16" s="74"/>
      <c r="AU16" s="74"/>
      <c r="AV16" s="241"/>
      <c r="AW16" s="241"/>
      <c r="AX16" s="241"/>
      <c r="AY16" s="241"/>
      <c r="AZ16" s="241"/>
      <c r="BA16" s="241"/>
      <c r="BB16" s="241"/>
      <c r="BC16" s="241"/>
      <c r="BD16" s="241"/>
      <c r="BE16" s="241"/>
      <c r="BF16" s="241"/>
      <c r="BG16" s="241"/>
      <c r="BH16" s="241"/>
      <c r="BI16" s="241"/>
      <c r="BJ16" s="241"/>
      <c r="BK16" s="241"/>
      <c r="BL16" s="241"/>
      <c r="BM16" s="241"/>
      <c r="BN16" s="241"/>
    </row>
    <row r="17" spans="2:66" ht="9" customHeight="1" x14ac:dyDescent="0.35">
      <c r="C17" s="36"/>
      <c r="D17" s="36"/>
      <c r="E17" s="36"/>
      <c r="F17" s="36"/>
      <c r="G17" s="36"/>
      <c r="I17" s="49"/>
      <c r="J17" s="50"/>
      <c r="K17" s="36"/>
      <c r="L17" s="86"/>
      <c r="M17" s="36"/>
      <c r="N17" s="36"/>
      <c r="O17" s="36"/>
      <c r="P17" s="36"/>
      <c r="R17" s="74"/>
      <c r="S17" s="161"/>
      <c r="T17" s="161"/>
      <c r="U17" s="241"/>
      <c r="X17" s="302"/>
      <c r="Y17" s="302"/>
      <c r="Z17" s="314"/>
      <c r="AA17" s="314"/>
      <c r="AB17" s="164"/>
      <c r="AC17" s="164" t="s">
        <v>258</v>
      </c>
      <c r="AD17" s="339">
        <v>101.64</v>
      </c>
      <c r="AE17" s="339">
        <v>100.9</v>
      </c>
      <c r="AF17" s="339">
        <v>102.73</v>
      </c>
      <c r="AH17" s="269">
        <v>125</v>
      </c>
      <c r="AO17" s="74"/>
      <c r="AP17" s="74"/>
      <c r="AQ17" s="74"/>
      <c r="AR17" s="74"/>
      <c r="AS17" s="74"/>
      <c r="AT17" s="74"/>
      <c r="AU17" s="74"/>
      <c r="AV17" s="241"/>
      <c r="AW17" s="241"/>
      <c r="AX17" s="241"/>
      <c r="AY17" s="241"/>
      <c r="AZ17" s="241"/>
      <c r="BA17" s="241"/>
      <c r="BB17" s="241"/>
      <c r="BC17" s="241"/>
      <c r="BD17" s="241"/>
      <c r="BE17" s="241"/>
      <c r="BF17" s="241"/>
      <c r="BG17" s="241"/>
      <c r="BH17" s="241"/>
      <c r="BI17" s="241"/>
      <c r="BJ17" s="241"/>
      <c r="BK17" s="241"/>
      <c r="BL17" s="241"/>
      <c r="BM17" s="241"/>
      <c r="BN17" s="241"/>
    </row>
    <row r="18" spans="2:66" ht="15" customHeight="1" x14ac:dyDescent="0.5">
      <c r="B18" s="56" t="s">
        <v>49</v>
      </c>
      <c r="D18" s="37"/>
      <c r="L18" s="36"/>
      <c r="M18" s="36"/>
      <c r="N18" s="36"/>
      <c r="O18" s="36"/>
      <c r="P18" s="36"/>
      <c r="R18" s="74"/>
      <c r="S18" s="161"/>
      <c r="T18" s="161"/>
      <c r="U18" s="241"/>
      <c r="X18" s="302"/>
      <c r="Y18" s="302"/>
      <c r="Z18" s="314"/>
      <c r="AA18" s="314"/>
      <c r="AB18" s="164"/>
      <c r="AC18" s="164" t="s">
        <v>259</v>
      </c>
      <c r="AD18" s="339">
        <v>103.7</v>
      </c>
      <c r="AE18" s="339">
        <v>101.97</v>
      </c>
      <c r="AF18" s="339">
        <v>103.56</v>
      </c>
      <c r="AH18" s="269">
        <v>130</v>
      </c>
      <c r="AO18" s="74"/>
      <c r="AP18" s="74"/>
      <c r="AQ18" s="74"/>
      <c r="AR18" s="74"/>
      <c r="AS18" s="74"/>
      <c r="AT18" s="74"/>
      <c r="AU18" s="74"/>
      <c r="AV18" s="241"/>
      <c r="AW18" s="241"/>
      <c r="AX18" s="241"/>
      <c r="AY18" s="241"/>
      <c r="AZ18" s="241"/>
      <c r="BA18" s="241"/>
      <c r="BB18" s="241"/>
      <c r="BC18" s="241"/>
      <c r="BD18" s="241"/>
      <c r="BE18" s="241"/>
      <c r="BF18" s="241"/>
      <c r="BG18" s="241"/>
      <c r="BH18" s="241"/>
      <c r="BI18" s="241"/>
      <c r="BJ18" s="241"/>
      <c r="BK18" s="241"/>
      <c r="BL18" s="241"/>
      <c r="BM18" s="241"/>
      <c r="BN18" s="241"/>
    </row>
    <row r="19" spans="2:66" ht="17.25" customHeight="1" x14ac:dyDescent="0.5">
      <c r="B19" s="38"/>
      <c r="E19" s="32"/>
      <c r="F19" s="32"/>
      <c r="R19" s="74"/>
      <c r="S19" s="161"/>
      <c r="T19" s="161"/>
      <c r="U19" s="241"/>
      <c r="X19" s="302"/>
      <c r="Y19" s="302"/>
      <c r="Z19" s="314"/>
      <c r="AA19" s="314"/>
      <c r="AB19" s="164"/>
      <c r="AC19" s="164" t="s">
        <v>260</v>
      </c>
      <c r="AD19" s="339">
        <v>103.7</v>
      </c>
      <c r="AE19" s="339">
        <v>102.46</v>
      </c>
      <c r="AF19" s="339">
        <v>105.1</v>
      </c>
      <c r="AH19" s="269"/>
      <c r="AO19" s="74"/>
      <c r="AP19" s="74"/>
      <c r="AQ19" s="74"/>
      <c r="AR19" s="74"/>
      <c r="AS19" s="74"/>
      <c r="AT19" s="74"/>
      <c r="AU19" s="74"/>
      <c r="AV19" s="241"/>
      <c r="AW19" s="241"/>
      <c r="AX19" s="241"/>
      <c r="AY19" s="241"/>
      <c r="AZ19" s="241"/>
      <c r="BA19" s="241"/>
      <c r="BB19" s="241"/>
      <c r="BC19" s="241"/>
      <c r="BD19" s="241"/>
      <c r="BE19" s="241"/>
      <c r="BF19" s="241"/>
      <c r="BG19" s="241"/>
      <c r="BH19" s="241"/>
      <c r="BI19" s="241"/>
      <c r="BJ19" s="241"/>
      <c r="BK19" s="241"/>
      <c r="BL19" s="241"/>
      <c r="BM19" s="241"/>
      <c r="BN19" s="241"/>
    </row>
    <row r="20" spans="2:66" ht="45" customHeight="1" x14ac:dyDescent="0.45">
      <c r="B20" s="419" t="s">
        <v>226</v>
      </c>
      <c r="C20" s="419"/>
      <c r="D20" s="419"/>
      <c r="E20" s="419"/>
      <c r="F20" s="419"/>
      <c r="G20" s="188"/>
      <c r="H20" s="188"/>
      <c r="I20" s="188"/>
      <c r="J20" s="188"/>
      <c r="K20" s="188"/>
      <c r="L20" s="36"/>
      <c r="M20" s="36"/>
      <c r="N20" s="36"/>
      <c r="O20" s="36"/>
      <c r="P20" s="36"/>
      <c r="R20" s="74"/>
      <c r="S20" s="161"/>
      <c r="T20" s="161"/>
      <c r="U20" s="241"/>
      <c r="X20" s="302"/>
      <c r="Y20" s="302"/>
      <c r="Z20" s="314"/>
      <c r="AA20" s="314"/>
      <c r="AB20" s="164"/>
      <c r="AC20" s="164" t="s">
        <v>261</v>
      </c>
      <c r="AD20" s="339">
        <v>105.31</v>
      </c>
      <c r="AE20" s="339">
        <v>103.06</v>
      </c>
      <c r="AF20" s="339">
        <v>106.09</v>
      </c>
      <c r="AH20" s="269"/>
      <c r="AO20" s="74"/>
      <c r="AP20" s="74"/>
      <c r="AQ20" s="74"/>
      <c r="AR20" s="74"/>
      <c r="AS20" s="74"/>
      <c r="AT20" s="74"/>
      <c r="AU20" s="74"/>
      <c r="AV20" s="241"/>
      <c r="AW20" s="241"/>
      <c r="AX20" s="241"/>
      <c r="AY20" s="241"/>
      <c r="AZ20" s="241"/>
      <c r="BA20" s="241"/>
      <c r="BB20" s="241"/>
      <c r="BC20" s="241"/>
      <c r="BD20" s="241"/>
      <c r="BE20" s="241"/>
      <c r="BF20" s="241"/>
      <c r="BG20" s="241"/>
      <c r="BH20" s="241"/>
      <c r="BI20" s="241"/>
      <c r="BJ20" s="241"/>
      <c r="BK20" s="241"/>
      <c r="BL20" s="241"/>
      <c r="BM20" s="241"/>
      <c r="BN20" s="241"/>
    </row>
    <row r="21" spans="2:66" ht="13.5" customHeight="1" thickBot="1" x14ac:dyDescent="0.5">
      <c r="B21" s="186"/>
      <c r="C21" s="186"/>
      <c r="D21" s="186"/>
      <c r="E21" s="186"/>
      <c r="F21" s="186"/>
      <c r="G21" s="188"/>
      <c r="H21" s="188"/>
      <c r="I21" s="188"/>
      <c r="J21" s="188"/>
      <c r="K21" s="188"/>
      <c r="L21" s="36"/>
      <c r="M21" s="36"/>
      <c r="N21" s="36"/>
      <c r="O21" s="36"/>
      <c r="P21" s="36"/>
      <c r="R21" s="74"/>
      <c r="S21" s="161"/>
      <c r="T21" s="161"/>
      <c r="U21" s="241"/>
      <c r="X21" s="302"/>
      <c r="Y21" s="302"/>
      <c r="Z21" s="314"/>
      <c r="AA21" s="314"/>
      <c r="AB21" s="164"/>
      <c r="AC21" s="164" t="s">
        <v>262</v>
      </c>
      <c r="AD21" s="339">
        <v>106.64</v>
      </c>
      <c r="AE21" s="339">
        <v>104.47</v>
      </c>
      <c r="AF21" s="339">
        <v>106.47</v>
      </c>
      <c r="AH21" s="269"/>
      <c r="AO21" s="74"/>
      <c r="AP21" s="74"/>
      <c r="AQ21" s="74"/>
      <c r="AR21" s="74"/>
      <c r="AS21" s="74"/>
      <c r="AT21" s="74"/>
      <c r="AU21" s="74"/>
      <c r="AV21" s="241"/>
      <c r="AW21" s="241"/>
      <c r="AX21" s="241"/>
      <c r="AY21" s="241"/>
      <c r="AZ21" s="241"/>
      <c r="BA21" s="241"/>
      <c r="BB21" s="241"/>
      <c r="BC21" s="241"/>
      <c r="BD21" s="241"/>
      <c r="BE21" s="241"/>
      <c r="BF21" s="241"/>
      <c r="BG21" s="241"/>
      <c r="BH21" s="241"/>
      <c r="BI21" s="241"/>
      <c r="BJ21" s="241"/>
      <c r="BK21" s="241"/>
      <c r="BL21" s="241"/>
      <c r="BM21" s="241"/>
      <c r="BN21" s="241"/>
    </row>
    <row r="22" spans="2:66" ht="45" customHeight="1" thickBot="1" x14ac:dyDescent="0.5">
      <c r="B22" s="431" t="s">
        <v>230</v>
      </c>
      <c r="C22" s="431"/>
      <c r="D22" s="431"/>
      <c r="E22" s="224" t="s">
        <v>222</v>
      </c>
      <c r="F22" s="186"/>
      <c r="G22" s="408" t="str">
        <f>IF('KS1 Data Input'!G27="Pupil excluded","Pupil excluded (invalid KS1)",'KS1 Data Input'!G29:I29)</f>
        <v>Pupil excluded (invalid KS1)</v>
      </c>
      <c r="H22" s="409"/>
      <c r="I22" s="410"/>
      <c r="J22" s="188"/>
      <c r="K22" s="188"/>
      <c r="L22" s="36"/>
      <c r="M22" s="36"/>
      <c r="N22" s="36"/>
      <c r="O22" s="36"/>
      <c r="P22" s="36"/>
      <c r="R22" s="207"/>
      <c r="S22" s="161"/>
      <c r="T22" s="161"/>
      <c r="U22" s="241"/>
      <c r="X22" s="302"/>
      <c r="Y22" s="302"/>
      <c r="Z22" s="314"/>
      <c r="AA22" s="314"/>
      <c r="AB22" s="164"/>
      <c r="AC22" s="164" t="s">
        <v>263</v>
      </c>
      <c r="AD22" s="339">
        <v>108</v>
      </c>
      <c r="AE22" s="339">
        <v>105.44</v>
      </c>
      <c r="AF22" s="339">
        <v>107.81</v>
      </c>
      <c r="AH22" s="269"/>
      <c r="AO22" s="74"/>
      <c r="AP22" s="74"/>
      <c r="AQ22" s="74"/>
      <c r="AR22" s="74"/>
      <c r="AS22" s="74"/>
      <c r="AT22" s="74"/>
      <c r="AU22" s="74"/>
      <c r="AV22" s="241"/>
      <c r="AW22" s="241"/>
      <c r="AX22" s="241"/>
      <c r="AY22" s="241"/>
      <c r="AZ22" s="241"/>
      <c r="BA22" s="241"/>
      <c r="BB22" s="241"/>
      <c r="BC22" s="241"/>
      <c r="BD22" s="241"/>
      <c r="BE22" s="241"/>
      <c r="BF22" s="241"/>
      <c r="BG22" s="241"/>
      <c r="BH22" s="241"/>
      <c r="BI22" s="241"/>
      <c r="BJ22" s="241"/>
      <c r="BK22" s="241"/>
      <c r="BL22" s="241"/>
      <c r="BM22" s="241"/>
      <c r="BN22" s="241"/>
    </row>
    <row r="23" spans="2:66" ht="11.25" customHeight="1" x14ac:dyDescent="0.45">
      <c r="B23" s="186"/>
      <c r="C23" s="186"/>
      <c r="D23" s="186"/>
      <c r="E23" s="186"/>
      <c r="F23" s="186"/>
      <c r="G23" s="188"/>
      <c r="H23" s="188"/>
      <c r="I23" s="188"/>
      <c r="J23" s="188"/>
      <c r="K23" s="188"/>
      <c r="L23" s="36"/>
      <c r="M23" s="36"/>
      <c r="N23" s="36"/>
      <c r="O23" s="36"/>
      <c r="P23" s="36"/>
      <c r="R23" s="74"/>
      <c r="S23" s="161"/>
      <c r="T23" s="161"/>
      <c r="U23" s="241"/>
      <c r="X23" s="302"/>
      <c r="Y23" s="302"/>
      <c r="Z23" s="314"/>
      <c r="AA23" s="314"/>
      <c r="AB23" s="164"/>
      <c r="AC23" s="164" t="s">
        <v>264</v>
      </c>
      <c r="AD23" s="339">
        <v>109</v>
      </c>
      <c r="AE23" s="339">
        <v>106.68</v>
      </c>
      <c r="AF23" s="339">
        <v>109</v>
      </c>
      <c r="AH23" s="269"/>
      <c r="AO23" s="74"/>
      <c r="AP23" s="74"/>
      <c r="AQ23" s="74"/>
      <c r="AR23" s="74"/>
      <c r="AS23" s="74"/>
      <c r="AT23" s="74"/>
      <c r="AU23" s="74"/>
      <c r="AV23" s="241"/>
      <c r="AW23" s="241"/>
      <c r="AX23" s="241"/>
      <c r="AY23" s="241"/>
      <c r="AZ23" s="241"/>
      <c r="BA23" s="241"/>
      <c r="BB23" s="241"/>
      <c r="BC23" s="241"/>
      <c r="BD23" s="241"/>
      <c r="BE23" s="241"/>
      <c r="BF23" s="241"/>
      <c r="BG23" s="241"/>
      <c r="BH23" s="241"/>
      <c r="BI23" s="241"/>
      <c r="BJ23" s="241"/>
      <c r="BK23" s="241"/>
      <c r="BL23" s="241"/>
      <c r="BM23" s="241"/>
      <c r="BN23" s="241"/>
    </row>
    <row r="24" spans="2:66" ht="9" customHeight="1" thickBot="1" x14ac:dyDescent="0.4">
      <c r="B24" s="38"/>
      <c r="L24" s="36"/>
      <c r="M24" s="36"/>
      <c r="N24" s="36"/>
      <c r="O24" s="36"/>
      <c r="P24" s="36"/>
      <c r="R24" s="74"/>
      <c r="S24" s="161"/>
      <c r="T24" s="161"/>
      <c r="U24" s="241"/>
      <c r="X24" s="302"/>
      <c r="Y24" s="302"/>
      <c r="Z24" s="302"/>
      <c r="AA24" s="302"/>
      <c r="AB24" s="164"/>
      <c r="AC24" s="164" t="s">
        <v>265</v>
      </c>
      <c r="AD24" s="339">
        <v>109.96</v>
      </c>
      <c r="AE24" s="339">
        <v>106.95</v>
      </c>
      <c r="AF24" s="339">
        <v>110.82</v>
      </c>
      <c r="AH24" s="269"/>
      <c r="AO24" s="74"/>
      <c r="AP24" s="74"/>
      <c r="AQ24" s="74"/>
      <c r="AR24" s="74"/>
      <c r="AS24" s="74"/>
      <c r="AT24" s="74"/>
      <c r="AU24" s="74"/>
      <c r="AV24" s="241"/>
      <c r="AW24" s="241"/>
      <c r="AX24" s="241"/>
      <c r="AY24" s="241"/>
      <c r="AZ24" s="241"/>
      <c r="BA24" s="241"/>
      <c r="BB24" s="241"/>
      <c r="BC24" s="241"/>
      <c r="BD24" s="241"/>
      <c r="BE24" s="241"/>
      <c r="BF24" s="241"/>
      <c r="BG24" s="241"/>
      <c r="BH24" s="241"/>
      <c r="BI24" s="241"/>
      <c r="BJ24" s="241"/>
      <c r="BK24" s="241"/>
      <c r="BL24" s="241"/>
      <c r="BM24" s="241"/>
      <c r="BN24" s="241"/>
    </row>
    <row r="25" spans="2:66" ht="42" customHeight="1" thickBot="1" x14ac:dyDescent="0.4">
      <c r="B25" s="51" t="s">
        <v>223</v>
      </c>
      <c r="E25" s="222" t="s">
        <v>222</v>
      </c>
      <c r="G25" s="421" t="str">
        <f>IF(G9=X2,VLOOKUP('KS1 Data Input'!G29:I29,AC3:AF26,2,FALSE),IF(G9=X3,VLOOKUP('KS1 Data Input'!G29:I29,AC3:AF26,3,FALSE),IF(G9=X4,VLOOKUP('KS1 Data Input'!G29:I29,AC3:AF26,4,FALSE),"Please select the progress measure you wish to use")))</f>
        <v>Please select the progress measure you wish to use</v>
      </c>
      <c r="H25" s="422"/>
      <c r="I25" s="423"/>
      <c r="L25" s="36"/>
      <c r="M25" s="36"/>
      <c r="N25" s="36"/>
      <c r="O25" s="36"/>
      <c r="P25" s="36"/>
      <c r="R25" s="74"/>
      <c r="S25" s="161"/>
      <c r="T25" s="161"/>
      <c r="U25" s="241"/>
      <c r="X25" s="302"/>
      <c r="Y25" s="302"/>
      <c r="Z25" s="302"/>
      <c r="AA25" s="302"/>
      <c r="AB25" s="164"/>
      <c r="AC25" s="164" t="s">
        <v>266</v>
      </c>
      <c r="AD25" s="339">
        <v>112.33</v>
      </c>
      <c r="AE25" s="339">
        <v>110.06</v>
      </c>
      <c r="AF25" s="339">
        <v>112.1</v>
      </c>
      <c r="AH25" s="269"/>
      <c r="AO25" s="74"/>
      <c r="AP25" s="74"/>
      <c r="AQ25" s="74"/>
      <c r="AR25" s="74"/>
      <c r="AS25" s="74"/>
      <c r="AT25" s="74"/>
      <c r="AU25" s="74"/>
      <c r="AV25" s="241"/>
      <c r="AW25" s="241"/>
      <c r="AX25" s="241"/>
      <c r="AY25" s="241"/>
      <c r="AZ25" s="241"/>
      <c r="BA25" s="241"/>
      <c r="BB25" s="241"/>
      <c r="BC25" s="241"/>
      <c r="BD25" s="241"/>
      <c r="BE25" s="241"/>
      <c r="BF25" s="241"/>
      <c r="BG25" s="241"/>
      <c r="BH25" s="241"/>
      <c r="BI25" s="241"/>
      <c r="BJ25" s="241"/>
      <c r="BK25" s="241"/>
      <c r="BL25" s="241"/>
      <c r="BM25" s="241"/>
      <c r="BN25" s="241"/>
    </row>
    <row r="26" spans="2:66" ht="13.5" customHeight="1" x14ac:dyDescent="0.35">
      <c r="B26" s="38"/>
      <c r="H26" s="162" t="str">
        <f>IF(ISERROR(ROUND(#REF!+#REF!+#REF!+#REF!+#REF!+#REF!,6)),"",ROUND(#REF!+#REF!+#REF!+#REF!+#REF!+#REF!,6))</f>
        <v/>
      </c>
      <c r="J26" s="161"/>
      <c r="L26" s="36"/>
      <c r="M26" s="36"/>
      <c r="N26" s="36"/>
      <c r="O26" s="36"/>
      <c r="P26" s="36"/>
      <c r="T26" s="161"/>
      <c r="U26" s="241"/>
      <c r="X26" s="302"/>
      <c r="Y26" s="302"/>
      <c r="Z26" s="302"/>
      <c r="AA26" s="302"/>
      <c r="AB26" s="164"/>
      <c r="AC26" s="164" t="s">
        <v>267</v>
      </c>
      <c r="AD26" s="339">
        <v>115.46</v>
      </c>
      <c r="AE26" s="339">
        <v>111.74</v>
      </c>
      <c r="AF26" s="339">
        <v>115.57</v>
      </c>
      <c r="AH26" s="269"/>
      <c r="AO26" s="74"/>
      <c r="AP26" s="74"/>
      <c r="AQ26" s="74"/>
      <c r="AR26" s="74"/>
      <c r="AS26" s="74"/>
      <c r="AT26" s="74"/>
      <c r="AU26" s="74"/>
      <c r="AV26" s="241"/>
      <c r="AW26" s="241"/>
      <c r="AX26" s="241"/>
      <c r="AY26" s="241"/>
      <c r="AZ26" s="241"/>
      <c r="BA26" s="241"/>
      <c r="BB26" s="241"/>
      <c r="BC26" s="241"/>
      <c r="BD26" s="241"/>
      <c r="BE26" s="241"/>
      <c r="BF26" s="241"/>
      <c r="BG26" s="241"/>
      <c r="BH26" s="241"/>
      <c r="BI26" s="241"/>
      <c r="BJ26" s="241"/>
      <c r="BK26" s="241"/>
      <c r="BL26" s="241"/>
      <c r="BM26" s="241"/>
      <c r="BN26" s="241"/>
    </row>
    <row r="27" spans="2:66" ht="15" customHeight="1" x14ac:dyDescent="0.5">
      <c r="B27" s="165" t="s">
        <v>159</v>
      </c>
      <c r="C27" s="36"/>
      <c r="D27" s="36"/>
      <c r="E27" s="36"/>
      <c r="F27" s="36"/>
      <c r="G27" s="36"/>
      <c r="H27" s="36"/>
      <c r="I27" s="36"/>
      <c r="L27" s="36"/>
      <c r="M27" s="36"/>
      <c r="N27" s="36"/>
      <c r="O27" s="36"/>
      <c r="P27" s="36"/>
      <c r="T27" s="161"/>
      <c r="U27" s="241"/>
      <c r="X27" s="286"/>
      <c r="Y27" s="286"/>
      <c r="Z27" s="286"/>
      <c r="AA27" s="286"/>
      <c r="AD27" s="299"/>
      <c r="AE27" s="299"/>
      <c r="AF27" s="299"/>
      <c r="AH27" s="207"/>
      <c r="AI27" s="74"/>
      <c r="AO27" s="74"/>
      <c r="AP27" s="74"/>
      <c r="AQ27" s="74"/>
      <c r="AR27" s="74"/>
      <c r="AS27" s="74"/>
      <c r="AT27" s="74"/>
      <c r="AU27" s="74"/>
      <c r="AV27" s="241"/>
      <c r="AW27" s="241"/>
      <c r="AX27" s="241"/>
      <c r="AY27" s="241"/>
      <c r="AZ27" s="241"/>
      <c r="BA27" s="241"/>
      <c r="BB27" s="241"/>
      <c r="BC27" s="241"/>
      <c r="BD27" s="241"/>
      <c r="BE27" s="241"/>
      <c r="BF27" s="241"/>
      <c r="BG27" s="241"/>
      <c r="BH27" s="241"/>
      <c r="BI27" s="241"/>
      <c r="BJ27" s="241"/>
      <c r="BK27" s="241"/>
      <c r="BL27" s="241"/>
      <c r="BM27" s="241"/>
      <c r="BN27" s="241"/>
    </row>
    <row r="28" spans="2:66" ht="18.75" customHeight="1" thickBot="1" x14ac:dyDescent="0.4">
      <c r="B28" s="42"/>
      <c r="C28" s="36"/>
      <c r="D28" s="36"/>
      <c r="E28" s="36"/>
      <c r="F28" s="36"/>
      <c r="G28" s="36"/>
      <c r="H28" s="36"/>
      <c r="I28" s="36"/>
      <c r="L28" s="36"/>
      <c r="M28" s="36"/>
      <c r="N28" s="36"/>
      <c r="O28" s="36"/>
      <c r="P28" s="36"/>
      <c r="T28" s="161"/>
      <c r="U28" s="241"/>
      <c r="X28" s="286"/>
      <c r="Y28" s="286"/>
      <c r="Z28" s="286"/>
      <c r="AA28" s="286"/>
      <c r="AD28" s="299"/>
      <c r="AE28" s="299"/>
      <c r="AF28" s="299"/>
      <c r="AH28" s="269"/>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row>
    <row r="29" spans="2:66" ht="42" customHeight="1" thickBot="1" x14ac:dyDescent="0.45">
      <c r="B29" s="430" t="s">
        <v>224</v>
      </c>
      <c r="C29" s="430"/>
      <c r="D29" s="430"/>
      <c r="E29" s="223" t="s">
        <v>222</v>
      </c>
      <c r="F29" s="36"/>
      <c r="G29" s="411" t="str">
        <f>IF(ISERROR(ROUND((G13-G25),2)),"Pupil excluded",
                           ROUND((G13-G25),2))</f>
        <v>Pupil excluded</v>
      </c>
      <c r="H29" s="412"/>
      <c r="I29" s="413"/>
      <c r="L29" s="36"/>
      <c r="M29" s="36"/>
      <c r="N29" s="375" t="s">
        <v>39</v>
      </c>
      <c r="O29" s="376"/>
      <c r="P29" s="211"/>
      <c r="T29" s="161"/>
      <c r="U29" s="241"/>
      <c r="AD29" s="299"/>
      <c r="AE29" s="299"/>
      <c r="AF29" s="299"/>
      <c r="AH29" s="269"/>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row>
    <row r="30" spans="2:66" ht="18.75" customHeight="1" thickBot="1" x14ac:dyDescent="0.45">
      <c r="B30" s="36"/>
      <c r="C30" s="36"/>
      <c r="D30" s="36"/>
      <c r="E30" s="36"/>
      <c r="F30" s="36"/>
      <c r="G30" s="36"/>
      <c r="H30" s="36"/>
      <c r="I30" s="36"/>
      <c r="L30" s="36"/>
      <c r="M30" s="36"/>
      <c r="N30" s="379"/>
      <c r="O30" s="380"/>
      <c r="P30" s="211"/>
      <c r="T30" s="161"/>
      <c r="U30" s="241"/>
      <c r="AD30" s="300"/>
      <c r="AE30" s="300"/>
      <c r="AF30" s="300"/>
      <c r="AH30" s="269"/>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row>
    <row r="31" spans="2:66" ht="35.25" customHeight="1" thickBot="1" x14ac:dyDescent="0.4">
      <c r="B31" s="429" t="s">
        <v>297</v>
      </c>
      <c r="C31" s="430"/>
      <c r="D31" s="430"/>
      <c r="G31" s="428" t="str">
        <f>IF(ISNUMBER($G$29),IF(G9=X2,VLOOKUP("Y",'All Measures Ready Reckoner'!$AA$3:$AK$26,9,FALSE),IF(G9=X3,VLOOKUP("Y",'All Measures Ready Reckoner'!$AA$3:$AK$26,10,FALSE),IF(G9=X4,VLOOKUP("Y",'All Measures Ready Reckoner'!$AA$3:$AK$26,11,FALSE)))),"Pupil excluded")</f>
        <v>Pupil excluded</v>
      </c>
      <c r="H31" s="412"/>
      <c r="I31" s="413"/>
      <c r="L31" s="36"/>
      <c r="M31" s="36"/>
      <c r="N31" s="36"/>
      <c r="O31" s="36"/>
      <c r="P31" s="36"/>
      <c r="T31" s="161"/>
      <c r="U31" s="241"/>
      <c r="AD31" s="300"/>
      <c r="AE31" s="300"/>
      <c r="AF31" s="300"/>
      <c r="AH31" s="269"/>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row>
    <row r="32" spans="2:66" ht="18.75" customHeight="1" x14ac:dyDescent="0.35">
      <c r="L32" s="36"/>
      <c r="M32" s="36"/>
      <c r="N32" s="36"/>
      <c r="O32" s="36"/>
      <c r="P32" s="36"/>
      <c r="T32" s="161"/>
      <c r="U32" s="241"/>
      <c r="AH32" s="269"/>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row>
    <row r="33" spans="11:66" ht="15" customHeight="1" x14ac:dyDescent="0.35">
      <c r="L33" s="36"/>
      <c r="M33" s="36"/>
      <c r="N33" s="36"/>
      <c r="O33" s="36"/>
      <c r="P33" s="36"/>
      <c r="T33" s="161"/>
      <c r="U33" s="241"/>
      <c r="AH33" s="269"/>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row>
    <row r="34" spans="11:66" ht="18.75" customHeight="1" x14ac:dyDescent="0.35">
      <c r="L34" s="36"/>
      <c r="M34" s="36"/>
      <c r="N34" s="36"/>
      <c r="O34" s="36"/>
      <c r="P34" s="36"/>
      <c r="T34" s="161"/>
      <c r="U34" s="241"/>
      <c r="AH34" s="269"/>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row>
    <row r="35" spans="11:66" ht="15" customHeight="1" x14ac:dyDescent="0.35">
      <c r="L35" s="36"/>
      <c r="M35" s="36"/>
      <c r="N35" s="36"/>
      <c r="O35" s="36"/>
      <c r="P35" s="36"/>
      <c r="T35" s="161"/>
      <c r="U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row>
    <row r="36" spans="11:66" ht="18.75" customHeight="1" x14ac:dyDescent="0.35">
      <c r="L36" s="36"/>
      <c r="M36" s="36"/>
      <c r="N36" s="36"/>
      <c r="O36" s="36"/>
      <c r="P36" s="36"/>
      <c r="T36" s="161"/>
      <c r="U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row>
    <row r="37" spans="11:66" ht="6" customHeight="1" x14ac:dyDescent="0.35">
      <c r="L37" s="36"/>
      <c r="M37" s="36"/>
      <c r="N37" s="36"/>
      <c r="O37" s="36"/>
      <c r="P37" s="36"/>
      <c r="T37" s="161"/>
      <c r="U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row>
    <row r="38" spans="11:66" ht="11.25" customHeight="1" x14ac:dyDescent="0.35">
      <c r="L38" s="36"/>
      <c r="M38" s="36"/>
      <c r="N38" s="36"/>
      <c r="O38" s="36"/>
      <c r="P38" s="36"/>
      <c r="T38" s="161"/>
      <c r="U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row>
    <row r="39" spans="11:66" ht="1.5" customHeight="1" x14ac:dyDescent="0.35">
      <c r="L39" s="36"/>
      <c r="M39" s="36"/>
      <c r="N39" s="36"/>
      <c r="O39" s="36"/>
      <c r="P39" s="36"/>
      <c r="T39" s="161"/>
      <c r="U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row>
    <row r="40" spans="11:66" ht="24" customHeight="1" x14ac:dyDescent="0.35">
      <c r="L40" s="36"/>
      <c r="M40" s="36"/>
      <c r="N40" s="36"/>
      <c r="O40" s="36"/>
      <c r="P40" s="36"/>
      <c r="T40" s="161"/>
      <c r="U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row>
    <row r="41" spans="11:66" ht="9.75" customHeight="1" x14ac:dyDescent="0.35">
      <c r="T41" s="161"/>
      <c r="U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row>
    <row r="42" spans="11:66" ht="24" customHeight="1" x14ac:dyDescent="0.35">
      <c r="M42" s="36"/>
      <c r="T42" s="161"/>
      <c r="U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row>
    <row r="43" spans="11:66" ht="9" customHeight="1" x14ac:dyDescent="0.35">
      <c r="K43" s="70"/>
      <c r="M43" s="36"/>
      <c r="T43" s="161"/>
      <c r="U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row>
    <row r="44" spans="11:66" ht="21" customHeight="1" x14ac:dyDescent="0.35">
      <c r="L44" s="1"/>
      <c r="M44" s="36"/>
      <c r="T44" s="161"/>
      <c r="U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row>
    <row r="45" spans="11:66" ht="15" customHeight="1" x14ac:dyDescent="0.35">
      <c r="L45" s="1"/>
      <c r="M45" s="36"/>
      <c r="T45" s="161"/>
      <c r="U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row>
    <row r="46" spans="11:66" ht="5.25" customHeight="1" x14ac:dyDescent="0.35">
      <c r="U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row>
    <row r="47" spans="11:66" ht="3" customHeight="1" x14ac:dyDescent="0.35">
      <c r="U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row>
  </sheetData>
  <sheetProtection password="DE3F" sheet="1" objects="1" scenarios="1" selectLockedCells="1"/>
  <dataConsolidate/>
  <customSheetViews>
    <customSheetView guid="{377A32C9-D8CF-4808-9C50-3AB68474CE61}" scale="85" showGridLines="0" fitToPage="1">
      <selection activeCell="T10" sqref="T10"/>
      <rowBreaks count="1" manualBreakCount="1">
        <brk id="44" max="16383" man="1"/>
      </rowBreaks>
      <pageMargins left="0.75" right="0.75" top="1" bottom="1" header="0.5" footer="0.5"/>
      <pageSetup paperSize="9" scale="65" orientation="landscape" r:id="rId1"/>
      <headerFooter alignWithMargins="0"/>
    </customSheetView>
  </customSheetViews>
  <mergeCells count="19">
    <mergeCell ref="G31:I31"/>
    <mergeCell ref="B31:D31"/>
    <mergeCell ref="B29:D29"/>
    <mergeCell ref="B22:D22"/>
    <mergeCell ref="N29:O30"/>
    <mergeCell ref="N2:O2"/>
    <mergeCell ref="N3:O3"/>
    <mergeCell ref="N4:O4"/>
    <mergeCell ref="N5:O5"/>
    <mergeCell ref="G13:I14"/>
    <mergeCell ref="G22:I22"/>
    <mergeCell ref="G29:I29"/>
    <mergeCell ref="N6:O6"/>
    <mergeCell ref="N13:O14"/>
    <mergeCell ref="B20:F20"/>
    <mergeCell ref="B9:D9"/>
    <mergeCell ref="G25:I25"/>
    <mergeCell ref="G9:I9"/>
    <mergeCell ref="N9:O10"/>
  </mergeCells>
  <phoneticPr fontId="4" type="noConversion"/>
  <conditionalFormatting sqref="G13">
    <cfRule type="cellIs" dxfId="6" priority="5" stopIfTrue="1" operator="equal">
      <formula>"Pupil excluded (invalid KS2)"</formula>
    </cfRule>
  </conditionalFormatting>
  <conditionalFormatting sqref="G22:I22">
    <cfRule type="cellIs" dxfId="5" priority="3" stopIfTrue="1" operator="equal">
      <formula>"Pupil excluded (invalid KS1)"</formula>
    </cfRule>
  </conditionalFormatting>
  <conditionalFormatting sqref="G29:I29">
    <cfRule type="cellIs" dxfId="4" priority="2" stopIfTrue="1" operator="equal">
      <formula>"Pupil excluded"</formula>
    </cfRule>
  </conditionalFormatting>
  <conditionalFormatting sqref="G31:I31">
    <cfRule type="cellIs" dxfId="3" priority="1" stopIfTrue="1" operator="equal">
      <formula>"Pupil excluded"</formula>
    </cfRule>
  </conditionalFormatting>
  <dataValidations count="1">
    <dataValidation type="list" allowBlank="1" showInputMessage="1" showErrorMessage="1" sqref="G9:I9">
      <formula1>$X$1:$X$4</formula1>
    </dataValidation>
  </dataValidations>
  <hyperlinks>
    <hyperlink ref="N29:N30" location="'1 Measure Ready Reckoner'!A1" display="To Single Measure Ready Reckoner  ---&gt;"/>
    <hyperlink ref="N29:O30" location="'All Measures Ready Reckoner'!A1" display="To All Measures Ready Reckoner  ---&gt;"/>
  </hyperlinks>
  <pageMargins left="0.75" right="0.75" top="1" bottom="1" header="0.5" footer="0.5"/>
  <pageSetup paperSize="9" scale="65" orientation="landscape" r:id="rId2"/>
  <headerFooter alignWithMargins="0"/>
  <rowBreaks count="1" manualBreakCount="1">
    <brk id="46" max="1638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8"/>
    <pageSetUpPr fitToPage="1"/>
  </sheetPr>
  <dimension ref="A1:AR40"/>
  <sheetViews>
    <sheetView showGridLines="0" showRowColHeaders="0" workbookViewId="0"/>
  </sheetViews>
  <sheetFormatPr defaultRowHeight="13.15" x14ac:dyDescent="0.4"/>
  <cols>
    <col min="1" max="1" width="1.73046875" customWidth="1"/>
    <col min="2" max="2" width="35.86328125" customWidth="1"/>
    <col min="3" max="3" width="8.73046875" customWidth="1"/>
    <col min="4" max="4" width="19.73046875" customWidth="1"/>
    <col min="5" max="5" width="11.1328125" customWidth="1"/>
    <col min="6" max="6" width="19.73046875" customWidth="1"/>
    <col min="7" max="7" width="11.1328125" style="131" customWidth="1"/>
    <col min="8" max="8" width="19.73046875" customWidth="1"/>
    <col min="9" max="10" width="3.3984375" customWidth="1"/>
    <col min="12" max="12" width="11.59765625" customWidth="1"/>
    <col min="13" max="13" width="10.86328125" customWidth="1"/>
    <col min="14" max="14" width="7.86328125" customWidth="1"/>
    <col min="15" max="21" width="9.1328125" customWidth="1"/>
    <col min="23" max="23" width="10.59765625" style="74" bestFit="1" customWidth="1"/>
    <col min="24" max="24" width="9" style="249" customWidth="1"/>
    <col min="25" max="25" width="8" style="249" hidden="1" customWidth="1"/>
    <col min="26" max="26" width="7.59765625" style="249" hidden="1" customWidth="1"/>
    <col min="27" max="27" width="12.265625" style="249" hidden="1" customWidth="1"/>
    <col min="28" max="28" width="23.265625" style="249" hidden="1" customWidth="1"/>
    <col min="29" max="29" width="13" style="249" hidden="1" customWidth="1"/>
    <col min="30" max="30" width="16.73046875" style="249" hidden="1" customWidth="1"/>
    <col min="31" max="31" width="13.73046875" style="249" hidden="1" customWidth="1"/>
    <col min="32" max="34" width="7.59765625" style="249" hidden="1" customWidth="1"/>
    <col min="35" max="38" width="9" style="249" hidden="1" customWidth="1"/>
    <col min="39" max="39" width="9" style="74" hidden="1" customWidth="1"/>
    <col min="40" max="40" width="0" hidden="1" customWidth="1"/>
    <col min="41" max="41" width="11.73046875" hidden="1" customWidth="1"/>
  </cols>
  <sheetData>
    <row r="1" spans="1:44" ht="18" customHeight="1" thickBot="1" x14ac:dyDescent="0.45">
      <c r="A1" s="87" t="s">
        <v>320</v>
      </c>
      <c r="N1" s="74"/>
      <c r="O1" s="241"/>
      <c r="P1" s="241"/>
      <c r="Q1" s="241"/>
      <c r="R1" s="241"/>
      <c r="S1" s="241"/>
      <c r="T1" s="241"/>
      <c r="U1" s="241"/>
      <c r="V1" s="241"/>
      <c r="W1" s="270"/>
      <c r="X1" s="301"/>
      <c r="Y1" s="340" t="s">
        <v>284</v>
      </c>
      <c r="Z1" s="340"/>
      <c r="AA1" s="340"/>
      <c r="AB1" s="340"/>
      <c r="AC1" s="164"/>
      <c r="AD1" s="164"/>
      <c r="AE1" s="164"/>
      <c r="AF1" s="164" t="s">
        <v>283</v>
      </c>
      <c r="AG1" s="164"/>
      <c r="AH1" s="164"/>
      <c r="AI1" s="164"/>
      <c r="AJ1" s="164"/>
      <c r="AK1" s="164"/>
      <c r="AL1" s="164"/>
      <c r="AM1" s="164"/>
      <c r="AN1" s="164"/>
      <c r="AO1" s="164"/>
      <c r="AP1" s="241"/>
    </row>
    <row r="2" spans="1:44" ht="20.25" customHeight="1" thickBot="1" x14ac:dyDescent="0.55000000000000004">
      <c r="B2" s="20" t="s">
        <v>168</v>
      </c>
      <c r="H2" s="432" t="s">
        <v>27</v>
      </c>
      <c r="I2" s="449"/>
      <c r="J2" s="433"/>
      <c r="N2" s="74"/>
      <c r="O2" s="241"/>
      <c r="P2" s="241"/>
      <c r="Q2" s="241"/>
      <c r="R2" s="241"/>
      <c r="S2" s="241"/>
      <c r="T2" s="241"/>
      <c r="U2" s="241"/>
      <c r="V2" s="241"/>
      <c r="W2" s="270"/>
      <c r="X2" s="301"/>
      <c r="Y2" s="164" t="s">
        <v>91</v>
      </c>
      <c r="Z2" s="164" t="s">
        <v>92</v>
      </c>
      <c r="AA2" s="164" t="s">
        <v>152</v>
      </c>
      <c r="AB2" s="175" t="s">
        <v>182</v>
      </c>
      <c r="AC2" s="175" t="s">
        <v>148</v>
      </c>
      <c r="AD2" s="175" t="s">
        <v>149</v>
      </c>
      <c r="AE2" s="175" t="s">
        <v>150</v>
      </c>
      <c r="AF2" s="164" t="s">
        <v>67</v>
      </c>
      <c r="AG2" s="164" t="s">
        <v>279</v>
      </c>
      <c r="AH2" s="164" t="s">
        <v>12</v>
      </c>
      <c r="AI2" s="341" t="s">
        <v>280</v>
      </c>
      <c r="AJ2" s="341" t="s">
        <v>281</v>
      </c>
      <c r="AK2" s="341" t="s">
        <v>282</v>
      </c>
      <c r="AL2" s="164"/>
      <c r="AM2" s="164"/>
      <c r="AN2" s="164"/>
      <c r="AO2" s="164"/>
      <c r="AP2" s="241"/>
    </row>
    <row r="3" spans="1:44" thickBot="1" x14ac:dyDescent="0.4">
      <c r="G3" s="55"/>
      <c r="H3" s="452" t="s">
        <v>50</v>
      </c>
      <c r="I3" s="453"/>
      <c r="J3" s="454"/>
      <c r="N3" s="74"/>
      <c r="O3" s="241"/>
      <c r="P3" s="241"/>
      <c r="Q3" s="241"/>
      <c r="R3" s="241"/>
      <c r="S3" s="241"/>
      <c r="T3" s="241"/>
      <c r="U3" s="241"/>
      <c r="V3" s="241"/>
      <c r="W3" s="270"/>
      <c r="X3" s="301"/>
      <c r="Y3" s="164">
        <v>0.25</v>
      </c>
      <c r="Z3" s="164">
        <v>1.75</v>
      </c>
      <c r="AA3" s="164" t="str">
        <f>IF(AND('KS1 Data Input'!$G$27&gt;=Y3,'KS1 Data Input'!$G$27&lt;Z3),"Y","-")</f>
        <v>-</v>
      </c>
      <c r="AB3" s="342" t="s">
        <v>244</v>
      </c>
      <c r="AC3" s="343">
        <f>'Prior Attainment Groups (PAGs)'!E9</f>
        <v>61.82</v>
      </c>
      <c r="AD3" s="343">
        <f>'Prior Attainment Groups (PAGs)'!F9</f>
        <v>61.76</v>
      </c>
      <c r="AE3" s="343">
        <f>'Prior Attainment Groups (PAGs)'!G9</f>
        <v>62.11</v>
      </c>
      <c r="AF3" s="344"/>
      <c r="AG3" s="344"/>
      <c r="AH3" s="344"/>
      <c r="AI3" s="345" t="str">
        <f>$D$15</f>
        <v>Pupil excluded</v>
      </c>
      <c r="AJ3" s="345" t="str">
        <f>$F$15</f>
        <v>Pupil excluded</v>
      </c>
      <c r="AK3" s="345" t="str">
        <f>$H$15</f>
        <v>Pupil excluded</v>
      </c>
      <c r="AL3" s="164"/>
      <c r="AM3" s="164"/>
      <c r="AN3" s="164"/>
      <c r="AO3" s="164"/>
      <c r="AP3" s="241"/>
      <c r="AQ3" s="241"/>
      <c r="AR3" s="241"/>
    </row>
    <row r="4" spans="1:44" ht="15.4" thickBot="1" x14ac:dyDescent="0.45">
      <c r="B4" s="79" t="s">
        <v>170</v>
      </c>
      <c r="G4"/>
      <c r="H4" s="437" t="s">
        <v>23</v>
      </c>
      <c r="I4" s="445"/>
      <c r="J4" s="438"/>
      <c r="N4" s="74"/>
      <c r="O4" s="241"/>
      <c r="P4" s="241"/>
      <c r="Q4" s="241"/>
      <c r="R4" s="241"/>
      <c r="S4" s="241"/>
      <c r="T4" s="241"/>
      <c r="U4" s="241"/>
      <c r="V4" s="241"/>
      <c r="W4" s="91"/>
      <c r="X4" s="301"/>
      <c r="Y4" s="164">
        <v>1.75</v>
      </c>
      <c r="Z4" s="164">
        <v>2</v>
      </c>
      <c r="AA4" s="164" t="str">
        <f>IF(AND('KS1 Data Input'!$G$27&gt;=Y4,'KS1 Data Input'!$G$27&lt;Z4),"Y","-")</f>
        <v>-</v>
      </c>
      <c r="AB4" s="342" t="s">
        <v>245</v>
      </c>
      <c r="AC4" s="343">
        <f>'Prior Attainment Groups (PAGs)'!E10</f>
        <v>66.02</v>
      </c>
      <c r="AD4" s="343">
        <f>'Prior Attainment Groups (PAGs)'!F10</f>
        <v>65.58</v>
      </c>
      <c r="AE4" s="343">
        <f>'Prior Attainment Groups (PAGs)'!G10</f>
        <v>66.709999999999994</v>
      </c>
      <c r="AF4" s="344"/>
      <c r="AG4" s="344"/>
      <c r="AH4" s="344"/>
      <c r="AI4" s="345" t="str">
        <f t="shared" ref="AI4:AI9" si="0">$D$15</f>
        <v>Pupil excluded</v>
      </c>
      <c r="AJ4" s="345" t="str">
        <f t="shared" ref="AJ4:AJ9" si="1">$F$15</f>
        <v>Pupil excluded</v>
      </c>
      <c r="AK4" s="345" t="str">
        <f t="shared" ref="AK4:AK9" si="2">$H$15</f>
        <v>Pupil excluded</v>
      </c>
      <c r="AL4" s="164"/>
      <c r="AM4" s="164"/>
      <c r="AN4" s="164"/>
      <c r="AO4" s="164"/>
      <c r="AP4" s="241"/>
      <c r="AQ4" s="241"/>
      <c r="AR4" s="241"/>
    </row>
    <row r="5" spans="1:44" ht="15.4" thickBot="1" x14ac:dyDescent="0.45">
      <c r="B5" s="79" t="s">
        <v>171</v>
      </c>
      <c r="G5"/>
      <c r="H5" s="446" t="s">
        <v>167</v>
      </c>
      <c r="I5" s="447"/>
      <c r="J5" s="448"/>
      <c r="N5" s="74"/>
      <c r="O5" s="241"/>
      <c r="P5" s="241"/>
      <c r="Q5" s="241"/>
      <c r="R5" s="241"/>
      <c r="S5" s="241"/>
      <c r="T5" s="241"/>
      <c r="U5" s="241"/>
      <c r="V5" s="241"/>
      <c r="W5" s="91"/>
      <c r="X5" s="301"/>
      <c r="Y5" s="164">
        <v>2</v>
      </c>
      <c r="Z5" s="164">
        <v>2.25</v>
      </c>
      <c r="AA5" s="164" t="str">
        <f>IF(AND('KS1 Data Input'!$G$27&gt;=Y5,'KS1 Data Input'!$G$27&lt;Z5),"Y","-")</f>
        <v>-</v>
      </c>
      <c r="AB5" s="342" t="s">
        <v>246</v>
      </c>
      <c r="AC5" s="343">
        <f>'Prior Attainment Groups (PAGs)'!E11</f>
        <v>69.349999999999994</v>
      </c>
      <c r="AD5" s="343">
        <f>'Prior Attainment Groups (PAGs)'!F11</f>
        <v>68.75</v>
      </c>
      <c r="AE5" s="343">
        <f>'Prior Attainment Groups (PAGs)'!G11</f>
        <v>70.16</v>
      </c>
      <c r="AF5" s="344"/>
      <c r="AG5" s="344"/>
      <c r="AH5" s="344"/>
      <c r="AI5" s="345" t="str">
        <f t="shared" si="0"/>
        <v>Pupil excluded</v>
      </c>
      <c r="AJ5" s="345" t="str">
        <f t="shared" si="1"/>
        <v>Pupil excluded</v>
      </c>
      <c r="AK5" s="345" t="str">
        <f t="shared" si="2"/>
        <v>Pupil excluded</v>
      </c>
      <c r="AL5" s="164"/>
      <c r="AM5" s="164"/>
      <c r="AN5" s="164"/>
      <c r="AO5" s="164"/>
      <c r="AP5" s="241"/>
      <c r="AQ5" s="241"/>
      <c r="AR5" s="241"/>
    </row>
    <row r="6" spans="1:44" ht="18" customHeight="1" x14ac:dyDescent="0.4">
      <c r="N6" s="74"/>
      <c r="O6" s="241"/>
      <c r="P6" s="241"/>
      <c r="Q6" s="241"/>
      <c r="R6" s="241"/>
      <c r="S6" s="241"/>
      <c r="T6" s="241"/>
      <c r="U6" s="241"/>
      <c r="V6" s="241"/>
      <c r="W6" s="270"/>
      <c r="X6" s="301"/>
      <c r="Y6" s="164">
        <v>2.25</v>
      </c>
      <c r="Z6" s="164">
        <v>2.5</v>
      </c>
      <c r="AA6" s="164" t="str">
        <f>IF(AND('KS1 Data Input'!$G$27&gt;=Y6,'KS1 Data Input'!$G$27&lt;Z6),"Y","-")</f>
        <v>-</v>
      </c>
      <c r="AB6" s="342" t="s">
        <v>247</v>
      </c>
      <c r="AC6" s="343">
        <f>'Prior Attainment Groups (PAGs)'!E12</f>
        <v>72.739999999999995</v>
      </c>
      <c r="AD6" s="343">
        <f>'Prior Attainment Groups (PAGs)'!F12</f>
        <v>72.27</v>
      </c>
      <c r="AE6" s="343">
        <f>'Prior Attainment Groups (PAGs)'!G12</f>
        <v>73.88</v>
      </c>
      <c r="AF6" s="344"/>
      <c r="AG6" s="344"/>
      <c r="AH6" s="344"/>
      <c r="AI6" s="345" t="str">
        <f t="shared" si="0"/>
        <v>Pupil excluded</v>
      </c>
      <c r="AJ6" s="345" t="str">
        <f t="shared" si="1"/>
        <v>Pupil excluded</v>
      </c>
      <c r="AK6" s="345" t="str">
        <f t="shared" si="2"/>
        <v>Pupil excluded</v>
      </c>
      <c r="AL6" s="164"/>
      <c r="AM6" s="164"/>
      <c r="AN6" s="164"/>
      <c r="AO6" s="164"/>
      <c r="AP6" s="241"/>
      <c r="AQ6" s="241"/>
      <c r="AR6" s="241"/>
    </row>
    <row r="7" spans="1:44" x14ac:dyDescent="0.4">
      <c r="D7" s="38"/>
      <c r="E7" s="38"/>
      <c r="F7" s="38"/>
      <c r="G7" s="132"/>
      <c r="H7" s="38"/>
      <c r="I7" s="38"/>
      <c r="M7" s="72"/>
      <c r="N7" s="74"/>
      <c r="O7" s="241"/>
      <c r="P7" s="241"/>
      <c r="Q7" s="241"/>
      <c r="R7" s="241"/>
      <c r="S7" s="241"/>
      <c r="T7" s="241"/>
      <c r="U7" s="241"/>
      <c r="V7" s="241"/>
      <c r="W7" s="270"/>
      <c r="X7" s="301"/>
      <c r="Y7" s="164">
        <v>2.5</v>
      </c>
      <c r="Z7" s="164">
        <v>2.75</v>
      </c>
      <c r="AA7" s="164" t="str">
        <f>IF(AND('KS1 Data Input'!$G$27&gt;=Y7,'KS1 Data Input'!$G$27&lt;Z7),"Y","-")</f>
        <v>-</v>
      </c>
      <c r="AB7" s="342" t="s">
        <v>248</v>
      </c>
      <c r="AC7" s="343">
        <f>'Prior Attainment Groups (PAGs)'!E13</f>
        <v>76.489999999999995</v>
      </c>
      <c r="AD7" s="343">
        <f>'Prior Attainment Groups (PAGs)'!F13</f>
        <v>75.53</v>
      </c>
      <c r="AE7" s="343">
        <f>'Prior Attainment Groups (PAGs)'!G13</f>
        <v>77.44</v>
      </c>
      <c r="AF7" s="344"/>
      <c r="AG7" s="344"/>
      <c r="AH7" s="344"/>
      <c r="AI7" s="345" t="str">
        <f t="shared" si="0"/>
        <v>Pupil excluded</v>
      </c>
      <c r="AJ7" s="345" t="str">
        <f t="shared" si="1"/>
        <v>Pupil excluded</v>
      </c>
      <c r="AK7" s="345" t="str">
        <f t="shared" si="2"/>
        <v>Pupil excluded</v>
      </c>
      <c r="AL7" s="164"/>
      <c r="AM7" s="164"/>
      <c r="AN7" s="164"/>
      <c r="AO7" s="164"/>
      <c r="AP7" s="241"/>
      <c r="AQ7" s="241"/>
      <c r="AR7" s="241"/>
    </row>
    <row r="8" spans="1:44" ht="18.75" customHeight="1" thickBot="1" x14ac:dyDescent="0.45">
      <c r="M8" s="72"/>
      <c r="N8" s="74"/>
      <c r="O8" s="241"/>
      <c r="P8" s="241"/>
      <c r="Q8" s="241"/>
      <c r="R8" s="241"/>
      <c r="S8" s="241"/>
      <c r="T8" s="241"/>
      <c r="U8" s="241"/>
      <c r="V8" s="241"/>
      <c r="X8" s="301"/>
      <c r="Y8" s="164">
        <v>2.75</v>
      </c>
      <c r="Z8" s="164">
        <v>3</v>
      </c>
      <c r="AA8" s="164" t="str">
        <f>IF(AND('KS1 Data Input'!$G$27&gt;=Y8,'KS1 Data Input'!$G$27&lt;Z8),"Y","-")</f>
        <v>-</v>
      </c>
      <c r="AB8" s="342" t="s">
        <v>249</v>
      </c>
      <c r="AC8" s="343">
        <f>'Prior Attainment Groups (PAGs)'!E14</f>
        <v>79.260000000000005</v>
      </c>
      <c r="AD8" s="343">
        <f>'Prior Attainment Groups (PAGs)'!F14</f>
        <v>78.680000000000007</v>
      </c>
      <c r="AE8" s="343">
        <f>'Prior Attainment Groups (PAGs)'!G14</f>
        <v>80.180000000000007</v>
      </c>
      <c r="AF8" s="344"/>
      <c r="AG8" s="344"/>
      <c r="AH8" s="344"/>
      <c r="AI8" s="345" t="str">
        <f t="shared" si="0"/>
        <v>Pupil excluded</v>
      </c>
      <c r="AJ8" s="345" t="str">
        <f t="shared" si="1"/>
        <v>Pupil excluded</v>
      </c>
      <c r="AK8" s="345" t="str">
        <f t="shared" si="2"/>
        <v>Pupil excluded</v>
      </c>
      <c r="AL8" s="164"/>
      <c r="AM8" s="164"/>
      <c r="AN8" s="164"/>
      <c r="AO8" s="164"/>
      <c r="AP8" s="241"/>
      <c r="AQ8" s="241"/>
      <c r="AR8" s="241"/>
    </row>
    <row r="9" spans="1:44" ht="63.75" customHeight="1" thickBot="1" x14ac:dyDescent="0.45">
      <c r="C9" s="35"/>
      <c r="D9" s="80" t="s">
        <v>166</v>
      </c>
      <c r="E9" s="134"/>
      <c r="F9" s="80" t="s">
        <v>161</v>
      </c>
      <c r="G9" s="133"/>
      <c r="H9" s="80" t="s">
        <v>163</v>
      </c>
      <c r="I9" s="71"/>
      <c r="K9" s="88"/>
      <c r="L9" s="88"/>
      <c r="M9" s="88"/>
      <c r="N9" s="192"/>
      <c r="O9" s="259"/>
      <c r="P9" s="241"/>
      <c r="Q9" s="241"/>
      <c r="R9" s="241"/>
      <c r="S9" s="241"/>
      <c r="T9" s="241"/>
      <c r="U9" s="241"/>
      <c r="V9" s="241"/>
      <c r="Y9" s="164">
        <v>3</v>
      </c>
      <c r="Z9" s="164">
        <v>6</v>
      </c>
      <c r="AA9" s="164" t="str">
        <f>IF(AND('KS1 Data Input'!$G$27&gt;=Y9,'KS1 Data Input'!$G$27&lt;Z9),"Y","-")</f>
        <v>-</v>
      </c>
      <c r="AB9" s="342" t="s">
        <v>250</v>
      </c>
      <c r="AC9" s="343">
        <f>'Prior Attainment Groups (PAGs)'!E15</f>
        <v>82.87</v>
      </c>
      <c r="AD9" s="343">
        <f>'Prior Attainment Groups (PAGs)'!F15</f>
        <v>82</v>
      </c>
      <c r="AE9" s="343">
        <f>'Prior Attainment Groups (PAGs)'!G15</f>
        <v>85.04</v>
      </c>
      <c r="AF9" s="344"/>
      <c r="AG9" s="344"/>
      <c r="AH9" s="344"/>
      <c r="AI9" s="345" t="str">
        <f t="shared" si="0"/>
        <v>Pupil excluded</v>
      </c>
      <c r="AJ9" s="345" t="str">
        <f t="shared" si="1"/>
        <v>Pupil excluded</v>
      </c>
      <c r="AK9" s="345" t="str">
        <f t="shared" si="2"/>
        <v>Pupil excluded</v>
      </c>
      <c r="AL9" s="164"/>
      <c r="AM9" s="346" t="s">
        <v>363</v>
      </c>
      <c r="AN9" s="164"/>
      <c r="AO9" s="164"/>
      <c r="AP9" s="241"/>
      <c r="AQ9" s="241"/>
      <c r="AR9" s="241"/>
    </row>
    <row r="10" spans="1:44" ht="50.25" customHeight="1" thickBot="1" x14ac:dyDescent="0.45">
      <c r="B10" s="81"/>
      <c r="K10" s="88"/>
      <c r="L10" s="88"/>
      <c r="M10" s="88"/>
      <c r="N10" s="192"/>
      <c r="O10" s="259"/>
      <c r="P10" s="241"/>
      <c r="Q10" s="241"/>
      <c r="R10" s="241"/>
      <c r="S10" s="241"/>
      <c r="T10" s="241"/>
      <c r="U10" s="241"/>
      <c r="V10" s="241"/>
      <c r="Y10" s="164">
        <v>6</v>
      </c>
      <c r="Z10" s="164">
        <v>9</v>
      </c>
      <c r="AA10" s="164" t="str">
        <f>IF(AND('KS1 Data Input'!$G$27&gt;=Y10,'KS1 Data Input'!$G$27&lt;Z10),"Y","-")</f>
        <v>-</v>
      </c>
      <c r="AB10" s="342" t="s">
        <v>251</v>
      </c>
      <c r="AC10" s="343">
        <f>'Prior Attainment Groups (PAGs)'!E16</f>
        <v>86.4</v>
      </c>
      <c r="AD10" s="343">
        <f>'Prior Attainment Groups (PAGs)'!F16</f>
        <v>84.79</v>
      </c>
      <c r="AE10" s="343">
        <f>'Prior Attainment Groups (PAGs)'!G16</f>
        <v>88.46</v>
      </c>
      <c r="AF10" s="345">
        <f>'PAG Limits '!E17</f>
        <v>-25.52</v>
      </c>
      <c r="AG10" s="345" t="str">
        <f>'PAG Limits '!F17</f>
        <v>N/A</v>
      </c>
      <c r="AH10" s="345">
        <f>'PAG Limits '!G17</f>
        <v>-28.34</v>
      </c>
      <c r="AI10" s="344" t="str">
        <f>IF(ISNUMBER($D$15),IF($D$15&lt;$AF10,$AF10,$D$15),"Pupil excluded")</f>
        <v>Pupil excluded</v>
      </c>
      <c r="AJ10" s="344" t="str">
        <f>IF(ISNUMBER($F$15),IF($F$15&lt;$AG10,$AG10,$F$15),"Pupil excluded")</f>
        <v>Pupil excluded</v>
      </c>
      <c r="AK10" s="344" t="str">
        <f>IF(ISNUMBER($H$15),IF($H$15&lt;$AH10,$AH10,$H$15),"Pupil excluded")</f>
        <v>Pupil excluded</v>
      </c>
      <c r="AL10" s="164"/>
      <c r="AM10" s="164" t="b">
        <f>AF10='PAG Limits '!E17</f>
        <v>1</v>
      </c>
      <c r="AN10" s="164" t="b">
        <f>AG10='PAG Limits '!F17</f>
        <v>1</v>
      </c>
      <c r="AO10" s="164" t="b">
        <f>AH10='PAG Limits '!G17</f>
        <v>1</v>
      </c>
      <c r="AP10" s="241"/>
      <c r="AQ10" s="241"/>
      <c r="AR10" s="241"/>
    </row>
    <row r="11" spans="1:44" ht="60" customHeight="1" thickBot="1" x14ac:dyDescent="0.45">
      <c r="B11" s="82" t="s">
        <v>225</v>
      </c>
      <c r="D11" s="216" t="str">
        <f>IF('KS2 Data Input'!$E$28="Pupil excluded","Pupil excluded (invalid KS2)",'KS2 Data Input'!$E$28)</f>
        <v>Pupil excluded (invalid KS2)</v>
      </c>
      <c r="E11" s="135"/>
      <c r="F11" s="216" t="str">
        <f>IF('KS2 Data Input'!$G$28="Pupil excluded","Pupil excluded (invalid KS2)",'KS2 Data Input'!G28)</f>
        <v>Pupil excluded (invalid KS2)</v>
      </c>
      <c r="G11" s="193"/>
      <c r="H11" s="216" t="str">
        <f>IF('KS2 Data Input'!$K$28="Pupil excluded","Pupil excluded (invalid KS2)",'KS2 Data Input'!K28)</f>
        <v>Pupil excluded (invalid KS2)</v>
      </c>
      <c r="K11" s="88"/>
      <c r="L11" s="88"/>
      <c r="M11" s="88"/>
      <c r="N11" s="192"/>
      <c r="O11" s="259"/>
      <c r="P11" s="241"/>
      <c r="Q11" s="241"/>
      <c r="R11" s="241"/>
      <c r="S11" s="241"/>
      <c r="T11" s="241"/>
      <c r="U11" s="241"/>
      <c r="V11" s="241"/>
      <c r="Y11" s="164">
        <v>9</v>
      </c>
      <c r="Z11" s="164">
        <v>10</v>
      </c>
      <c r="AA11" s="164" t="str">
        <f>IF(AND('KS1 Data Input'!$G$27&gt;=Y11,'KS1 Data Input'!$G$27&lt;Z11),"Y","-")</f>
        <v>-</v>
      </c>
      <c r="AB11" s="342" t="s">
        <v>252</v>
      </c>
      <c r="AC11" s="343">
        <f>'Prior Attainment Groups (PAGs)'!E17</f>
        <v>89.04</v>
      </c>
      <c r="AD11" s="343">
        <f>'Prior Attainment Groups (PAGs)'!F17</f>
        <v>88.03</v>
      </c>
      <c r="AE11" s="343">
        <f>'Prior Attainment Groups (PAGs)'!G17</f>
        <v>90.38</v>
      </c>
      <c r="AF11" s="345">
        <f>'PAG Limits '!E18</f>
        <v>-22.45</v>
      </c>
      <c r="AG11" s="345">
        <f>'PAG Limits '!F18</f>
        <v>-25.28</v>
      </c>
      <c r="AH11" s="345">
        <f>'PAG Limits '!G18</f>
        <v>-23.5</v>
      </c>
      <c r="AI11" s="344" t="str">
        <f>IF(ISNUMBER($D$15),IF($D$15&lt;$AF11,$AF11,$D$15),"Pupil excluded")</f>
        <v>Pupil excluded</v>
      </c>
      <c r="AJ11" s="344" t="str">
        <f t="shared" ref="AJ11:AJ26" si="3">IF(ISNUMBER($F$15),IF($F$15&lt;$AG11,$AG11,$F$15),"Pupil excluded")</f>
        <v>Pupil excluded</v>
      </c>
      <c r="AK11" s="344" t="str">
        <f t="shared" ref="AK11:AK26" si="4">IF(ISNUMBER($H$15),IF($H$15&lt;$AH11,$AH11,$H$15),"Pupil excluded")</f>
        <v>Pupil excluded</v>
      </c>
      <c r="AL11" s="164"/>
      <c r="AM11" s="164" t="b">
        <f>AF11='PAG Limits '!E18</f>
        <v>1</v>
      </c>
      <c r="AN11" s="164" t="b">
        <f>AG11='PAG Limits '!F18</f>
        <v>1</v>
      </c>
      <c r="AO11" s="164" t="b">
        <f>AH11='PAG Limits '!G18</f>
        <v>1</v>
      </c>
      <c r="AP11" s="241"/>
      <c r="AQ11" s="241"/>
      <c r="AR11" s="241"/>
    </row>
    <row r="12" spans="1:44" ht="50.25" customHeight="1" thickBot="1" x14ac:dyDescent="0.45">
      <c r="B12" s="83"/>
      <c r="D12" s="157"/>
      <c r="E12" s="136"/>
      <c r="F12" s="157"/>
      <c r="G12" s="193"/>
      <c r="H12" s="157"/>
      <c r="K12" s="88"/>
      <c r="L12" s="89"/>
      <c r="M12" s="88"/>
      <c r="N12" s="192"/>
      <c r="O12" s="259"/>
      <c r="P12" s="241"/>
      <c r="Q12" s="241"/>
      <c r="R12" s="241"/>
      <c r="S12" s="241"/>
      <c r="T12" s="241"/>
      <c r="U12" s="241"/>
      <c r="V12" s="241"/>
      <c r="Y12" s="164">
        <v>10</v>
      </c>
      <c r="Z12" s="164">
        <v>12</v>
      </c>
      <c r="AA12" s="164" t="str">
        <f>IF(AND('KS1 Data Input'!$G$27&gt;=Y12,'KS1 Data Input'!$G$27&lt;Z12),"Y","-")</f>
        <v>-</v>
      </c>
      <c r="AB12" s="342" t="s">
        <v>253</v>
      </c>
      <c r="AC12" s="343">
        <f>'Prior Attainment Groups (PAGs)'!E18</f>
        <v>93.43</v>
      </c>
      <c r="AD12" s="343">
        <f>'Prior Attainment Groups (PAGs)'!F18</f>
        <v>91.88</v>
      </c>
      <c r="AE12" s="343">
        <f>'Prior Attainment Groups (PAGs)'!G18</f>
        <v>94.72</v>
      </c>
      <c r="AF12" s="345">
        <f>'PAG Limits '!E19</f>
        <v>-20.95</v>
      </c>
      <c r="AG12" s="345">
        <f>'PAG Limits '!F19</f>
        <v>-23.23</v>
      </c>
      <c r="AH12" s="345">
        <f>'PAG Limits '!G19</f>
        <v>-21.19</v>
      </c>
      <c r="AI12" s="344" t="str">
        <f t="shared" ref="AI12:AI26" si="5">IF(ISNUMBER($D$15),IF($D$15&lt;$AF12,$AF12,$D$15),"Pupil excluded")</f>
        <v>Pupil excluded</v>
      </c>
      <c r="AJ12" s="344" t="str">
        <f t="shared" si="3"/>
        <v>Pupil excluded</v>
      </c>
      <c r="AK12" s="344" t="str">
        <f t="shared" si="4"/>
        <v>Pupil excluded</v>
      </c>
      <c r="AL12" s="164"/>
      <c r="AM12" s="164" t="b">
        <f>AF12='PAG Limits '!E19</f>
        <v>1</v>
      </c>
      <c r="AN12" s="164" t="b">
        <f>AG12='PAG Limits '!F19</f>
        <v>1</v>
      </c>
      <c r="AO12" s="164" t="b">
        <f>AH12='PAG Limits '!G19</f>
        <v>1</v>
      </c>
      <c r="AP12" s="241"/>
      <c r="AQ12" s="241"/>
      <c r="AR12" s="241"/>
    </row>
    <row r="13" spans="1:44" ht="50.25" customHeight="1" thickBot="1" x14ac:dyDescent="0.4">
      <c r="B13" s="82" t="s">
        <v>227</v>
      </c>
      <c r="D13" s="220" t="e">
        <f>VLOOKUP('KS1 Data Input'!G29,AB3:AE26,2,FALSE)</f>
        <v>#N/A</v>
      </c>
      <c r="E13" s="194"/>
      <c r="F13" s="220" t="e">
        <f>VLOOKUP('KS1 Data Input'!G29,AB3:AE26,3,FALSE)</f>
        <v>#N/A</v>
      </c>
      <c r="G13" s="194"/>
      <c r="H13" s="220" t="e">
        <f>VLOOKUP('KS1 Data Input'!G29,AB3:AE26,4,FALSE)</f>
        <v>#N/A</v>
      </c>
      <c r="K13" s="88"/>
      <c r="L13" s="88"/>
      <c r="M13" s="88"/>
      <c r="N13" s="192"/>
      <c r="O13" s="259"/>
      <c r="P13" s="241"/>
      <c r="Q13" s="241"/>
      <c r="R13" s="241"/>
      <c r="S13" s="241"/>
      <c r="T13" s="241"/>
      <c r="U13" s="241"/>
      <c r="V13" s="241"/>
      <c r="Y13" s="164">
        <v>12</v>
      </c>
      <c r="Z13" s="164">
        <v>13</v>
      </c>
      <c r="AA13" s="164" t="str">
        <f>IF(AND('KS1 Data Input'!$G$27&gt;=Y13,'KS1 Data Input'!$G$27&lt;Z13),"Y","-")</f>
        <v>-</v>
      </c>
      <c r="AB13" s="342" t="s">
        <v>254</v>
      </c>
      <c r="AC13" s="343">
        <f>'Prior Attainment Groups (PAGs)'!E19</f>
        <v>95.69</v>
      </c>
      <c r="AD13" s="343">
        <f>'Prior Attainment Groups (PAGs)'!F19</f>
        <v>93.7</v>
      </c>
      <c r="AE13" s="343">
        <f>'Prior Attainment Groups (PAGs)'!G19</f>
        <v>97.59</v>
      </c>
      <c r="AF13" s="345">
        <f>'PAG Limits '!E20</f>
        <v>-19.89</v>
      </c>
      <c r="AG13" s="345">
        <f>'PAG Limits '!F20</f>
        <v>-22.08</v>
      </c>
      <c r="AH13" s="345">
        <f>'PAG Limits '!G20</f>
        <v>-19.34</v>
      </c>
      <c r="AI13" s="344" t="str">
        <f t="shared" si="5"/>
        <v>Pupil excluded</v>
      </c>
      <c r="AJ13" s="344" t="str">
        <f t="shared" si="3"/>
        <v>Pupil excluded</v>
      </c>
      <c r="AK13" s="344" t="str">
        <f t="shared" si="4"/>
        <v>Pupil excluded</v>
      </c>
      <c r="AL13" s="164"/>
      <c r="AM13" s="164" t="b">
        <f>AF13='PAG Limits '!E20</f>
        <v>1</v>
      </c>
      <c r="AN13" s="164" t="b">
        <f>AG13='PAG Limits '!F20</f>
        <v>1</v>
      </c>
      <c r="AO13" s="164" t="b">
        <f>AH13='PAG Limits '!G20</f>
        <v>1</v>
      </c>
      <c r="AP13" s="241"/>
      <c r="AQ13" s="241"/>
      <c r="AR13" s="241"/>
    </row>
    <row r="14" spans="1:44" ht="54" customHeight="1" thickBot="1" x14ac:dyDescent="0.4">
      <c r="B14" s="83"/>
      <c r="D14" s="157"/>
      <c r="E14" s="185"/>
      <c r="F14" s="157"/>
      <c r="G14" s="185"/>
      <c r="H14" s="157"/>
      <c r="L14" s="450" t="s">
        <v>172</v>
      </c>
      <c r="M14" s="451"/>
      <c r="N14" s="74"/>
      <c r="O14" s="241"/>
      <c r="P14" s="241"/>
      <c r="Q14" s="241"/>
      <c r="R14" s="241"/>
      <c r="S14" s="241"/>
      <c r="T14" s="241"/>
      <c r="U14" s="241"/>
      <c r="V14" s="241"/>
      <c r="Y14" s="164">
        <v>13</v>
      </c>
      <c r="Z14" s="164">
        <v>14</v>
      </c>
      <c r="AA14" s="164" t="str">
        <f>IF(AND('KS1 Data Input'!$G$27&gt;=Y14,'KS1 Data Input'!$G$27&lt;Z14),"Y","-")</f>
        <v>-</v>
      </c>
      <c r="AB14" s="342" t="s">
        <v>255</v>
      </c>
      <c r="AC14" s="343">
        <f>'Prior Attainment Groups (PAGs)'!E20</f>
        <v>97.68</v>
      </c>
      <c r="AD14" s="343">
        <f>'Prior Attainment Groups (PAGs)'!F20</f>
        <v>96.36</v>
      </c>
      <c r="AE14" s="343">
        <f>'Prior Attainment Groups (PAGs)'!G20</f>
        <v>98.66</v>
      </c>
      <c r="AF14" s="345">
        <f>'PAG Limits '!E21</f>
        <v>-17.97</v>
      </c>
      <c r="AG14" s="345">
        <f>'PAG Limits '!F21</f>
        <v>-20.190000000000001</v>
      </c>
      <c r="AH14" s="345">
        <f>'PAG Limits '!G21</f>
        <v>-17.66</v>
      </c>
      <c r="AI14" s="344" t="str">
        <f t="shared" si="5"/>
        <v>Pupil excluded</v>
      </c>
      <c r="AJ14" s="344" t="str">
        <f t="shared" si="3"/>
        <v>Pupil excluded</v>
      </c>
      <c r="AK14" s="344" t="str">
        <f t="shared" si="4"/>
        <v>Pupil excluded</v>
      </c>
      <c r="AL14" s="164"/>
      <c r="AM14" s="164" t="b">
        <f>AF14='PAG Limits '!E21</f>
        <v>1</v>
      </c>
      <c r="AN14" s="164" t="b">
        <f>AG14='PAG Limits '!F21</f>
        <v>1</v>
      </c>
      <c r="AO14" s="164" t="b">
        <f>AH14='PAG Limits '!G21</f>
        <v>1</v>
      </c>
      <c r="AP14" s="241"/>
      <c r="AQ14" s="241"/>
      <c r="AR14" s="241"/>
    </row>
    <row r="15" spans="1:44" ht="50.25" customHeight="1" thickBot="1" x14ac:dyDescent="0.45">
      <c r="B15" s="82" t="s">
        <v>169</v>
      </c>
      <c r="D15" s="221" t="str">
        <f>IF(ISERROR(D11-D13),"Pupil excluded",ROUND(D11-D13,2))</f>
        <v>Pupil excluded</v>
      </c>
      <c r="E15" s="195"/>
      <c r="F15" s="221" t="str">
        <f>IF(ISERROR(F11-F13),"Pupil excluded",ROUND(F11-F13,2))</f>
        <v>Pupil excluded</v>
      </c>
      <c r="G15" s="193"/>
      <c r="H15" s="221" t="str">
        <f>IF(ISERROR(H11-H13),"Pupil excluded",ROUND(H11-H13,2))</f>
        <v>Pupil excluded</v>
      </c>
      <c r="N15" s="74"/>
      <c r="O15" s="241"/>
      <c r="P15" s="241"/>
      <c r="Q15" s="241"/>
      <c r="R15" s="241"/>
      <c r="S15" s="241"/>
      <c r="T15" s="241"/>
      <c r="U15" s="241"/>
      <c r="V15" s="241"/>
      <c r="Y15" s="164">
        <v>14</v>
      </c>
      <c r="Z15" s="164">
        <v>14.5</v>
      </c>
      <c r="AA15" s="164" t="str">
        <f>IF(AND('KS1 Data Input'!$G$27&gt;=Y15,'KS1 Data Input'!$G$27&lt;Z15),"Y","-")</f>
        <v>-</v>
      </c>
      <c r="AB15" s="342" t="s">
        <v>256</v>
      </c>
      <c r="AC15" s="343">
        <f>'Prior Attainment Groups (PAGs)'!E21</f>
        <v>99.08</v>
      </c>
      <c r="AD15" s="343">
        <f>'Prior Attainment Groups (PAGs)'!F21</f>
        <v>98.24</v>
      </c>
      <c r="AE15" s="343">
        <f>'Prior Attainment Groups (PAGs)'!G21</f>
        <v>100.51</v>
      </c>
      <c r="AF15" s="345">
        <f>'PAG Limits '!E22</f>
        <v>-16.95</v>
      </c>
      <c r="AG15" s="345">
        <f>'PAG Limits '!F22</f>
        <v>-18.95</v>
      </c>
      <c r="AH15" s="345">
        <f>'PAG Limits '!G22</f>
        <v>-15.93</v>
      </c>
      <c r="AI15" s="344" t="str">
        <f>IF(ISNUMBER($D$15),IF($D$15&lt;$AF15,$AF15,$D$15),"Pupil excluded")</f>
        <v>Pupil excluded</v>
      </c>
      <c r="AJ15" s="344" t="str">
        <f t="shared" si="3"/>
        <v>Pupil excluded</v>
      </c>
      <c r="AK15" s="344" t="str">
        <f t="shared" si="4"/>
        <v>Pupil excluded</v>
      </c>
      <c r="AL15" s="164"/>
      <c r="AM15" s="164" t="b">
        <f>AF15='PAG Limits '!E22</f>
        <v>1</v>
      </c>
      <c r="AN15" s="164" t="b">
        <f>AG15='PAG Limits '!F22</f>
        <v>1</v>
      </c>
      <c r="AO15" s="164" t="b">
        <f>AH15='PAG Limits '!G22</f>
        <v>1</v>
      </c>
      <c r="AP15" s="241"/>
      <c r="AQ15" s="241"/>
      <c r="AR15" s="241"/>
    </row>
    <row r="16" spans="1:44" ht="13.5" thickBot="1" x14ac:dyDescent="0.45">
      <c r="O16" s="241"/>
      <c r="P16" s="241"/>
      <c r="Q16" s="241"/>
      <c r="R16" s="241"/>
      <c r="S16" s="241"/>
      <c r="T16" s="241"/>
      <c r="U16" s="241"/>
      <c r="V16" s="241"/>
      <c r="Y16" s="164">
        <v>14.5</v>
      </c>
      <c r="Z16" s="164">
        <v>15</v>
      </c>
      <c r="AA16" s="164" t="str">
        <f>IF(AND('KS1 Data Input'!$G$27&gt;=Y16,'KS1 Data Input'!$G$27&lt;Z16),"Y","-")</f>
        <v>-</v>
      </c>
      <c r="AB16" s="342" t="s">
        <v>257</v>
      </c>
      <c r="AC16" s="343">
        <f>'Prior Attainment Groups (PAGs)'!E22</f>
        <v>100.56</v>
      </c>
      <c r="AD16" s="343">
        <f>'Prior Attainment Groups (PAGs)'!F22</f>
        <v>99.1</v>
      </c>
      <c r="AE16" s="343">
        <f>'Prior Attainment Groups (PAGs)'!G22</f>
        <v>101.79</v>
      </c>
      <c r="AF16" s="345">
        <f>'PAG Limits '!E23</f>
        <v>-16.28</v>
      </c>
      <c r="AG16" s="345">
        <f>'PAG Limits '!F23</f>
        <v>-18.03</v>
      </c>
      <c r="AH16" s="345">
        <f>'PAG Limits '!G23</f>
        <v>-14.98</v>
      </c>
      <c r="AI16" s="344" t="str">
        <f t="shared" si="5"/>
        <v>Pupil excluded</v>
      </c>
      <c r="AJ16" s="344" t="str">
        <f t="shared" si="3"/>
        <v>Pupil excluded</v>
      </c>
      <c r="AK16" s="344" t="str">
        <f t="shared" si="4"/>
        <v>Pupil excluded</v>
      </c>
      <c r="AL16" s="164"/>
      <c r="AM16" s="164" t="b">
        <f>AF16='PAG Limits '!E23</f>
        <v>1</v>
      </c>
      <c r="AN16" s="164" t="b">
        <f>AG16='PAG Limits '!F23</f>
        <v>1</v>
      </c>
      <c r="AO16" s="164" t="b">
        <f>AH16='PAG Limits '!G23</f>
        <v>1</v>
      </c>
      <c r="AP16" s="241"/>
      <c r="AQ16" s="241"/>
      <c r="AR16" s="241"/>
    </row>
    <row r="17" spans="2:44" ht="48.95" customHeight="1" thickBot="1" x14ac:dyDescent="0.45">
      <c r="B17" s="257" t="s">
        <v>298</v>
      </c>
      <c r="D17" s="221" t="str">
        <f>IF(ISERROR(VLOOKUP("Y",$AA$3:$AK$26,9,FALSE)),"Pupil excluded",(VLOOKUP("Y",$AA$3:$AK$26,9,FALSE)))</f>
        <v>Pupil excluded</v>
      </c>
      <c r="E17" s="195"/>
      <c r="F17" s="221" t="str">
        <f>IF(ISERROR(VLOOKUP("Y",$AA$3:$AK$26,10,FALSE)),"Pupil excluded",(VLOOKUP("Y",$AA$3:$AK$26,10,FALSE)))</f>
        <v>Pupil excluded</v>
      </c>
      <c r="G17" s="193"/>
      <c r="H17" s="221" t="str">
        <f>IF(ISERROR(VLOOKUP("Y",$AA$3:$AK$26,11,FALSE)),"Pupil excluded",(VLOOKUP("Y",$AA$3:$AK$26,11,FALSE)))</f>
        <v>Pupil excluded</v>
      </c>
      <c r="K17" s="38"/>
      <c r="L17" s="38"/>
      <c r="M17" s="38"/>
      <c r="N17" s="38"/>
      <c r="O17" s="241"/>
      <c r="P17" s="241"/>
      <c r="Q17" s="241"/>
      <c r="R17" s="241"/>
      <c r="S17" s="241"/>
      <c r="T17" s="241"/>
      <c r="U17" s="241"/>
      <c r="V17" s="241"/>
      <c r="Y17" s="164">
        <v>15</v>
      </c>
      <c r="Z17" s="164">
        <v>15.5</v>
      </c>
      <c r="AA17" s="164" t="str">
        <f>IF(AND('KS1 Data Input'!$G$27&gt;=Y17,'KS1 Data Input'!$G$27&lt;Z17),"Y","-")</f>
        <v>-</v>
      </c>
      <c r="AB17" s="342" t="s">
        <v>258</v>
      </c>
      <c r="AC17" s="343">
        <f>'Prior Attainment Groups (PAGs)'!E23</f>
        <v>101.64</v>
      </c>
      <c r="AD17" s="343">
        <f>'Prior Attainment Groups (PAGs)'!F23</f>
        <v>100.9</v>
      </c>
      <c r="AE17" s="343">
        <f>'Prior Attainment Groups (PAGs)'!G23</f>
        <v>102.73</v>
      </c>
      <c r="AF17" s="345">
        <f>'PAG Limits '!E24</f>
        <v>-15.32</v>
      </c>
      <c r="AG17" s="345">
        <f>'PAG Limits '!F24</f>
        <v>-15.39</v>
      </c>
      <c r="AH17" s="345">
        <f>'PAG Limits '!G24</f>
        <v>-13.87</v>
      </c>
      <c r="AI17" s="344" t="str">
        <f t="shared" si="5"/>
        <v>Pupil excluded</v>
      </c>
      <c r="AJ17" s="344" t="str">
        <f t="shared" si="3"/>
        <v>Pupil excluded</v>
      </c>
      <c r="AK17" s="344" t="str">
        <f t="shared" si="4"/>
        <v>Pupil excluded</v>
      </c>
      <c r="AL17" s="164"/>
      <c r="AM17" s="164" t="b">
        <f>AF17='PAG Limits '!E24</f>
        <v>1</v>
      </c>
      <c r="AN17" s="164" t="b">
        <f>AG17='PAG Limits '!F24</f>
        <v>1</v>
      </c>
      <c r="AO17" s="164" t="b">
        <f>AH17='PAG Limits '!G24</f>
        <v>1</v>
      </c>
      <c r="AP17" s="241"/>
      <c r="AQ17" s="241"/>
      <c r="AR17" s="241"/>
    </row>
    <row r="18" spans="2:44" ht="18" customHeight="1" x14ac:dyDescent="0.4">
      <c r="K18" s="38"/>
      <c r="L18" s="38"/>
      <c r="M18" s="38"/>
      <c r="N18" s="38"/>
      <c r="O18" s="241"/>
      <c r="P18" s="241"/>
      <c r="Q18" s="241"/>
      <c r="R18" s="241"/>
      <c r="S18" s="241"/>
      <c r="T18" s="241"/>
      <c r="U18" s="241"/>
      <c r="V18" s="241"/>
      <c r="Y18" s="164">
        <v>15.5</v>
      </c>
      <c r="Z18" s="164">
        <v>16</v>
      </c>
      <c r="AA18" s="164" t="str">
        <f>IF(AND('KS1 Data Input'!$G$27&gt;=Y18,'KS1 Data Input'!$G$27&lt;Z18),"Y","-")</f>
        <v>-</v>
      </c>
      <c r="AB18" s="342" t="s">
        <v>259</v>
      </c>
      <c r="AC18" s="343">
        <f>'Prior Attainment Groups (PAGs)'!E24</f>
        <v>103.7</v>
      </c>
      <c r="AD18" s="343">
        <f>'Prior Attainment Groups (PAGs)'!F24</f>
        <v>101.97</v>
      </c>
      <c r="AE18" s="343">
        <f>'Prior Attainment Groups (PAGs)'!G24</f>
        <v>103.56</v>
      </c>
      <c r="AF18" s="345">
        <f>'PAG Limits '!E25</f>
        <v>-14.6</v>
      </c>
      <c r="AG18" s="345">
        <f>'PAG Limits '!F25</f>
        <v>-14.18</v>
      </c>
      <c r="AH18" s="345">
        <f>'PAG Limits '!G25</f>
        <v>-13.01</v>
      </c>
      <c r="AI18" s="344" t="str">
        <f t="shared" si="5"/>
        <v>Pupil excluded</v>
      </c>
      <c r="AJ18" s="344" t="str">
        <f t="shared" si="3"/>
        <v>Pupil excluded</v>
      </c>
      <c r="AK18" s="344" t="str">
        <f t="shared" si="4"/>
        <v>Pupil excluded</v>
      </c>
      <c r="AL18" s="164"/>
      <c r="AM18" s="164" t="b">
        <f>AF18='PAG Limits '!E25</f>
        <v>1</v>
      </c>
      <c r="AN18" s="164" t="b">
        <f>AG18='PAG Limits '!F25</f>
        <v>1</v>
      </c>
      <c r="AO18" s="164" t="b">
        <f>AH18='PAG Limits '!G25</f>
        <v>1</v>
      </c>
      <c r="AP18" s="241"/>
      <c r="AQ18" s="241"/>
      <c r="AR18" s="241"/>
    </row>
    <row r="19" spans="2:44" x14ac:dyDescent="0.4">
      <c r="O19" s="241"/>
      <c r="P19" s="241"/>
      <c r="Q19" s="241"/>
      <c r="R19" s="241"/>
      <c r="S19" s="241"/>
      <c r="T19" s="241"/>
      <c r="U19" s="241"/>
      <c r="V19" s="241"/>
      <c r="Y19" s="164">
        <v>16</v>
      </c>
      <c r="Z19" s="164">
        <v>16.5</v>
      </c>
      <c r="AA19" s="164" t="str">
        <f>IF(AND('KS1 Data Input'!$G$27&gt;=Y19,'KS1 Data Input'!$G$27&lt;Z19),"Y","-")</f>
        <v>-</v>
      </c>
      <c r="AB19" s="342" t="s">
        <v>260</v>
      </c>
      <c r="AC19" s="343">
        <f>'Prior Attainment Groups (PAGs)'!E25</f>
        <v>103.7</v>
      </c>
      <c r="AD19" s="343">
        <f>'Prior Attainment Groups (PAGs)'!F25</f>
        <v>102.46</v>
      </c>
      <c r="AE19" s="343">
        <f>'Prior Attainment Groups (PAGs)'!G25</f>
        <v>105.1</v>
      </c>
      <c r="AF19" s="345">
        <f>'PAG Limits '!E26</f>
        <v>-14.68</v>
      </c>
      <c r="AG19" s="345">
        <f>'PAG Limits '!F26</f>
        <v>-13.95</v>
      </c>
      <c r="AH19" s="345">
        <f>'PAG Limits '!G26</f>
        <v>-12.68</v>
      </c>
      <c r="AI19" s="344" t="str">
        <f t="shared" si="5"/>
        <v>Pupil excluded</v>
      </c>
      <c r="AJ19" s="344" t="str">
        <f t="shared" si="3"/>
        <v>Pupil excluded</v>
      </c>
      <c r="AK19" s="344" t="str">
        <f t="shared" si="4"/>
        <v>Pupil excluded</v>
      </c>
      <c r="AL19" s="164"/>
      <c r="AM19" s="164" t="b">
        <f>AF19='PAG Limits '!E26</f>
        <v>1</v>
      </c>
      <c r="AN19" s="164" t="b">
        <f>AG19='PAG Limits '!F26</f>
        <v>1</v>
      </c>
      <c r="AO19" s="164" t="b">
        <f>AH19='PAG Limits '!G26</f>
        <v>1</v>
      </c>
      <c r="AP19" s="241"/>
      <c r="AQ19" s="241"/>
      <c r="AR19" s="241"/>
    </row>
    <row r="20" spans="2:44" x14ac:dyDescent="0.4">
      <c r="O20" s="241"/>
      <c r="P20" s="241"/>
      <c r="Q20" s="241"/>
      <c r="R20" s="241"/>
      <c r="S20" s="241"/>
      <c r="T20" s="241"/>
      <c r="U20" s="241"/>
      <c r="V20" s="241"/>
      <c r="Y20" s="164">
        <v>16.5</v>
      </c>
      <c r="Z20" s="164">
        <v>17</v>
      </c>
      <c r="AA20" s="164" t="str">
        <f>IF(AND('KS1 Data Input'!$G$27&gt;=Y20,'KS1 Data Input'!$G$27&lt;Z20),"Y","-")</f>
        <v>-</v>
      </c>
      <c r="AB20" s="342" t="s">
        <v>261</v>
      </c>
      <c r="AC20" s="343">
        <f>'Prior Attainment Groups (PAGs)'!E26</f>
        <v>105.31</v>
      </c>
      <c r="AD20" s="343">
        <f>'Prior Attainment Groups (PAGs)'!F26</f>
        <v>103.06</v>
      </c>
      <c r="AE20" s="343">
        <f>'Prior Attainment Groups (PAGs)'!G26</f>
        <v>106.09</v>
      </c>
      <c r="AF20" s="345">
        <f>'PAG Limits '!E27</f>
        <v>-13.94</v>
      </c>
      <c r="AG20" s="345">
        <f>'PAG Limits '!F27</f>
        <v>-12.75</v>
      </c>
      <c r="AH20" s="345">
        <f>'PAG Limits '!G27</f>
        <v>-12</v>
      </c>
      <c r="AI20" s="344" t="str">
        <f t="shared" si="5"/>
        <v>Pupil excluded</v>
      </c>
      <c r="AJ20" s="344" t="str">
        <f t="shared" si="3"/>
        <v>Pupil excluded</v>
      </c>
      <c r="AK20" s="344" t="str">
        <f>IF(ISNUMBER($H$15),IF($H$15&lt;$AH20,$AH20,$H$15),"Pupil excluded")</f>
        <v>Pupil excluded</v>
      </c>
      <c r="AL20" s="164"/>
      <c r="AM20" s="164" t="b">
        <f>AF20='PAG Limits '!E27</f>
        <v>1</v>
      </c>
      <c r="AN20" s="164" t="b">
        <f>AG20='PAG Limits '!F27</f>
        <v>1</v>
      </c>
      <c r="AO20" s="164" t="b">
        <f>AH20='PAG Limits '!G27</f>
        <v>1</v>
      </c>
      <c r="AP20" s="241"/>
      <c r="AQ20" s="241"/>
      <c r="AR20" s="241"/>
    </row>
    <row r="21" spans="2:44" x14ac:dyDescent="0.4">
      <c r="O21" s="241"/>
      <c r="P21" s="241"/>
      <c r="Q21" s="241"/>
      <c r="R21" s="241"/>
      <c r="S21" s="241"/>
      <c r="T21" s="241"/>
      <c r="U21" s="241"/>
      <c r="V21" s="241"/>
      <c r="Y21" s="164">
        <v>17</v>
      </c>
      <c r="Z21" s="164">
        <v>18</v>
      </c>
      <c r="AA21" s="164" t="str">
        <f>IF(AND('KS1 Data Input'!$G$27&gt;=Y21,'KS1 Data Input'!$G$27&lt;Z21),"Y","-")</f>
        <v>-</v>
      </c>
      <c r="AB21" s="342" t="s">
        <v>262</v>
      </c>
      <c r="AC21" s="343">
        <f>'Prior Attainment Groups (PAGs)'!E27</f>
        <v>106.64</v>
      </c>
      <c r="AD21" s="343">
        <f>'Prior Attainment Groups (PAGs)'!F27</f>
        <v>104.47</v>
      </c>
      <c r="AE21" s="343">
        <f>'Prior Attainment Groups (PAGs)'!G27</f>
        <v>106.47</v>
      </c>
      <c r="AF21" s="345">
        <f>'PAG Limits '!E28</f>
        <v>-13.83</v>
      </c>
      <c r="AG21" s="345">
        <f>'PAG Limits '!F28</f>
        <v>-13.33</v>
      </c>
      <c r="AH21" s="345">
        <f>'PAG Limits '!G28</f>
        <v>-11.92</v>
      </c>
      <c r="AI21" s="344" t="str">
        <f t="shared" si="5"/>
        <v>Pupil excluded</v>
      </c>
      <c r="AJ21" s="344" t="str">
        <f t="shared" si="3"/>
        <v>Pupil excluded</v>
      </c>
      <c r="AK21" s="344" t="str">
        <f t="shared" si="4"/>
        <v>Pupil excluded</v>
      </c>
      <c r="AL21" s="164"/>
      <c r="AM21" s="164" t="b">
        <f>AF21='PAG Limits '!E28</f>
        <v>1</v>
      </c>
      <c r="AN21" s="164" t="b">
        <f>AG21='PAG Limits '!F28</f>
        <v>1</v>
      </c>
      <c r="AO21" s="164" t="b">
        <f>AH21='PAG Limits '!G28</f>
        <v>1</v>
      </c>
      <c r="AP21" s="241"/>
      <c r="AQ21" s="241"/>
      <c r="AR21" s="241"/>
    </row>
    <row r="22" spans="2:44" ht="17.649999999999999" x14ac:dyDescent="0.4">
      <c r="B22" s="255"/>
      <c r="C22" s="256"/>
      <c r="D22" s="256"/>
      <c r="O22" s="241"/>
      <c r="P22" s="241"/>
      <c r="Q22" s="241"/>
      <c r="R22" s="241"/>
      <c r="S22" s="241"/>
      <c r="T22" s="241"/>
      <c r="U22" s="241"/>
      <c r="V22" s="241"/>
      <c r="Y22" s="164">
        <v>18</v>
      </c>
      <c r="Z22" s="164">
        <v>19</v>
      </c>
      <c r="AA22" s="164" t="str">
        <f>IF(AND('KS1 Data Input'!$G$27&gt;=Y22,'KS1 Data Input'!$G$27&lt;Z22),"Y","-")</f>
        <v>-</v>
      </c>
      <c r="AB22" s="342" t="s">
        <v>263</v>
      </c>
      <c r="AC22" s="343">
        <f>'Prior Attainment Groups (PAGs)'!E28</f>
        <v>108</v>
      </c>
      <c r="AD22" s="343">
        <f>'Prior Attainment Groups (PAGs)'!F28</f>
        <v>105.44</v>
      </c>
      <c r="AE22" s="343">
        <f>'Prior Attainment Groups (PAGs)'!G28</f>
        <v>107.81</v>
      </c>
      <c r="AF22" s="345">
        <f>'PAG Limits '!E29</f>
        <v>-13.89</v>
      </c>
      <c r="AG22" s="345">
        <f>'PAG Limits '!F29</f>
        <v>-14.44</v>
      </c>
      <c r="AH22" s="345">
        <f>'PAG Limits '!G29</f>
        <v>-11.81</v>
      </c>
      <c r="AI22" s="344" t="str">
        <f t="shared" si="5"/>
        <v>Pupil excluded</v>
      </c>
      <c r="AJ22" s="344" t="str">
        <f t="shared" si="3"/>
        <v>Pupil excluded</v>
      </c>
      <c r="AK22" s="344" t="str">
        <f t="shared" si="4"/>
        <v>Pupil excluded</v>
      </c>
      <c r="AL22" s="164"/>
      <c r="AM22" s="164" t="b">
        <f>AF22='PAG Limits '!E29</f>
        <v>1</v>
      </c>
      <c r="AN22" s="164" t="b">
        <f>AG22='PAG Limits '!F29</f>
        <v>1</v>
      </c>
      <c r="AO22" s="164" t="b">
        <f>AH22='PAG Limits '!G29</f>
        <v>1</v>
      </c>
      <c r="AP22" s="241"/>
      <c r="AQ22" s="241"/>
      <c r="AR22" s="241"/>
    </row>
    <row r="23" spans="2:44" x14ac:dyDescent="0.4">
      <c r="O23" s="241"/>
      <c r="P23" s="241"/>
      <c r="Q23" s="241"/>
      <c r="R23" s="241"/>
      <c r="S23" s="241"/>
      <c r="T23" s="241"/>
      <c r="U23" s="241"/>
      <c r="V23" s="241"/>
      <c r="Y23" s="164">
        <v>19</v>
      </c>
      <c r="Z23" s="164">
        <v>20</v>
      </c>
      <c r="AA23" s="164" t="str">
        <f>IF(AND('KS1 Data Input'!$G$27&gt;=Y23,'KS1 Data Input'!$G$27&lt;Z23),"Y","-")</f>
        <v>-</v>
      </c>
      <c r="AB23" s="342" t="s">
        <v>264</v>
      </c>
      <c r="AC23" s="343">
        <f>'Prior Attainment Groups (PAGs)'!E29</f>
        <v>109</v>
      </c>
      <c r="AD23" s="343">
        <f>'Prior Attainment Groups (PAGs)'!F29</f>
        <v>106.68</v>
      </c>
      <c r="AE23" s="343">
        <f>'Prior Attainment Groups (PAGs)'!G29</f>
        <v>109</v>
      </c>
      <c r="AF23" s="345">
        <f>'PAG Limits '!E30</f>
        <v>-13.57</v>
      </c>
      <c r="AG23" s="345">
        <f>'PAG Limits '!F30</f>
        <v>-14.92</v>
      </c>
      <c r="AH23" s="345">
        <f>'PAG Limits '!G30</f>
        <v>-11.66</v>
      </c>
      <c r="AI23" s="344" t="str">
        <f t="shared" si="5"/>
        <v>Pupil excluded</v>
      </c>
      <c r="AJ23" s="344" t="str">
        <f t="shared" si="3"/>
        <v>Pupil excluded</v>
      </c>
      <c r="AK23" s="344" t="str">
        <f t="shared" si="4"/>
        <v>Pupil excluded</v>
      </c>
      <c r="AL23" s="164"/>
      <c r="AM23" s="164" t="b">
        <f>AF23='PAG Limits '!E30</f>
        <v>1</v>
      </c>
      <c r="AN23" s="164" t="b">
        <f>AG23='PAG Limits '!F30</f>
        <v>1</v>
      </c>
      <c r="AO23" s="164" t="b">
        <f>AH23='PAG Limits '!G30</f>
        <v>1</v>
      </c>
      <c r="AP23" s="241"/>
      <c r="AQ23" s="241"/>
      <c r="AR23" s="241"/>
    </row>
    <row r="24" spans="2:44" x14ac:dyDescent="0.4">
      <c r="O24" s="241"/>
      <c r="P24" s="241"/>
      <c r="Q24" s="241"/>
      <c r="R24" s="241"/>
      <c r="S24" s="241"/>
      <c r="T24" s="241"/>
      <c r="U24" s="241"/>
      <c r="V24" s="241"/>
      <c r="Y24" s="164">
        <v>20</v>
      </c>
      <c r="Z24" s="164">
        <v>21</v>
      </c>
      <c r="AA24" s="164" t="str">
        <f>IF(AND('KS1 Data Input'!$G$27&gt;=Y24,'KS1 Data Input'!$G$27&lt;Z24),"Y","-")</f>
        <v>-</v>
      </c>
      <c r="AB24" s="344" t="s">
        <v>265</v>
      </c>
      <c r="AC24" s="343">
        <f>'Prior Attainment Groups (PAGs)'!E30</f>
        <v>109.96</v>
      </c>
      <c r="AD24" s="343">
        <f>'Prior Attainment Groups (PAGs)'!F30</f>
        <v>106.95</v>
      </c>
      <c r="AE24" s="343">
        <f>'Prior Attainment Groups (PAGs)'!G30</f>
        <v>110.82</v>
      </c>
      <c r="AF24" s="345">
        <f>'PAG Limits '!E31</f>
        <v>-12.84</v>
      </c>
      <c r="AG24" s="345">
        <f>'PAG Limits '!F31</f>
        <v>-14.49</v>
      </c>
      <c r="AH24" s="345">
        <f>'PAG Limits '!G31</f>
        <v>-11.18</v>
      </c>
      <c r="AI24" s="344" t="str">
        <f t="shared" si="5"/>
        <v>Pupil excluded</v>
      </c>
      <c r="AJ24" s="344" t="str">
        <f t="shared" si="3"/>
        <v>Pupil excluded</v>
      </c>
      <c r="AK24" s="344" t="str">
        <f t="shared" si="4"/>
        <v>Pupil excluded</v>
      </c>
      <c r="AL24" s="164"/>
      <c r="AM24" s="164" t="b">
        <f>AF24='PAG Limits '!E31</f>
        <v>1</v>
      </c>
      <c r="AN24" s="164" t="b">
        <f>AG24='PAG Limits '!F31</f>
        <v>1</v>
      </c>
      <c r="AO24" s="164" t="b">
        <f>AH24='PAG Limits '!G31</f>
        <v>1</v>
      </c>
      <c r="AP24" s="241"/>
      <c r="AQ24" s="241"/>
      <c r="AR24" s="241"/>
    </row>
    <row r="25" spans="2:44" x14ac:dyDescent="0.4">
      <c r="O25" s="241"/>
      <c r="P25" s="241"/>
      <c r="Q25" s="241"/>
      <c r="R25" s="241"/>
      <c r="S25" s="241"/>
      <c r="T25" s="241"/>
      <c r="U25" s="241"/>
      <c r="V25" s="241"/>
      <c r="Y25" s="164">
        <v>21</v>
      </c>
      <c r="Z25" s="164">
        <v>21.5</v>
      </c>
      <c r="AA25" s="164" t="str">
        <f>IF(AND('KS1 Data Input'!$G$27&gt;=Y25,'KS1 Data Input'!$G$27&lt;Z25),"Y","-")</f>
        <v>-</v>
      </c>
      <c r="AB25" s="344" t="s">
        <v>266</v>
      </c>
      <c r="AC25" s="343">
        <f>'Prior Attainment Groups (PAGs)'!E31</f>
        <v>112.33</v>
      </c>
      <c r="AD25" s="343">
        <f>'Prior Attainment Groups (PAGs)'!F31</f>
        <v>110.06</v>
      </c>
      <c r="AE25" s="343">
        <f>'Prior Attainment Groups (PAGs)'!G31</f>
        <v>112.1</v>
      </c>
      <c r="AF25" s="345">
        <f>'PAG Limits '!E32</f>
        <v>-12.33</v>
      </c>
      <c r="AG25" s="345">
        <f>'PAG Limits '!F32</f>
        <v>-13.04</v>
      </c>
      <c r="AH25" s="345">
        <f>'PAG Limits '!G32</f>
        <v>-11.33</v>
      </c>
      <c r="AI25" s="344" t="str">
        <f t="shared" si="5"/>
        <v>Pupil excluded</v>
      </c>
      <c r="AJ25" s="344" t="str">
        <f t="shared" si="3"/>
        <v>Pupil excluded</v>
      </c>
      <c r="AK25" s="344" t="str">
        <f t="shared" si="4"/>
        <v>Pupil excluded</v>
      </c>
      <c r="AL25" s="164"/>
      <c r="AM25" s="164" t="b">
        <f>AF25='PAG Limits '!E32</f>
        <v>1</v>
      </c>
      <c r="AN25" s="164" t="b">
        <f>AG25='PAG Limits '!F32</f>
        <v>1</v>
      </c>
      <c r="AO25" s="164" t="b">
        <f>AH25='PAG Limits '!G32</f>
        <v>1</v>
      </c>
      <c r="AP25" s="241"/>
      <c r="AQ25" s="241"/>
      <c r="AR25" s="241"/>
    </row>
    <row r="26" spans="2:44" x14ac:dyDescent="0.4">
      <c r="O26" s="241"/>
      <c r="P26" s="241"/>
      <c r="Q26" s="241"/>
      <c r="R26" s="241"/>
      <c r="S26" s="241"/>
      <c r="T26" s="241"/>
      <c r="U26" s="241"/>
      <c r="V26" s="241"/>
      <c r="Y26" s="164">
        <v>21.5</v>
      </c>
      <c r="Z26" s="164">
        <v>27</v>
      </c>
      <c r="AA26" s="164" t="str">
        <f>IF('KS1 Data Input'!$G$27&gt;=Y26,"Y","-")</f>
        <v>Y</v>
      </c>
      <c r="AB26" s="344" t="s">
        <v>267</v>
      </c>
      <c r="AC26" s="343">
        <f>'Prior Attainment Groups (PAGs)'!E32</f>
        <v>115.46</v>
      </c>
      <c r="AD26" s="343">
        <f>'Prior Attainment Groups (PAGs)'!F32</f>
        <v>111.74</v>
      </c>
      <c r="AE26" s="343">
        <f>'Prior Attainment Groups (PAGs)'!G32</f>
        <v>115.57</v>
      </c>
      <c r="AF26" s="345">
        <f>'PAG Limits '!E33</f>
        <v>-12.03</v>
      </c>
      <c r="AG26" s="345">
        <f>'PAG Limits '!F33</f>
        <v>-11.69</v>
      </c>
      <c r="AH26" s="345">
        <f>'PAG Limits '!G33</f>
        <v>-12.66</v>
      </c>
      <c r="AI26" s="344" t="str">
        <f t="shared" si="5"/>
        <v>Pupil excluded</v>
      </c>
      <c r="AJ26" s="345" t="str">
        <f t="shared" si="3"/>
        <v>Pupil excluded</v>
      </c>
      <c r="AK26" s="344" t="str">
        <f t="shared" si="4"/>
        <v>Pupil excluded</v>
      </c>
      <c r="AL26" s="164"/>
      <c r="AM26" s="164" t="b">
        <f>AF26='PAG Limits '!E33</f>
        <v>1</v>
      </c>
      <c r="AN26" s="164" t="b">
        <f>AG26='PAG Limits '!F33</f>
        <v>1</v>
      </c>
      <c r="AO26" s="164" t="b">
        <f>AH26='PAG Limits '!G33</f>
        <v>1</v>
      </c>
      <c r="AP26" s="241"/>
      <c r="AQ26" s="241"/>
      <c r="AR26" s="241"/>
    </row>
    <row r="27" spans="2:44" x14ac:dyDescent="0.4">
      <c r="O27" s="241"/>
      <c r="P27" s="241"/>
      <c r="Q27" s="241"/>
      <c r="R27" s="241"/>
      <c r="S27" s="241"/>
      <c r="T27" s="241"/>
      <c r="U27" s="241"/>
      <c r="V27" s="241"/>
      <c r="AC27" s="300"/>
      <c r="AD27" s="300"/>
      <c r="AE27" s="300"/>
      <c r="AF27" s="300"/>
      <c r="AN27" s="241"/>
      <c r="AO27" s="241"/>
      <c r="AP27" s="241"/>
    </row>
    <row r="28" spans="2:44" x14ac:dyDescent="0.4">
      <c r="E28" s="161"/>
      <c r="F28" s="161"/>
      <c r="G28" s="238"/>
      <c r="H28" s="161"/>
      <c r="I28" s="161"/>
      <c r="J28" s="161"/>
      <c r="K28" s="161"/>
      <c r="L28" s="161"/>
      <c r="M28" s="161"/>
      <c r="N28" s="161"/>
      <c r="O28" s="241"/>
      <c r="P28" s="241"/>
      <c r="Q28" s="241"/>
      <c r="R28" s="241"/>
      <c r="S28" s="241"/>
      <c r="T28" s="241"/>
      <c r="U28" s="241"/>
      <c r="V28" s="241"/>
      <c r="AC28" s="300"/>
      <c r="AD28" s="300"/>
      <c r="AE28" s="300"/>
      <c r="AF28" s="300"/>
      <c r="AG28" s="300"/>
      <c r="AH28" s="300"/>
      <c r="AI28" s="300"/>
      <c r="AN28" s="241"/>
      <c r="AO28" s="241"/>
      <c r="AP28" s="241"/>
      <c r="AQ28" s="74"/>
      <c r="AR28" s="74"/>
    </row>
    <row r="29" spans="2:44" x14ac:dyDescent="0.4">
      <c r="E29" s="161"/>
      <c r="F29" s="161"/>
      <c r="G29" s="238"/>
      <c r="H29" s="161"/>
      <c r="I29" s="161"/>
      <c r="J29" s="161"/>
      <c r="K29" s="161"/>
      <c r="L29" s="161"/>
      <c r="M29" s="161"/>
      <c r="N29" s="161"/>
      <c r="O29" s="241"/>
      <c r="P29" s="241"/>
      <c r="Q29" s="241"/>
      <c r="R29" s="241"/>
      <c r="S29" s="241"/>
      <c r="T29" s="241"/>
      <c r="U29" s="241"/>
      <c r="V29" s="241"/>
      <c r="AC29" s="300"/>
      <c r="AD29" s="300"/>
      <c r="AN29" s="241"/>
      <c r="AO29" s="241"/>
      <c r="AP29" s="241"/>
      <c r="AQ29" s="74"/>
      <c r="AR29" s="74"/>
    </row>
    <row r="30" spans="2:44" x14ac:dyDescent="0.4">
      <c r="E30" s="161"/>
      <c r="F30" s="161"/>
      <c r="G30" s="238"/>
      <c r="H30" s="161"/>
      <c r="I30" s="161"/>
      <c r="J30" s="161"/>
      <c r="K30" s="161"/>
      <c r="L30" s="161"/>
      <c r="M30" s="161"/>
      <c r="N30" s="161"/>
      <c r="O30" s="241"/>
      <c r="P30" s="241"/>
      <c r="Q30" s="241"/>
      <c r="R30" s="241"/>
      <c r="S30" s="241"/>
      <c r="T30" s="241"/>
      <c r="U30" s="241"/>
      <c r="V30" s="241"/>
      <c r="AC30" s="300"/>
      <c r="AD30" s="300"/>
      <c r="AN30" s="241"/>
      <c r="AO30" s="241"/>
      <c r="AP30" s="241"/>
    </row>
    <row r="31" spans="2:44" x14ac:dyDescent="0.4">
      <c r="E31" s="161"/>
      <c r="F31" s="161"/>
      <c r="G31" s="238"/>
      <c r="H31" s="161"/>
      <c r="I31" s="161"/>
      <c r="J31" s="161"/>
      <c r="K31" s="161"/>
      <c r="L31" s="161"/>
      <c r="M31" s="161"/>
      <c r="N31" s="161"/>
      <c r="O31" s="241"/>
      <c r="P31" s="241"/>
      <c r="Q31" s="241"/>
      <c r="R31" s="241"/>
      <c r="S31" s="241"/>
      <c r="T31" s="241"/>
      <c r="U31" s="241"/>
      <c r="V31" s="241"/>
      <c r="AC31" s="300"/>
      <c r="AD31" s="300"/>
      <c r="AN31" s="241"/>
      <c r="AO31" s="241"/>
      <c r="AP31" s="241"/>
    </row>
    <row r="32" spans="2:44" x14ac:dyDescent="0.4">
      <c r="E32" s="161"/>
      <c r="F32" s="161"/>
      <c r="G32" s="238"/>
      <c r="H32" s="161"/>
      <c r="I32" s="161"/>
      <c r="J32" s="161"/>
      <c r="K32" s="161"/>
      <c r="L32" s="161"/>
      <c r="M32" s="161"/>
      <c r="N32" s="161"/>
      <c r="O32" s="241"/>
      <c r="P32" s="241"/>
      <c r="Q32" s="241"/>
      <c r="R32" s="241"/>
      <c r="S32" s="241"/>
      <c r="T32" s="241"/>
      <c r="U32" s="241"/>
      <c r="V32" s="241"/>
      <c r="AN32" s="241"/>
      <c r="AO32" s="241"/>
      <c r="AP32" s="241"/>
    </row>
    <row r="33" spans="5:42" x14ac:dyDescent="0.4">
      <c r="E33" s="161"/>
      <c r="F33" s="161"/>
      <c r="G33" s="238"/>
      <c r="H33" s="161"/>
      <c r="I33" s="161"/>
      <c r="J33" s="161"/>
      <c r="K33" s="161"/>
      <c r="L33" s="161"/>
      <c r="M33" s="161"/>
      <c r="N33" s="161"/>
      <c r="O33" s="241"/>
      <c r="P33" s="241"/>
      <c r="Q33" s="241"/>
      <c r="R33" s="241"/>
      <c r="S33" s="241"/>
      <c r="T33" s="241"/>
      <c r="U33" s="241"/>
      <c r="V33" s="241"/>
      <c r="AN33" s="241"/>
      <c r="AO33" s="241"/>
      <c r="AP33" s="241"/>
    </row>
    <row r="34" spans="5:42" x14ac:dyDescent="0.4">
      <c r="E34" s="161"/>
      <c r="F34" s="161"/>
      <c r="G34" s="238"/>
      <c r="H34" s="161"/>
      <c r="I34" s="161"/>
      <c r="J34" s="161"/>
      <c r="K34" s="161"/>
      <c r="L34" s="161"/>
      <c r="M34" s="161"/>
      <c r="N34" s="161"/>
      <c r="O34" s="241"/>
      <c r="P34" s="241"/>
      <c r="Q34" s="241"/>
      <c r="R34" s="241"/>
      <c r="S34" s="241"/>
      <c r="T34" s="241"/>
      <c r="U34" s="241"/>
      <c r="V34" s="241"/>
      <c r="AN34" s="241"/>
      <c r="AO34" s="241"/>
      <c r="AP34" s="241"/>
    </row>
    <row r="35" spans="5:42" x14ac:dyDescent="0.4">
      <c r="E35" s="161"/>
      <c r="F35" s="161"/>
      <c r="G35" s="238"/>
      <c r="H35" s="161"/>
      <c r="I35" s="161"/>
      <c r="J35" s="161"/>
      <c r="K35" s="161"/>
      <c r="L35" s="161"/>
      <c r="M35" s="161"/>
      <c r="N35" s="161"/>
      <c r="O35" s="241"/>
      <c r="P35" s="241"/>
      <c r="Q35" s="241"/>
      <c r="R35" s="241"/>
      <c r="S35" s="241"/>
      <c r="T35" s="241"/>
      <c r="U35" s="241"/>
      <c r="V35" s="241"/>
      <c r="AN35" s="241"/>
      <c r="AO35" s="241"/>
      <c r="AP35" s="241"/>
    </row>
    <row r="36" spans="5:42" x14ac:dyDescent="0.4">
      <c r="E36" s="161"/>
      <c r="F36" s="161"/>
      <c r="G36" s="238"/>
      <c r="H36" s="161"/>
      <c r="I36" s="161"/>
      <c r="J36" s="161"/>
      <c r="K36" s="161"/>
      <c r="L36" s="161"/>
      <c r="M36" s="161"/>
      <c r="N36" s="161"/>
      <c r="O36" s="241"/>
      <c r="P36" s="241"/>
      <c r="Q36" s="241"/>
      <c r="R36" s="241"/>
      <c r="S36" s="241"/>
      <c r="T36" s="241"/>
      <c r="U36" s="241"/>
      <c r="V36" s="241"/>
      <c r="AN36" s="241"/>
      <c r="AO36" s="241"/>
      <c r="AP36" s="241"/>
    </row>
    <row r="37" spans="5:42" x14ac:dyDescent="0.4">
      <c r="E37" s="161"/>
      <c r="F37" s="161"/>
      <c r="G37" s="238"/>
      <c r="H37" s="161"/>
      <c r="I37" s="161"/>
      <c r="J37" s="161"/>
      <c r="K37" s="161"/>
      <c r="L37" s="161"/>
      <c r="M37" s="161"/>
      <c r="N37" s="161"/>
      <c r="O37" s="241"/>
      <c r="P37" s="241"/>
      <c r="Q37" s="241"/>
      <c r="R37" s="241"/>
      <c r="S37" s="241"/>
      <c r="T37" s="241"/>
      <c r="U37" s="241"/>
      <c r="V37" s="241"/>
      <c r="AN37" s="241"/>
      <c r="AO37" s="241"/>
      <c r="AP37" s="241"/>
    </row>
    <row r="38" spans="5:42" x14ac:dyDescent="0.4">
      <c r="E38" s="161"/>
      <c r="F38" s="161"/>
      <c r="G38" s="238"/>
      <c r="H38" s="161"/>
      <c r="I38" s="161"/>
      <c r="J38" s="161"/>
      <c r="K38" s="161"/>
      <c r="L38" s="161"/>
      <c r="M38" s="161"/>
      <c r="N38" s="161"/>
      <c r="O38" s="241"/>
      <c r="P38" s="241"/>
      <c r="Q38" s="241"/>
      <c r="R38" s="241"/>
      <c r="S38" s="241"/>
      <c r="T38" s="241"/>
      <c r="U38" s="241"/>
      <c r="V38" s="241"/>
      <c r="AN38" s="241"/>
      <c r="AO38" s="241"/>
      <c r="AP38" s="241"/>
    </row>
    <row r="39" spans="5:42" x14ac:dyDescent="0.4">
      <c r="E39" s="161"/>
      <c r="F39" s="161"/>
      <c r="G39" s="238"/>
      <c r="H39" s="161"/>
      <c r="I39" s="161"/>
      <c r="J39" s="161"/>
      <c r="K39" s="161"/>
      <c r="L39" s="161"/>
      <c r="M39" s="161"/>
      <c r="N39" s="161"/>
      <c r="O39" s="241"/>
      <c r="P39" s="241"/>
      <c r="Q39" s="241"/>
      <c r="R39" s="241"/>
      <c r="S39" s="241"/>
      <c r="T39" s="241"/>
      <c r="U39" s="241"/>
      <c r="V39" s="241"/>
      <c r="AN39" s="241"/>
      <c r="AO39" s="241"/>
      <c r="AP39" s="241"/>
    </row>
    <row r="40" spans="5:42" x14ac:dyDescent="0.4">
      <c r="E40" s="161"/>
      <c r="F40" s="161"/>
      <c r="G40" s="238"/>
      <c r="H40" s="161"/>
      <c r="I40" s="161"/>
      <c r="J40" s="161"/>
      <c r="K40" s="161"/>
      <c r="L40" s="161"/>
      <c r="M40" s="161"/>
      <c r="N40" s="161"/>
      <c r="O40" s="241"/>
      <c r="P40" s="241"/>
      <c r="Q40" s="241"/>
      <c r="R40" s="241"/>
      <c r="S40" s="241"/>
      <c r="T40" s="241"/>
      <c r="U40" s="241"/>
      <c r="V40" s="241"/>
      <c r="AN40" s="241"/>
      <c r="AO40" s="241"/>
      <c r="AP40" s="241"/>
    </row>
  </sheetData>
  <sheetProtection password="DE3F" sheet="1" objects="1" scenarios="1" selectLockedCells="1"/>
  <customSheetViews>
    <customSheetView guid="{377A32C9-D8CF-4808-9C50-3AB68474CE61}" showGridLines="0" fitToPage="1" hiddenColumns="1">
      <selection activeCell="N17" sqref="N17:P18"/>
      <pageMargins left="0.75" right="0.75" top="1" bottom="1" header="0.5" footer="0.5"/>
      <pageSetup paperSize="9" scale="74" orientation="landscape" r:id="rId1"/>
      <headerFooter alignWithMargins="0"/>
    </customSheetView>
  </customSheetViews>
  <mergeCells count="5">
    <mergeCell ref="H4:J4"/>
    <mergeCell ref="H5:J5"/>
    <mergeCell ref="H2:J2"/>
    <mergeCell ref="L14:M14"/>
    <mergeCell ref="H3:J3"/>
  </mergeCells>
  <phoneticPr fontId="4" type="noConversion"/>
  <conditionalFormatting sqref="D11 F11 H11">
    <cfRule type="cellIs" dxfId="2" priority="3" stopIfTrue="1" operator="equal">
      <formula>"Pupil excluded (invalid KS2)"</formula>
    </cfRule>
  </conditionalFormatting>
  <conditionalFormatting sqref="D15 F15 H15">
    <cfRule type="cellIs" dxfId="1" priority="2" stopIfTrue="1" operator="equal">
      <formula>"Pupil excluded"</formula>
    </cfRule>
  </conditionalFormatting>
  <conditionalFormatting sqref="D17 F17 H17">
    <cfRule type="cellIs" dxfId="0" priority="1" stopIfTrue="1" operator="equal">
      <formula>"Pupil excluded"</formula>
    </cfRule>
  </conditionalFormatting>
  <hyperlinks>
    <hyperlink ref="L14:M14" location="'Single Measure Ready Reckoner'!A1" display="Back to Single Measure Ready Reckoner &lt;---"/>
  </hyperlinks>
  <pageMargins left="0.75" right="0.75" top="1" bottom="1" header="0.5" footer="0.5"/>
  <pageSetup paperSize="9" scale="74" orientation="landscape"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C2:M33"/>
  <sheetViews>
    <sheetView showGridLines="0" showRowColHeaders="0" workbookViewId="0">
      <selection activeCell="I18" sqref="I18:I20"/>
    </sheetView>
  </sheetViews>
  <sheetFormatPr defaultRowHeight="12.75" x14ac:dyDescent="0.35"/>
  <cols>
    <col min="1" max="1" width="2.73046875" customWidth="1"/>
    <col min="2" max="2" width="3.1328125" customWidth="1"/>
    <col min="3" max="4" width="28" customWidth="1"/>
    <col min="5" max="5" width="21.3984375" customWidth="1"/>
    <col min="6" max="6" width="21.1328125" customWidth="1"/>
    <col min="7" max="7" width="22" customWidth="1"/>
    <col min="9" max="9" width="19.59765625" customWidth="1"/>
  </cols>
  <sheetData>
    <row r="2" spans="3:8" ht="17.649999999999999" x14ac:dyDescent="0.5">
      <c r="C2" s="32" t="s">
        <v>299</v>
      </c>
    </row>
    <row r="4" spans="3:8" ht="15" x14ac:dyDescent="0.4">
      <c r="C4" s="79" t="s">
        <v>290</v>
      </c>
    </row>
    <row r="5" spans="3:8" ht="15" x14ac:dyDescent="0.4">
      <c r="C5" s="79" t="s">
        <v>291</v>
      </c>
    </row>
    <row r="6" spans="3:8" ht="15" x14ac:dyDescent="0.4">
      <c r="C6" s="79" t="s">
        <v>300</v>
      </c>
    </row>
    <row r="7" spans="3:8" ht="15" x14ac:dyDescent="0.4">
      <c r="C7" s="79" t="s">
        <v>292</v>
      </c>
    </row>
    <row r="9" spans="3:8" ht="30" x14ac:dyDescent="0.35">
      <c r="C9" s="246" t="s">
        <v>187</v>
      </c>
      <c r="D9" s="246" t="s">
        <v>188</v>
      </c>
      <c r="E9" s="246" t="s">
        <v>287</v>
      </c>
      <c r="F9" s="246" t="s">
        <v>288</v>
      </c>
      <c r="G9" s="246" t="s">
        <v>12</v>
      </c>
    </row>
    <row r="10" spans="3:8" ht="15" x14ac:dyDescent="0.35">
      <c r="C10" s="247">
        <v>1</v>
      </c>
      <c r="D10" s="248" t="s">
        <v>240</v>
      </c>
      <c r="E10" s="244" t="s">
        <v>289</v>
      </c>
      <c r="F10" s="244" t="s">
        <v>289</v>
      </c>
      <c r="G10" s="244" t="s">
        <v>289</v>
      </c>
    </row>
    <row r="11" spans="3:8" ht="15" x14ac:dyDescent="0.35">
      <c r="C11" s="247">
        <v>2</v>
      </c>
      <c r="D11" s="248" t="s">
        <v>241</v>
      </c>
      <c r="E11" s="244" t="s">
        <v>289</v>
      </c>
      <c r="F11" s="244" t="s">
        <v>289</v>
      </c>
      <c r="G11" s="244" t="s">
        <v>289</v>
      </c>
      <c r="H11" s="180"/>
    </row>
    <row r="12" spans="3:8" ht="15" x14ac:dyDescent="0.35">
      <c r="C12" s="247">
        <v>3</v>
      </c>
      <c r="D12" s="248" t="s">
        <v>242</v>
      </c>
      <c r="E12" s="244" t="s">
        <v>289</v>
      </c>
      <c r="F12" s="244" t="s">
        <v>289</v>
      </c>
      <c r="G12" s="244" t="s">
        <v>289</v>
      </c>
      <c r="H12" s="180"/>
    </row>
    <row r="13" spans="3:8" ht="15" x14ac:dyDescent="0.35">
      <c r="C13" s="247">
        <v>4</v>
      </c>
      <c r="D13" s="248" t="s">
        <v>243</v>
      </c>
      <c r="E13" s="244" t="s">
        <v>289</v>
      </c>
      <c r="F13" s="244" t="s">
        <v>289</v>
      </c>
      <c r="G13" s="244" t="s">
        <v>289</v>
      </c>
      <c r="H13" s="179"/>
    </row>
    <row r="14" spans="3:8" ht="15" x14ac:dyDescent="0.35">
      <c r="C14" s="247">
        <v>5</v>
      </c>
      <c r="D14" s="248" t="s">
        <v>192</v>
      </c>
      <c r="E14" s="244" t="s">
        <v>289</v>
      </c>
      <c r="F14" s="244" t="s">
        <v>289</v>
      </c>
      <c r="G14" s="244" t="s">
        <v>289</v>
      </c>
      <c r="H14" s="179"/>
    </row>
    <row r="15" spans="3:8" ht="15" x14ac:dyDescent="0.35">
      <c r="C15" s="247">
        <v>6</v>
      </c>
      <c r="D15" s="248" t="s">
        <v>193</v>
      </c>
      <c r="E15" s="244" t="s">
        <v>289</v>
      </c>
      <c r="F15" s="244" t="s">
        <v>289</v>
      </c>
      <c r="G15" s="244" t="s">
        <v>289</v>
      </c>
      <c r="H15" s="180"/>
    </row>
    <row r="16" spans="3:8" ht="15" x14ac:dyDescent="0.35">
      <c r="C16" s="247">
        <f>C15+1</f>
        <v>7</v>
      </c>
      <c r="D16" s="248" t="s">
        <v>194</v>
      </c>
      <c r="E16" s="244" t="s">
        <v>289</v>
      </c>
      <c r="F16" s="244" t="s">
        <v>289</v>
      </c>
      <c r="G16" s="244" t="s">
        <v>289</v>
      </c>
      <c r="H16" s="180"/>
    </row>
    <row r="17" spans="3:13" ht="15.4" thickBot="1" x14ac:dyDescent="0.4">
      <c r="C17" s="247">
        <f t="shared" ref="C17:C33" si="0">C16+1</f>
        <v>8</v>
      </c>
      <c r="D17" s="248" t="s">
        <v>195</v>
      </c>
      <c r="E17" s="245">
        <v>-25.52</v>
      </c>
      <c r="F17" s="244" t="s">
        <v>289</v>
      </c>
      <c r="G17" s="245">
        <v>-28.34</v>
      </c>
      <c r="K17" s="69"/>
      <c r="L17" s="69"/>
      <c r="M17" s="69"/>
    </row>
    <row r="18" spans="3:13" ht="15" x14ac:dyDescent="0.35">
      <c r="C18" s="247">
        <f t="shared" si="0"/>
        <v>9</v>
      </c>
      <c r="D18" s="248" t="s">
        <v>196</v>
      </c>
      <c r="E18" s="245">
        <v>-22.45</v>
      </c>
      <c r="F18" s="245">
        <v>-25.28</v>
      </c>
      <c r="G18" s="245">
        <v>-23.5</v>
      </c>
      <c r="I18" s="401" t="s">
        <v>172</v>
      </c>
      <c r="K18" s="69"/>
      <c r="L18" s="69"/>
      <c r="M18" s="69"/>
    </row>
    <row r="19" spans="3:13" ht="15" x14ac:dyDescent="0.35">
      <c r="C19" s="247">
        <f t="shared" si="0"/>
        <v>10</v>
      </c>
      <c r="D19" s="248" t="s">
        <v>197</v>
      </c>
      <c r="E19" s="245">
        <v>-20.95</v>
      </c>
      <c r="F19" s="245">
        <v>-23.23</v>
      </c>
      <c r="G19" s="245">
        <v>-21.19</v>
      </c>
      <c r="I19" s="402"/>
      <c r="K19" s="69"/>
      <c r="L19" s="69"/>
      <c r="M19" s="69"/>
    </row>
    <row r="20" spans="3:13" ht="15.4" thickBot="1" x14ac:dyDescent="0.4">
      <c r="C20" s="247">
        <f t="shared" si="0"/>
        <v>11</v>
      </c>
      <c r="D20" s="248" t="s">
        <v>198</v>
      </c>
      <c r="E20" s="245">
        <v>-19.89</v>
      </c>
      <c r="F20" s="245">
        <v>-22.08</v>
      </c>
      <c r="G20" s="245">
        <v>-19.34</v>
      </c>
      <c r="I20" s="403"/>
      <c r="K20" s="69"/>
      <c r="L20" s="69"/>
      <c r="M20" s="69"/>
    </row>
    <row r="21" spans="3:13" ht="15.4" thickBot="1" x14ac:dyDescent="0.4">
      <c r="C21" s="247">
        <f t="shared" si="0"/>
        <v>12</v>
      </c>
      <c r="D21" s="248" t="s">
        <v>199</v>
      </c>
      <c r="E21" s="245">
        <v>-17.97</v>
      </c>
      <c r="F21" s="245">
        <v>-20.190000000000001</v>
      </c>
      <c r="G21" s="245">
        <v>-17.66</v>
      </c>
      <c r="K21" s="69"/>
      <c r="L21" s="69"/>
      <c r="M21" s="69"/>
    </row>
    <row r="22" spans="3:13" ht="15" x14ac:dyDescent="0.35">
      <c r="C22" s="247">
        <f t="shared" si="0"/>
        <v>13</v>
      </c>
      <c r="D22" s="248" t="s">
        <v>200</v>
      </c>
      <c r="E22" s="245">
        <v>-16.95</v>
      </c>
      <c r="F22" s="245">
        <v>-18.95</v>
      </c>
      <c r="G22" s="245">
        <v>-15.93</v>
      </c>
      <c r="I22" s="392" t="s">
        <v>173</v>
      </c>
      <c r="K22" s="69"/>
      <c r="L22" s="69"/>
      <c r="M22" s="69"/>
    </row>
    <row r="23" spans="3:13" ht="15" x14ac:dyDescent="0.35">
      <c r="C23" s="247">
        <f t="shared" si="0"/>
        <v>14</v>
      </c>
      <c r="D23" s="248" t="s">
        <v>201</v>
      </c>
      <c r="E23" s="245">
        <v>-16.28</v>
      </c>
      <c r="F23" s="245">
        <v>-18.03</v>
      </c>
      <c r="G23" s="245">
        <v>-14.98</v>
      </c>
      <c r="I23" s="455"/>
      <c r="K23" s="69"/>
      <c r="L23" s="69"/>
      <c r="M23" s="69"/>
    </row>
    <row r="24" spans="3:13" ht="15.4" thickBot="1" x14ac:dyDescent="0.4">
      <c r="C24" s="247">
        <f t="shared" si="0"/>
        <v>15</v>
      </c>
      <c r="D24" s="248" t="s">
        <v>202</v>
      </c>
      <c r="E24" s="245">
        <v>-15.32</v>
      </c>
      <c r="F24" s="245">
        <v>-15.39</v>
      </c>
      <c r="G24" s="245">
        <v>-13.87</v>
      </c>
      <c r="I24" s="393"/>
      <c r="K24" s="69"/>
      <c r="L24" s="69"/>
      <c r="M24" s="69"/>
    </row>
    <row r="25" spans="3:13" ht="15.4" thickBot="1" x14ac:dyDescent="0.4">
      <c r="C25" s="247">
        <f t="shared" si="0"/>
        <v>16</v>
      </c>
      <c r="D25" s="248" t="s">
        <v>203</v>
      </c>
      <c r="E25" s="245">
        <v>-14.6</v>
      </c>
      <c r="F25" s="245">
        <v>-14.18</v>
      </c>
      <c r="G25" s="245">
        <v>-13.01</v>
      </c>
      <c r="K25" s="69"/>
      <c r="L25" s="69"/>
      <c r="M25" s="69"/>
    </row>
    <row r="26" spans="3:13" ht="15" x14ac:dyDescent="0.35">
      <c r="C26" s="247">
        <f t="shared" si="0"/>
        <v>17</v>
      </c>
      <c r="D26" s="248" t="s">
        <v>204</v>
      </c>
      <c r="E26" s="245">
        <v>-14.68</v>
      </c>
      <c r="F26" s="245">
        <v>-13.95</v>
      </c>
      <c r="G26" s="245">
        <v>-12.68</v>
      </c>
      <c r="I26" s="392" t="s">
        <v>52</v>
      </c>
      <c r="K26" s="69"/>
      <c r="L26" s="69"/>
      <c r="M26" s="69"/>
    </row>
    <row r="27" spans="3:13" ht="15" x14ac:dyDescent="0.35">
      <c r="C27" s="247">
        <f t="shared" si="0"/>
        <v>18</v>
      </c>
      <c r="D27" s="248" t="s">
        <v>205</v>
      </c>
      <c r="E27" s="245">
        <v>-13.94</v>
      </c>
      <c r="F27" s="245">
        <v>-12.75</v>
      </c>
      <c r="G27" s="245">
        <v>-12</v>
      </c>
      <c r="I27" s="455"/>
      <c r="K27" s="69"/>
      <c r="L27" s="69"/>
      <c r="M27" s="69"/>
    </row>
    <row r="28" spans="3:13" ht="15.4" thickBot="1" x14ac:dyDescent="0.4">
      <c r="C28" s="247">
        <f t="shared" si="0"/>
        <v>19</v>
      </c>
      <c r="D28" s="248" t="s">
        <v>206</v>
      </c>
      <c r="E28" s="245">
        <v>-13.83</v>
      </c>
      <c r="F28" s="245">
        <v>-13.33</v>
      </c>
      <c r="G28" s="245">
        <v>-11.92</v>
      </c>
      <c r="I28" s="393"/>
      <c r="K28" s="69"/>
      <c r="L28" s="69"/>
      <c r="M28" s="69"/>
    </row>
    <row r="29" spans="3:13" ht="15" x14ac:dyDescent="0.35">
      <c r="C29" s="247">
        <f t="shared" si="0"/>
        <v>20</v>
      </c>
      <c r="D29" s="248" t="s">
        <v>207</v>
      </c>
      <c r="E29" s="245">
        <v>-13.89</v>
      </c>
      <c r="F29" s="245">
        <v>-14.44</v>
      </c>
      <c r="G29" s="245">
        <v>-11.81</v>
      </c>
      <c r="K29" s="69"/>
      <c r="L29" s="69"/>
      <c r="M29" s="69"/>
    </row>
    <row r="30" spans="3:13" ht="15" x14ac:dyDescent="0.35">
      <c r="C30" s="247">
        <f t="shared" si="0"/>
        <v>21</v>
      </c>
      <c r="D30" s="248" t="s">
        <v>208</v>
      </c>
      <c r="E30" s="245">
        <v>-13.57</v>
      </c>
      <c r="F30" s="245">
        <v>-14.92</v>
      </c>
      <c r="G30" s="245">
        <v>-11.66</v>
      </c>
      <c r="K30" s="69"/>
      <c r="L30" s="69"/>
      <c r="M30" s="69"/>
    </row>
    <row r="31" spans="3:13" ht="15" x14ac:dyDescent="0.35">
      <c r="C31" s="247">
        <f t="shared" si="0"/>
        <v>22</v>
      </c>
      <c r="D31" s="248" t="s">
        <v>209</v>
      </c>
      <c r="E31" s="245">
        <v>-12.84</v>
      </c>
      <c r="F31" s="245">
        <v>-14.49</v>
      </c>
      <c r="G31" s="245">
        <v>-11.18</v>
      </c>
      <c r="K31" s="69"/>
      <c r="L31" s="69"/>
      <c r="M31" s="69"/>
    </row>
    <row r="32" spans="3:13" ht="15" x14ac:dyDescent="0.35">
      <c r="C32" s="247">
        <f t="shared" si="0"/>
        <v>23</v>
      </c>
      <c r="D32" s="248" t="s">
        <v>210</v>
      </c>
      <c r="E32" s="245">
        <v>-12.33</v>
      </c>
      <c r="F32" s="245">
        <v>-13.04</v>
      </c>
      <c r="G32" s="245">
        <v>-11.33</v>
      </c>
      <c r="K32" s="69"/>
      <c r="L32" s="69"/>
      <c r="M32" s="69"/>
    </row>
    <row r="33" spans="3:13" ht="15" x14ac:dyDescent="0.35">
      <c r="C33" s="247">
        <f t="shared" si="0"/>
        <v>24</v>
      </c>
      <c r="D33" s="248" t="s">
        <v>211</v>
      </c>
      <c r="E33" s="245">
        <v>-12.03</v>
      </c>
      <c r="F33" s="245">
        <v>-11.69</v>
      </c>
      <c r="G33" s="245">
        <v>-12.66</v>
      </c>
      <c r="H33" s="84"/>
      <c r="I33" s="84"/>
      <c r="K33" s="69"/>
      <c r="L33" s="69"/>
      <c r="M33" s="69"/>
    </row>
  </sheetData>
  <sheetProtection password="DE3F" sheet="1" objects="1" scenarios="1" selectLockedCells="1"/>
  <mergeCells count="3">
    <mergeCell ref="I18:I20"/>
    <mergeCell ref="I22:I24"/>
    <mergeCell ref="I26:I28"/>
  </mergeCells>
  <hyperlinks>
    <hyperlink ref="I18:I19" location="'1 Measure Ready Reckoner'!A1" display="Back to Single Measure Ready Reckoner &lt;---"/>
    <hyperlink ref="I22:I23" location="'All Measures Ready Reckoner'!A1" display="Back to All Measures Ready Reckoner &lt;---"/>
    <hyperlink ref="I26:I27" location="Guidance!A1" display="Back to Ready Reckoner Guidance &lt;---"/>
    <hyperlink ref="I18:I20" location="'Single Measure Ready Reckoner'!A1" display="Back to Single Measure Ready Reckoner &lt;---"/>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pageSetUpPr fitToPage="1"/>
  </sheetPr>
  <dimension ref="C2:AA62"/>
  <sheetViews>
    <sheetView showGridLines="0" showRowColHeaders="0" zoomScaleNormal="100" workbookViewId="0">
      <selection activeCell="I25" sqref="I25:I27"/>
    </sheetView>
  </sheetViews>
  <sheetFormatPr defaultRowHeight="12.75" x14ac:dyDescent="0.35"/>
  <cols>
    <col min="1" max="2" width="2.1328125" customWidth="1"/>
    <col min="3" max="3" width="20.59765625" customWidth="1"/>
    <col min="4" max="4" width="19.73046875" customWidth="1"/>
    <col min="5" max="5" width="25.59765625" customWidth="1"/>
    <col min="6" max="6" width="24.1328125" customWidth="1"/>
    <col min="7" max="7" width="23" customWidth="1"/>
    <col min="8" max="8" width="5.3984375" customWidth="1"/>
    <col min="9" max="9" width="21.1328125" customWidth="1"/>
    <col min="10" max="10" width="12.1328125" style="74" customWidth="1"/>
    <col min="11" max="11" width="9" style="249" customWidth="1"/>
    <col min="12" max="12" width="17.73046875" style="287" hidden="1" customWidth="1"/>
    <col min="13" max="13" width="10.59765625" style="287" hidden="1" customWidth="1"/>
    <col min="14" max="14" width="9.265625" style="287" hidden="1" customWidth="1"/>
    <col min="15" max="15" width="9.59765625" style="287" hidden="1" customWidth="1"/>
    <col min="16" max="16" width="5.3984375" style="287" hidden="1" customWidth="1"/>
    <col min="17" max="17" width="5.59765625" style="287" hidden="1" customWidth="1"/>
    <col min="18" max="18" width="8.265625" style="287" hidden="1" customWidth="1"/>
    <col min="19" max="19" width="13.86328125" style="287" hidden="1" customWidth="1"/>
    <col min="20" max="20" width="9.1328125" style="287" hidden="1" customWidth="1"/>
    <col min="21" max="21" width="10.1328125" style="287" hidden="1" customWidth="1"/>
    <col min="22" max="22" width="11.73046875" style="287" hidden="1" customWidth="1"/>
    <col min="23" max="25" width="9.1328125" style="287" hidden="1" customWidth="1"/>
    <col min="26" max="26" width="9" style="249" customWidth="1"/>
    <col min="27" max="27" width="9" style="74" customWidth="1"/>
    <col min="28" max="28" width="13" customWidth="1"/>
    <col min="29" max="29" width="22" customWidth="1"/>
    <col min="32" max="32" width="14.1328125" customWidth="1"/>
    <col min="33" max="33" width="10.3984375" customWidth="1"/>
  </cols>
  <sheetData>
    <row r="2" spans="3:25" ht="17.649999999999999" x14ac:dyDescent="0.5">
      <c r="C2" s="32" t="s">
        <v>84</v>
      </c>
      <c r="O2" s="250"/>
      <c r="P2" s="253"/>
      <c r="Q2" s="253"/>
      <c r="R2" s="253"/>
      <c r="S2" s="253"/>
      <c r="T2" s="250"/>
      <c r="U2" s="250"/>
    </row>
    <row r="3" spans="3:25" ht="12.75" customHeight="1" x14ac:dyDescent="0.35">
      <c r="O3" s="253"/>
      <c r="P3" s="253"/>
      <c r="Q3" s="253"/>
      <c r="R3" s="253"/>
      <c r="S3" s="253"/>
      <c r="T3" s="250"/>
      <c r="U3" s="288"/>
      <c r="V3" s="289"/>
      <c r="W3" s="289"/>
    </row>
    <row r="4" spans="3:25" ht="18" customHeight="1" x14ac:dyDescent="0.45">
      <c r="C4" s="79" t="s">
        <v>278</v>
      </c>
      <c r="O4" s="253"/>
      <c r="P4" s="290"/>
      <c r="Q4" s="291"/>
      <c r="R4" s="291"/>
      <c r="S4" s="291"/>
      <c r="T4" s="250"/>
      <c r="U4" s="292"/>
      <c r="V4" s="289"/>
      <c r="W4" s="289"/>
    </row>
    <row r="5" spans="3:25" ht="18" customHeight="1" x14ac:dyDescent="0.45">
      <c r="C5" s="79" t="s">
        <v>228</v>
      </c>
      <c r="L5" s="347" t="s">
        <v>306</v>
      </c>
      <c r="M5" s="319"/>
      <c r="N5" s="319"/>
      <c r="O5" s="348"/>
      <c r="P5" s="349"/>
      <c r="Q5" s="350"/>
      <c r="R5" s="351"/>
      <c r="S5" s="349"/>
      <c r="T5" s="352"/>
      <c r="U5" s="353"/>
      <c r="V5" s="336"/>
      <c r="W5" s="336"/>
      <c r="X5" s="268"/>
      <c r="Y5" s="268"/>
    </row>
    <row r="6" spans="3:25" ht="18" customHeight="1" x14ac:dyDescent="0.45">
      <c r="C6" s="79" t="s">
        <v>229</v>
      </c>
      <c r="L6" s="268"/>
      <c r="M6" s="268"/>
      <c r="N6" s="268"/>
      <c r="O6" s="348"/>
      <c r="P6" s="349"/>
      <c r="Q6" s="350"/>
      <c r="R6" s="351"/>
      <c r="S6" s="349"/>
      <c r="T6" s="352"/>
      <c r="U6" s="354"/>
      <c r="V6" s="336"/>
      <c r="W6" s="336"/>
      <c r="X6" s="268"/>
      <c r="Y6" s="268"/>
    </row>
    <row r="7" spans="3:25" ht="21" customHeight="1" x14ac:dyDescent="0.45">
      <c r="L7" s="355" t="s">
        <v>362</v>
      </c>
      <c r="M7" s="268"/>
      <c r="N7" s="268"/>
      <c r="O7" s="348"/>
      <c r="P7" s="356"/>
      <c r="Q7" s="356"/>
      <c r="R7" s="351"/>
      <c r="S7" s="357" t="s">
        <v>308</v>
      </c>
      <c r="T7" s="352"/>
      <c r="U7" s="353"/>
      <c r="V7" s="336"/>
      <c r="W7" s="336"/>
      <c r="X7" s="268"/>
      <c r="Y7" s="268"/>
    </row>
    <row r="8" spans="3:25" ht="38.25" customHeight="1" x14ac:dyDescent="0.45">
      <c r="C8" s="246" t="s">
        <v>187</v>
      </c>
      <c r="D8" s="246" t="s">
        <v>188</v>
      </c>
      <c r="E8" s="246" t="s">
        <v>189</v>
      </c>
      <c r="F8" s="246" t="s">
        <v>190</v>
      </c>
      <c r="G8" s="246" t="s">
        <v>191</v>
      </c>
      <c r="L8" s="358" t="s">
        <v>302</v>
      </c>
      <c r="M8" s="358" t="s">
        <v>303</v>
      </c>
      <c r="N8" s="348" t="s">
        <v>304</v>
      </c>
      <c r="O8" s="359" t="s">
        <v>305</v>
      </c>
      <c r="P8" s="356"/>
      <c r="Q8" s="351"/>
      <c r="R8" s="351"/>
      <c r="S8" s="360" t="s">
        <v>302</v>
      </c>
      <c r="T8" s="361" t="s">
        <v>303</v>
      </c>
      <c r="U8" s="362" t="s">
        <v>304</v>
      </c>
      <c r="V8" s="362" t="s">
        <v>305</v>
      </c>
      <c r="W8" s="363" t="s">
        <v>310</v>
      </c>
      <c r="X8" s="363" t="s">
        <v>310</v>
      </c>
      <c r="Y8" s="363" t="s">
        <v>310</v>
      </c>
    </row>
    <row r="9" spans="3:25" ht="15" x14ac:dyDescent="0.45">
      <c r="C9" s="247">
        <v>1</v>
      </c>
      <c r="D9" s="248" t="s">
        <v>240</v>
      </c>
      <c r="E9" s="244">
        <v>61.82</v>
      </c>
      <c r="F9" s="244">
        <v>61.76</v>
      </c>
      <c r="G9" s="244">
        <v>62.11</v>
      </c>
      <c r="L9" s="268">
        <v>1</v>
      </c>
      <c r="M9" s="336">
        <v>61.82</v>
      </c>
      <c r="N9" s="364">
        <v>61.76</v>
      </c>
      <c r="O9" s="365">
        <v>62.11</v>
      </c>
      <c r="P9" s="351" t="b">
        <f>M9=E9</f>
        <v>1</v>
      </c>
      <c r="Q9" s="351" t="b">
        <f>N9=F9</f>
        <v>1</v>
      </c>
      <c r="R9" s="351" t="b">
        <f>O9=G9</f>
        <v>1</v>
      </c>
      <c r="S9" s="352">
        <v>1</v>
      </c>
      <c r="T9" s="366">
        <v>61.94</v>
      </c>
      <c r="U9" s="367">
        <v>61.81</v>
      </c>
      <c r="V9" s="367">
        <v>61.98</v>
      </c>
      <c r="W9" s="336">
        <f>T9-M9</f>
        <v>0.11999999999999744</v>
      </c>
      <c r="X9" s="336">
        <f>U9-N9</f>
        <v>5.0000000000004263E-2</v>
      </c>
      <c r="Y9" s="336">
        <f>V9-O9</f>
        <v>-0.13000000000000256</v>
      </c>
    </row>
    <row r="10" spans="3:25" ht="15" x14ac:dyDescent="0.45">
      <c r="C10" s="247">
        <v>2</v>
      </c>
      <c r="D10" s="248" t="s">
        <v>241</v>
      </c>
      <c r="E10" s="244">
        <v>66.02</v>
      </c>
      <c r="F10" s="244">
        <v>65.58</v>
      </c>
      <c r="G10" s="244">
        <v>66.709999999999994</v>
      </c>
      <c r="H10" s="180"/>
      <c r="L10" s="268">
        <v>2</v>
      </c>
      <c r="M10" s="336">
        <v>66.02</v>
      </c>
      <c r="N10" s="364">
        <v>65.58</v>
      </c>
      <c r="O10" s="365">
        <v>66.709999999999994</v>
      </c>
      <c r="P10" s="351" t="b">
        <f t="shared" ref="P10:P32" si="0">M10=E10</f>
        <v>1</v>
      </c>
      <c r="Q10" s="351" t="b">
        <f t="shared" ref="Q10:Q32" si="1">N10=F10</f>
        <v>1</v>
      </c>
      <c r="R10" s="351" t="b">
        <f t="shared" ref="R10:R32" si="2">O10=G10</f>
        <v>1</v>
      </c>
      <c r="S10" s="352">
        <v>2</v>
      </c>
      <c r="T10" s="368">
        <v>67.290000000000006</v>
      </c>
      <c r="U10" s="367">
        <v>66.739999999999995</v>
      </c>
      <c r="V10" s="367">
        <v>67.239999999999995</v>
      </c>
      <c r="W10" s="336">
        <f t="shared" ref="W10:W32" si="3">T10-M10</f>
        <v>1.2700000000000102</v>
      </c>
      <c r="X10" s="336">
        <f t="shared" ref="X10:X32" si="4">U10-N10</f>
        <v>1.1599999999999966</v>
      </c>
      <c r="Y10" s="336">
        <f t="shared" ref="Y10:Y32" si="5">V10-O10</f>
        <v>0.53000000000000114</v>
      </c>
    </row>
    <row r="11" spans="3:25" ht="15" x14ac:dyDescent="0.45">
      <c r="C11" s="247">
        <v>3</v>
      </c>
      <c r="D11" s="248" t="s">
        <v>242</v>
      </c>
      <c r="E11" s="244">
        <v>69.349999999999994</v>
      </c>
      <c r="F11" s="244">
        <v>68.75</v>
      </c>
      <c r="G11" s="244">
        <v>70.16</v>
      </c>
      <c r="H11" s="180"/>
      <c r="L11" s="268">
        <v>3</v>
      </c>
      <c r="M11" s="336">
        <v>69.349999999999994</v>
      </c>
      <c r="N11" s="364">
        <v>68.75</v>
      </c>
      <c r="O11" s="365">
        <v>70.16</v>
      </c>
      <c r="P11" s="351" t="b">
        <f t="shared" si="0"/>
        <v>1</v>
      </c>
      <c r="Q11" s="351" t="b">
        <f t="shared" si="1"/>
        <v>1</v>
      </c>
      <c r="R11" s="351" t="b">
        <f t="shared" si="2"/>
        <v>1</v>
      </c>
      <c r="S11" s="352">
        <v>3</v>
      </c>
      <c r="T11" s="368">
        <v>70.42</v>
      </c>
      <c r="U11" s="367">
        <v>70.08</v>
      </c>
      <c r="V11" s="367">
        <v>70.25</v>
      </c>
      <c r="W11" s="336">
        <f t="shared" si="3"/>
        <v>1.0700000000000074</v>
      </c>
      <c r="X11" s="336">
        <f t="shared" si="4"/>
        <v>1.3299999999999983</v>
      </c>
      <c r="Y11" s="336">
        <f t="shared" si="5"/>
        <v>9.0000000000003411E-2</v>
      </c>
    </row>
    <row r="12" spans="3:25" ht="15" x14ac:dyDescent="0.45">
      <c r="C12" s="247">
        <v>4</v>
      </c>
      <c r="D12" s="248" t="s">
        <v>307</v>
      </c>
      <c r="E12" s="244">
        <v>72.739999999999995</v>
      </c>
      <c r="F12" s="244">
        <v>72.27</v>
      </c>
      <c r="G12" s="244">
        <v>73.88</v>
      </c>
      <c r="H12" s="179"/>
      <c r="L12" s="268">
        <v>4</v>
      </c>
      <c r="M12" s="336">
        <v>72.739999999999995</v>
      </c>
      <c r="N12" s="364">
        <v>72.27</v>
      </c>
      <c r="O12" s="365">
        <v>73.88</v>
      </c>
      <c r="P12" s="351" t="b">
        <f t="shared" si="0"/>
        <v>1</v>
      </c>
      <c r="Q12" s="351" t="b">
        <f t="shared" si="1"/>
        <v>1</v>
      </c>
      <c r="R12" s="351" t="b">
        <f t="shared" si="2"/>
        <v>1</v>
      </c>
      <c r="S12" s="352">
        <v>4</v>
      </c>
      <c r="T12" s="366">
        <v>73.67</v>
      </c>
      <c r="U12" s="367">
        <v>73.34</v>
      </c>
      <c r="V12" s="367">
        <v>73.52</v>
      </c>
      <c r="W12" s="336">
        <f t="shared" si="3"/>
        <v>0.93000000000000682</v>
      </c>
      <c r="X12" s="336">
        <f t="shared" si="4"/>
        <v>1.0700000000000074</v>
      </c>
      <c r="Y12" s="336">
        <f t="shared" si="5"/>
        <v>-0.35999999999999943</v>
      </c>
    </row>
    <row r="13" spans="3:25" ht="15" x14ac:dyDescent="0.45">
      <c r="C13" s="247">
        <v>5</v>
      </c>
      <c r="D13" s="248" t="s">
        <v>192</v>
      </c>
      <c r="E13" s="244">
        <v>76.489999999999995</v>
      </c>
      <c r="F13" s="244">
        <v>75.53</v>
      </c>
      <c r="G13" s="244">
        <v>77.44</v>
      </c>
      <c r="H13" s="179"/>
      <c r="L13" s="268">
        <v>5</v>
      </c>
      <c r="M13" s="336">
        <v>76.489999999999995</v>
      </c>
      <c r="N13" s="369">
        <v>75.53</v>
      </c>
      <c r="O13" s="369">
        <v>77.44</v>
      </c>
      <c r="P13" s="351" t="b">
        <f t="shared" si="0"/>
        <v>1</v>
      </c>
      <c r="Q13" s="351" t="b">
        <f t="shared" si="1"/>
        <v>1</v>
      </c>
      <c r="R13" s="351" t="b">
        <f t="shared" si="2"/>
        <v>1</v>
      </c>
      <c r="S13" s="352">
        <v>5</v>
      </c>
      <c r="T13" s="368">
        <v>76.959999999999994</v>
      </c>
      <c r="U13" s="367">
        <v>76.61</v>
      </c>
      <c r="V13" s="367">
        <v>77.069999999999993</v>
      </c>
      <c r="W13" s="336">
        <f t="shared" si="3"/>
        <v>0.46999999999999886</v>
      </c>
      <c r="X13" s="336">
        <f t="shared" si="4"/>
        <v>1.0799999999999983</v>
      </c>
      <c r="Y13" s="336">
        <f t="shared" si="5"/>
        <v>-0.37000000000000455</v>
      </c>
    </row>
    <row r="14" spans="3:25" ht="15" x14ac:dyDescent="0.45">
      <c r="C14" s="247">
        <v>6</v>
      </c>
      <c r="D14" s="248" t="s">
        <v>193</v>
      </c>
      <c r="E14" s="244">
        <v>79.260000000000005</v>
      </c>
      <c r="F14" s="244">
        <v>78.680000000000007</v>
      </c>
      <c r="G14" s="244">
        <v>80.180000000000007</v>
      </c>
      <c r="H14" s="180"/>
      <c r="L14" s="268">
        <v>6</v>
      </c>
      <c r="M14" s="336">
        <v>79.260000000000005</v>
      </c>
      <c r="N14" s="369">
        <v>78.680000000000007</v>
      </c>
      <c r="O14" s="369">
        <v>80.180000000000007</v>
      </c>
      <c r="P14" s="351" t="b">
        <f t="shared" si="0"/>
        <v>1</v>
      </c>
      <c r="Q14" s="351" t="b">
        <f t="shared" si="1"/>
        <v>1</v>
      </c>
      <c r="R14" s="351" t="b">
        <f t="shared" si="2"/>
        <v>1</v>
      </c>
      <c r="S14" s="352">
        <v>6</v>
      </c>
      <c r="T14" s="368">
        <v>80.83</v>
      </c>
      <c r="U14" s="367">
        <v>79.8</v>
      </c>
      <c r="V14" s="367">
        <v>81.290000000000006</v>
      </c>
      <c r="W14" s="336">
        <f t="shared" si="3"/>
        <v>1.5699999999999932</v>
      </c>
      <c r="X14" s="336">
        <f t="shared" si="4"/>
        <v>1.1199999999999903</v>
      </c>
      <c r="Y14" s="336">
        <f t="shared" si="5"/>
        <v>1.1099999999999994</v>
      </c>
    </row>
    <row r="15" spans="3:25" ht="15" x14ac:dyDescent="0.45">
      <c r="C15" s="247">
        <f>C14+1</f>
        <v>7</v>
      </c>
      <c r="D15" s="248" t="s">
        <v>194</v>
      </c>
      <c r="E15" s="244">
        <v>82.87</v>
      </c>
      <c r="F15" s="244">
        <v>82</v>
      </c>
      <c r="G15" s="244">
        <v>85.04</v>
      </c>
      <c r="H15" s="180"/>
      <c r="L15" s="268">
        <v>7</v>
      </c>
      <c r="M15" s="336">
        <v>82.87</v>
      </c>
      <c r="N15" s="336">
        <v>82</v>
      </c>
      <c r="O15" s="336">
        <v>85.04</v>
      </c>
      <c r="P15" s="351" t="b">
        <f t="shared" si="0"/>
        <v>1</v>
      </c>
      <c r="Q15" s="351" t="b">
        <f t="shared" si="1"/>
        <v>1</v>
      </c>
      <c r="R15" s="351" t="b">
        <f t="shared" si="2"/>
        <v>1</v>
      </c>
      <c r="S15" s="268">
        <v>7</v>
      </c>
      <c r="T15" s="366">
        <v>84.08</v>
      </c>
      <c r="U15" s="367">
        <v>82.3</v>
      </c>
      <c r="V15" s="367">
        <v>85.11</v>
      </c>
      <c r="W15" s="336">
        <f t="shared" si="3"/>
        <v>1.2099999999999937</v>
      </c>
      <c r="X15" s="336">
        <f t="shared" si="4"/>
        <v>0.29999999999999716</v>
      </c>
      <c r="Y15" s="336">
        <f t="shared" si="5"/>
        <v>6.9999999999993179E-2</v>
      </c>
    </row>
    <row r="16" spans="3:25" ht="15.4" thickBot="1" x14ac:dyDescent="0.5">
      <c r="C16" s="247">
        <f t="shared" ref="C16:C32" si="6">C15+1</f>
        <v>8</v>
      </c>
      <c r="D16" s="248" t="s">
        <v>195</v>
      </c>
      <c r="E16" s="244">
        <v>86.4</v>
      </c>
      <c r="F16" s="244">
        <v>84.79</v>
      </c>
      <c r="G16" s="244">
        <v>88.46</v>
      </c>
      <c r="L16" s="268">
        <v>8</v>
      </c>
      <c r="M16" s="336">
        <v>86.4</v>
      </c>
      <c r="N16" s="336">
        <v>84.79</v>
      </c>
      <c r="O16" s="336">
        <v>88.46</v>
      </c>
      <c r="P16" s="351" t="b">
        <f t="shared" si="0"/>
        <v>1</v>
      </c>
      <c r="Q16" s="351" t="b">
        <f t="shared" si="1"/>
        <v>1</v>
      </c>
      <c r="R16" s="351" t="b">
        <f t="shared" si="2"/>
        <v>1</v>
      </c>
      <c r="S16" s="268">
        <v>8</v>
      </c>
      <c r="T16" s="368">
        <v>87.74</v>
      </c>
      <c r="U16" s="367">
        <v>85.23</v>
      </c>
      <c r="V16" s="367">
        <v>88.8</v>
      </c>
      <c r="W16" s="336">
        <f t="shared" si="3"/>
        <v>1.3399999999999892</v>
      </c>
      <c r="X16" s="336">
        <f t="shared" si="4"/>
        <v>0.43999999999999773</v>
      </c>
      <c r="Y16" s="336">
        <f t="shared" si="5"/>
        <v>0.34000000000000341</v>
      </c>
    </row>
    <row r="17" spans="3:25" ht="15" x14ac:dyDescent="0.45">
      <c r="C17" s="247">
        <f t="shared" si="6"/>
        <v>9</v>
      </c>
      <c r="D17" s="248" t="s">
        <v>196</v>
      </c>
      <c r="E17" s="244">
        <v>89.04</v>
      </c>
      <c r="F17" s="244">
        <v>88.03</v>
      </c>
      <c r="G17" s="244">
        <v>90.38</v>
      </c>
      <c r="I17" s="401" t="s">
        <v>172</v>
      </c>
      <c r="L17" s="268">
        <v>9</v>
      </c>
      <c r="M17" s="336">
        <v>89.04</v>
      </c>
      <c r="N17" s="336">
        <v>88.03</v>
      </c>
      <c r="O17" s="336">
        <v>90.38</v>
      </c>
      <c r="P17" s="351" t="b">
        <f t="shared" si="0"/>
        <v>1</v>
      </c>
      <c r="Q17" s="351" t="b">
        <f t="shared" si="1"/>
        <v>1</v>
      </c>
      <c r="R17" s="351" t="b">
        <f t="shared" si="2"/>
        <v>1</v>
      </c>
      <c r="S17" s="268">
        <v>9</v>
      </c>
      <c r="T17" s="368">
        <v>90.64</v>
      </c>
      <c r="U17" s="367">
        <v>88.46</v>
      </c>
      <c r="V17" s="367">
        <v>90.65</v>
      </c>
      <c r="W17" s="336">
        <f t="shared" si="3"/>
        <v>1.5999999999999943</v>
      </c>
      <c r="X17" s="336">
        <f t="shared" si="4"/>
        <v>0.42999999999999261</v>
      </c>
      <c r="Y17" s="336">
        <f t="shared" si="5"/>
        <v>0.27000000000001023</v>
      </c>
    </row>
    <row r="18" spans="3:25" ht="15" x14ac:dyDescent="0.45">
      <c r="C18" s="247">
        <f t="shared" si="6"/>
        <v>10</v>
      </c>
      <c r="D18" s="248" t="s">
        <v>197</v>
      </c>
      <c r="E18" s="244">
        <v>93.43</v>
      </c>
      <c r="F18" s="244">
        <v>91.88</v>
      </c>
      <c r="G18" s="244">
        <v>94.72</v>
      </c>
      <c r="I18" s="402"/>
      <c r="L18" s="268">
        <v>10</v>
      </c>
      <c r="M18" s="336">
        <v>93.43</v>
      </c>
      <c r="N18" s="336">
        <v>91.88</v>
      </c>
      <c r="O18" s="336">
        <v>94.72</v>
      </c>
      <c r="P18" s="351" t="b">
        <f t="shared" si="0"/>
        <v>1</v>
      </c>
      <c r="Q18" s="351" t="b">
        <f t="shared" si="1"/>
        <v>1</v>
      </c>
      <c r="R18" s="351" t="b">
        <f t="shared" si="2"/>
        <v>1</v>
      </c>
      <c r="S18" s="268">
        <v>10</v>
      </c>
      <c r="T18" s="366">
        <v>95.09</v>
      </c>
      <c r="U18" s="367">
        <v>92.42</v>
      </c>
      <c r="V18" s="367">
        <v>94.85</v>
      </c>
      <c r="W18" s="336">
        <f t="shared" si="3"/>
        <v>1.6599999999999966</v>
      </c>
      <c r="X18" s="336">
        <f t="shared" si="4"/>
        <v>0.54000000000000625</v>
      </c>
      <c r="Y18" s="336">
        <f t="shared" si="5"/>
        <v>0.12999999999999545</v>
      </c>
    </row>
    <row r="19" spans="3:25" ht="15.4" thickBot="1" x14ac:dyDescent="0.5">
      <c r="C19" s="247">
        <f t="shared" si="6"/>
        <v>11</v>
      </c>
      <c r="D19" s="248" t="s">
        <v>198</v>
      </c>
      <c r="E19" s="244">
        <v>95.69</v>
      </c>
      <c r="F19" s="244">
        <v>93.7</v>
      </c>
      <c r="G19" s="244">
        <v>97.59</v>
      </c>
      <c r="I19" s="403"/>
      <c r="L19" s="268">
        <v>11</v>
      </c>
      <c r="M19" s="336">
        <v>95.69</v>
      </c>
      <c r="N19" s="336">
        <v>93.7</v>
      </c>
      <c r="O19" s="336">
        <v>97.59</v>
      </c>
      <c r="P19" s="351" t="b">
        <f t="shared" si="0"/>
        <v>1</v>
      </c>
      <c r="Q19" s="351" t="b">
        <f t="shared" si="1"/>
        <v>1</v>
      </c>
      <c r="R19" s="351" t="b">
        <f t="shared" si="2"/>
        <v>1</v>
      </c>
      <c r="S19" s="268">
        <v>11</v>
      </c>
      <c r="T19" s="368">
        <v>97.55</v>
      </c>
      <c r="U19" s="367">
        <v>94.2</v>
      </c>
      <c r="V19" s="367">
        <v>97.64</v>
      </c>
      <c r="W19" s="336">
        <f t="shared" si="3"/>
        <v>1.8599999999999994</v>
      </c>
      <c r="X19" s="336">
        <f t="shared" si="4"/>
        <v>0.5</v>
      </c>
      <c r="Y19" s="336">
        <f t="shared" si="5"/>
        <v>4.9999999999997158E-2</v>
      </c>
    </row>
    <row r="20" spans="3:25" ht="15.4" thickBot="1" x14ac:dyDescent="0.5">
      <c r="C20" s="247">
        <f t="shared" si="6"/>
        <v>12</v>
      </c>
      <c r="D20" s="248" t="s">
        <v>199</v>
      </c>
      <c r="E20" s="244">
        <v>97.68</v>
      </c>
      <c r="F20" s="244">
        <v>96.36</v>
      </c>
      <c r="G20" s="244">
        <v>98.66</v>
      </c>
      <c r="L20" s="370">
        <v>12</v>
      </c>
      <c r="M20" s="336">
        <v>97.68</v>
      </c>
      <c r="N20" s="336">
        <v>96.36</v>
      </c>
      <c r="O20" s="336">
        <v>98.66</v>
      </c>
      <c r="P20" s="351" t="b">
        <f t="shared" si="0"/>
        <v>1</v>
      </c>
      <c r="Q20" s="351" t="b">
        <f t="shared" si="1"/>
        <v>1</v>
      </c>
      <c r="R20" s="351" t="b">
        <f t="shared" si="2"/>
        <v>1</v>
      </c>
      <c r="S20" s="268">
        <v>12</v>
      </c>
      <c r="T20" s="368">
        <v>99.14</v>
      </c>
      <c r="U20" s="367">
        <v>96.76</v>
      </c>
      <c r="V20" s="367">
        <v>98.55</v>
      </c>
      <c r="W20" s="336">
        <f t="shared" si="3"/>
        <v>1.4599999999999937</v>
      </c>
      <c r="X20" s="336">
        <f t="shared" si="4"/>
        <v>0.40000000000000568</v>
      </c>
      <c r="Y20" s="336">
        <f t="shared" si="5"/>
        <v>-0.10999999999999943</v>
      </c>
    </row>
    <row r="21" spans="3:25" ht="15" x14ac:dyDescent="0.45">
      <c r="C21" s="247">
        <f t="shared" si="6"/>
        <v>13</v>
      </c>
      <c r="D21" s="248" t="s">
        <v>200</v>
      </c>
      <c r="E21" s="244">
        <v>99.08</v>
      </c>
      <c r="F21" s="244">
        <v>98.24</v>
      </c>
      <c r="G21" s="244">
        <v>100.51</v>
      </c>
      <c r="I21" s="392" t="s">
        <v>173</v>
      </c>
      <c r="J21" s="284"/>
      <c r="L21" s="370">
        <v>13</v>
      </c>
      <c r="M21" s="336">
        <v>99.08</v>
      </c>
      <c r="N21" s="336">
        <v>98.24</v>
      </c>
      <c r="O21" s="336">
        <v>100.51</v>
      </c>
      <c r="P21" s="351" t="b">
        <f t="shared" si="0"/>
        <v>1</v>
      </c>
      <c r="Q21" s="351" t="b">
        <f t="shared" si="1"/>
        <v>1</v>
      </c>
      <c r="R21" s="351" t="b">
        <f t="shared" si="2"/>
        <v>1</v>
      </c>
      <c r="S21" s="268">
        <v>13</v>
      </c>
      <c r="T21" s="366">
        <v>100.66</v>
      </c>
      <c r="U21" s="367">
        <v>98.64</v>
      </c>
      <c r="V21" s="367">
        <v>100.33</v>
      </c>
      <c r="W21" s="336">
        <f t="shared" si="3"/>
        <v>1.5799999999999983</v>
      </c>
      <c r="X21" s="336">
        <f t="shared" si="4"/>
        <v>0.40000000000000568</v>
      </c>
      <c r="Y21" s="336">
        <f t="shared" si="5"/>
        <v>-0.18000000000000682</v>
      </c>
    </row>
    <row r="22" spans="3:25" ht="15" x14ac:dyDescent="0.45">
      <c r="C22" s="247">
        <f t="shared" si="6"/>
        <v>14</v>
      </c>
      <c r="D22" s="248" t="s">
        <v>201</v>
      </c>
      <c r="E22" s="244">
        <v>100.56</v>
      </c>
      <c r="F22" s="244">
        <v>99.1</v>
      </c>
      <c r="G22" s="244">
        <v>101.79</v>
      </c>
      <c r="I22" s="455"/>
      <c r="J22" s="284"/>
      <c r="L22" s="268">
        <v>14</v>
      </c>
      <c r="M22" s="336">
        <v>100.56</v>
      </c>
      <c r="N22" s="336">
        <v>99.1</v>
      </c>
      <c r="O22" s="336">
        <v>101.79</v>
      </c>
      <c r="P22" s="351" t="b">
        <f t="shared" si="0"/>
        <v>1</v>
      </c>
      <c r="Q22" s="351" t="b">
        <f t="shared" si="1"/>
        <v>1</v>
      </c>
      <c r="R22" s="351" t="b">
        <f t="shared" si="2"/>
        <v>1</v>
      </c>
      <c r="S22" s="268">
        <v>14</v>
      </c>
      <c r="T22" s="368">
        <v>101.92</v>
      </c>
      <c r="U22" s="367">
        <v>99.42</v>
      </c>
      <c r="V22" s="367">
        <v>101.4</v>
      </c>
      <c r="W22" s="336">
        <f t="shared" si="3"/>
        <v>1.3599999999999994</v>
      </c>
      <c r="X22" s="336">
        <f t="shared" si="4"/>
        <v>0.32000000000000739</v>
      </c>
      <c r="Y22" s="336">
        <f t="shared" si="5"/>
        <v>-0.39000000000000057</v>
      </c>
    </row>
    <row r="23" spans="3:25" ht="15.4" thickBot="1" x14ac:dyDescent="0.5">
      <c r="C23" s="247">
        <f t="shared" si="6"/>
        <v>15</v>
      </c>
      <c r="D23" s="248" t="s">
        <v>202</v>
      </c>
      <c r="E23" s="244">
        <v>101.64</v>
      </c>
      <c r="F23" s="244">
        <v>100.9</v>
      </c>
      <c r="G23" s="244">
        <v>102.73</v>
      </c>
      <c r="I23" s="393"/>
      <c r="J23" s="284"/>
      <c r="L23" s="268">
        <v>15</v>
      </c>
      <c r="M23" s="336">
        <v>101.64</v>
      </c>
      <c r="N23" s="336">
        <v>100.9</v>
      </c>
      <c r="O23" s="336">
        <v>102.73</v>
      </c>
      <c r="P23" s="351" t="b">
        <f t="shared" si="0"/>
        <v>1</v>
      </c>
      <c r="Q23" s="351" t="b">
        <f t="shared" si="1"/>
        <v>1</v>
      </c>
      <c r="R23" s="351" t="b">
        <f t="shared" si="2"/>
        <v>1</v>
      </c>
      <c r="S23" s="268">
        <v>15</v>
      </c>
      <c r="T23" s="368">
        <v>102.94</v>
      </c>
      <c r="U23" s="367">
        <v>101.17</v>
      </c>
      <c r="V23" s="367">
        <v>102.3</v>
      </c>
      <c r="W23" s="336">
        <f t="shared" si="3"/>
        <v>1.2999999999999972</v>
      </c>
      <c r="X23" s="336">
        <f t="shared" si="4"/>
        <v>0.26999999999999602</v>
      </c>
      <c r="Y23" s="336">
        <f t="shared" si="5"/>
        <v>-0.43000000000000682</v>
      </c>
    </row>
    <row r="24" spans="3:25" ht="15.4" thickBot="1" x14ac:dyDescent="0.5">
      <c r="C24" s="247">
        <f t="shared" si="6"/>
        <v>16</v>
      </c>
      <c r="D24" s="248" t="s">
        <v>203</v>
      </c>
      <c r="E24" s="244">
        <v>103.7</v>
      </c>
      <c r="F24" s="244">
        <v>101.97</v>
      </c>
      <c r="G24" s="244">
        <v>103.56</v>
      </c>
      <c r="L24" s="268">
        <v>16</v>
      </c>
      <c r="M24" s="336">
        <v>103.7</v>
      </c>
      <c r="N24" s="336">
        <v>101.97</v>
      </c>
      <c r="O24" s="336">
        <v>103.56</v>
      </c>
      <c r="P24" s="351" t="b">
        <f t="shared" si="0"/>
        <v>1</v>
      </c>
      <c r="Q24" s="351" t="b">
        <f t="shared" si="1"/>
        <v>1</v>
      </c>
      <c r="R24" s="351" t="b">
        <f t="shared" si="2"/>
        <v>1</v>
      </c>
      <c r="S24" s="268">
        <v>16</v>
      </c>
      <c r="T24" s="366">
        <v>104.7</v>
      </c>
      <c r="U24" s="367">
        <v>102.16</v>
      </c>
      <c r="V24" s="367">
        <v>103.05</v>
      </c>
      <c r="W24" s="336">
        <f t="shared" si="3"/>
        <v>1</v>
      </c>
      <c r="X24" s="336">
        <f t="shared" si="4"/>
        <v>0.18999999999999773</v>
      </c>
      <c r="Y24" s="336">
        <f t="shared" si="5"/>
        <v>-0.51000000000000512</v>
      </c>
    </row>
    <row r="25" spans="3:25" ht="15" x14ac:dyDescent="0.45">
      <c r="C25" s="247">
        <f t="shared" si="6"/>
        <v>17</v>
      </c>
      <c r="D25" s="248" t="s">
        <v>204</v>
      </c>
      <c r="E25" s="244">
        <v>103.7</v>
      </c>
      <c r="F25" s="244">
        <v>102.46</v>
      </c>
      <c r="G25" s="244">
        <v>105.1</v>
      </c>
      <c r="I25" s="392" t="s">
        <v>52</v>
      </c>
      <c r="L25" s="268">
        <v>17</v>
      </c>
      <c r="M25" s="336">
        <v>103.7</v>
      </c>
      <c r="N25" s="336">
        <v>102.46</v>
      </c>
      <c r="O25" s="336">
        <v>105.1</v>
      </c>
      <c r="P25" s="351" t="b">
        <f t="shared" si="0"/>
        <v>1</v>
      </c>
      <c r="Q25" s="351" t="b">
        <f t="shared" si="1"/>
        <v>1</v>
      </c>
      <c r="R25" s="351" t="b">
        <f t="shared" si="2"/>
        <v>1</v>
      </c>
      <c r="S25" s="268">
        <v>17</v>
      </c>
      <c r="T25" s="368">
        <v>104.82</v>
      </c>
      <c r="U25" s="367">
        <v>102.65</v>
      </c>
      <c r="V25" s="367">
        <v>104.5</v>
      </c>
      <c r="W25" s="336">
        <f t="shared" si="3"/>
        <v>1.1199999999999903</v>
      </c>
      <c r="X25" s="336">
        <f t="shared" si="4"/>
        <v>0.19000000000001194</v>
      </c>
      <c r="Y25" s="336">
        <f t="shared" si="5"/>
        <v>-0.59999999999999432</v>
      </c>
    </row>
    <row r="26" spans="3:25" ht="15" x14ac:dyDescent="0.45">
      <c r="C26" s="247">
        <f t="shared" si="6"/>
        <v>18</v>
      </c>
      <c r="D26" s="248" t="s">
        <v>205</v>
      </c>
      <c r="E26" s="244">
        <v>105.31</v>
      </c>
      <c r="F26" s="244">
        <v>103.06</v>
      </c>
      <c r="G26" s="244">
        <v>106.09</v>
      </c>
      <c r="I26" s="455"/>
      <c r="L26" s="268">
        <v>18</v>
      </c>
      <c r="M26" s="336">
        <v>105.31</v>
      </c>
      <c r="N26" s="336">
        <v>103.06</v>
      </c>
      <c r="O26" s="336">
        <v>106.09</v>
      </c>
      <c r="P26" s="351" t="b">
        <f t="shared" si="0"/>
        <v>1</v>
      </c>
      <c r="Q26" s="351" t="b">
        <f t="shared" si="1"/>
        <v>1</v>
      </c>
      <c r="R26" s="351" t="b">
        <f t="shared" si="2"/>
        <v>1</v>
      </c>
      <c r="S26" s="268">
        <v>18</v>
      </c>
      <c r="T26" s="368">
        <v>106.2</v>
      </c>
      <c r="U26" s="367">
        <v>103.15</v>
      </c>
      <c r="V26" s="367">
        <v>105.46</v>
      </c>
      <c r="W26" s="336">
        <f t="shared" si="3"/>
        <v>0.89000000000000057</v>
      </c>
      <c r="X26" s="336">
        <f t="shared" si="4"/>
        <v>9.0000000000003411E-2</v>
      </c>
      <c r="Y26" s="336">
        <f t="shared" si="5"/>
        <v>-0.63000000000000966</v>
      </c>
    </row>
    <row r="27" spans="3:25" ht="15.4" thickBot="1" x14ac:dyDescent="0.5">
      <c r="C27" s="247">
        <f t="shared" si="6"/>
        <v>19</v>
      </c>
      <c r="D27" s="248" t="s">
        <v>206</v>
      </c>
      <c r="E27" s="244">
        <v>106.64</v>
      </c>
      <c r="F27" s="244">
        <v>104.47</v>
      </c>
      <c r="G27" s="244">
        <v>106.47</v>
      </c>
      <c r="I27" s="393"/>
      <c r="L27" s="268">
        <v>19</v>
      </c>
      <c r="M27" s="336">
        <v>106.64</v>
      </c>
      <c r="N27" s="336">
        <v>104.47</v>
      </c>
      <c r="O27" s="336">
        <v>106.47</v>
      </c>
      <c r="P27" s="351" t="b">
        <f t="shared" si="0"/>
        <v>1</v>
      </c>
      <c r="Q27" s="351" t="b">
        <f t="shared" si="1"/>
        <v>1</v>
      </c>
      <c r="R27" s="351" t="b">
        <f t="shared" si="2"/>
        <v>1</v>
      </c>
      <c r="S27" s="268">
        <v>19</v>
      </c>
      <c r="T27" s="366">
        <v>107.45</v>
      </c>
      <c r="U27" s="367">
        <v>104.69</v>
      </c>
      <c r="V27" s="367">
        <v>105.94</v>
      </c>
      <c r="W27" s="336">
        <f t="shared" si="3"/>
        <v>0.81000000000000227</v>
      </c>
      <c r="X27" s="336">
        <f t="shared" si="4"/>
        <v>0.21999999999999886</v>
      </c>
      <c r="Y27" s="336">
        <f t="shared" si="5"/>
        <v>-0.53000000000000114</v>
      </c>
    </row>
    <row r="28" spans="3:25" ht="15" x14ac:dyDescent="0.45">
      <c r="C28" s="247">
        <f t="shared" si="6"/>
        <v>20</v>
      </c>
      <c r="D28" s="248" t="s">
        <v>207</v>
      </c>
      <c r="E28" s="244">
        <v>108</v>
      </c>
      <c r="F28" s="244">
        <v>105.44</v>
      </c>
      <c r="G28" s="244">
        <v>107.81</v>
      </c>
      <c r="L28" s="268">
        <v>20</v>
      </c>
      <c r="M28" s="336">
        <v>108</v>
      </c>
      <c r="N28" s="336">
        <v>105.44</v>
      </c>
      <c r="O28" s="336">
        <v>107.81</v>
      </c>
      <c r="P28" s="351" t="b">
        <f t="shared" si="0"/>
        <v>1</v>
      </c>
      <c r="Q28" s="351" t="b">
        <f t="shared" si="1"/>
        <v>1</v>
      </c>
      <c r="R28" s="351" t="b">
        <f t="shared" si="2"/>
        <v>1</v>
      </c>
      <c r="S28" s="268">
        <v>20</v>
      </c>
      <c r="T28" s="368">
        <v>108.72</v>
      </c>
      <c r="U28" s="367">
        <v>105.61</v>
      </c>
      <c r="V28" s="367">
        <v>107.32</v>
      </c>
      <c r="W28" s="336">
        <f t="shared" si="3"/>
        <v>0.71999999999999886</v>
      </c>
      <c r="X28" s="336">
        <f t="shared" si="4"/>
        <v>0.17000000000000171</v>
      </c>
      <c r="Y28" s="336">
        <f t="shared" si="5"/>
        <v>-0.49000000000000909</v>
      </c>
    </row>
    <row r="29" spans="3:25" ht="15" x14ac:dyDescent="0.45">
      <c r="C29" s="247">
        <f t="shared" si="6"/>
        <v>21</v>
      </c>
      <c r="D29" s="248" t="s">
        <v>208</v>
      </c>
      <c r="E29" s="244">
        <v>109</v>
      </c>
      <c r="F29" s="244">
        <v>106.68</v>
      </c>
      <c r="G29" s="244">
        <v>109</v>
      </c>
      <c r="K29" s="250"/>
      <c r="L29" s="352">
        <v>21</v>
      </c>
      <c r="M29" s="369">
        <v>109</v>
      </c>
      <c r="N29" s="369">
        <v>106.68</v>
      </c>
      <c r="O29" s="369">
        <v>109</v>
      </c>
      <c r="P29" s="351" t="b">
        <f t="shared" si="0"/>
        <v>1</v>
      </c>
      <c r="Q29" s="351" t="b">
        <f t="shared" si="1"/>
        <v>1</v>
      </c>
      <c r="R29" s="351" t="b">
        <f t="shared" si="2"/>
        <v>1</v>
      </c>
      <c r="S29" s="268">
        <v>21</v>
      </c>
      <c r="T29" s="371">
        <v>109.61</v>
      </c>
      <c r="U29" s="367">
        <v>106.9</v>
      </c>
      <c r="V29" s="367">
        <v>108.62</v>
      </c>
      <c r="W29" s="336">
        <f t="shared" si="3"/>
        <v>0.60999999999999943</v>
      </c>
      <c r="X29" s="336">
        <f t="shared" si="4"/>
        <v>0.21999999999999886</v>
      </c>
      <c r="Y29" s="336">
        <f t="shared" si="5"/>
        <v>-0.37999999999999545</v>
      </c>
    </row>
    <row r="30" spans="3:25" ht="15" x14ac:dyDescent="0.45">
      <c r="C30" s="247">
        <f t="shared" si="6"/>
        <v>22</v>
      </c>
      <c r="D30" s="248" t="s">
        <v>209</v>
      </c>
      <c r="E30" s="244">
        <v>109.96</v>
      </c>
      <c r="F30" s="244">
        <v>106.95</v>
      </c>
      <c r="G30" s="244">
        <v>110.82</v>
      </c>
      <c r="K30" s="250"/>
      <c r="L30" s="352">
        <v>22</v>
      </c>
      <c r="M30" s="369">
        <v>109.96</v>
      </c>
      <c r="N30" s="369">
        <v>106.95</v>
      </c>
      <c r="O30" s="369">
        <v>110.82</v>
      </c>
      <c r="P30" s="351" t="b">
        <f t="shared" si="0"/>
        <v>1</v>
      </c>
      <c r="Q30" s="351" t="b">
        <f t="shared" si="1"/>
        <v>1</v>
      </c>
      <c r="R30" s="351" t="b">
        <f t="shared" si="2"/>
        <v>1</v>
      </c>
      <c r="S30" s="268">
        <v>22</v>
      </c>
      <c r="T30" s="371">
        <v>110.45</v>
      </c>
      <c r="U30" s="367">
        <v>107.17</v>
      </c>
      <c r="V30" s="367">
        <v>110.62</v>
      </c>
      <c r="W30" s="336">
        <f t="shared" si="3"/>
        <v>0.49000000000000909</v>
      </c>
      <c r="X30" s="336">
        <f t="shared" si="4"/>
        <v>0.21999999999999886</v>
      </c>
      <c r="Y30" s="336">
        <f t="shared" si="5"/>
        <v>-0.19999999999998863</v>
      </c>
    </row>
    <row r="31" spans="3:25" ht="15" x14ac:dyDescent="0.45">
      <c r="C31" s="247">
        <f t="shared" si="6"/>
        <v>23</v>
      </c>
      <c r="D31" s="248" t="s">
        <v>210</v>
      </c>
      <c r="E31" s="244">
        <v>112.33</v>
      </c>
      <c r="F31" s="244">
        <v>110.06</v>
      </c>
      <c r="G31" s="244">
        <v>112.1</v>
      </c>
      <c r="K31" s="293"/>
      <c r="L31" s="372">
        <v>23</v>
      </c>
      <c r="M31" s="364">
        <v>112.33</v>
      </c>
      <c r="N31" s="373">
        <v>110.06</v>
      </c>
      <c r="O31" s="373">
        <v>112.1</v>
      </c>
      <c r="P31" s="351" t="b">
        <f t="shared" si="0"/>
        <v>1</v>
      </c>
      <c r="Q31" s="351" t="b">
        <f t="shared" si="1"/>
        <v>1</v>
      </c>
      <c r="R31" s="351" t="b">
        <f t="shared" si="2"/>
        <v>1</v>
      </c>
      <c r="S31" s="268">
        <v>23</v>
      </c>
      <c r="T31" s="371">
        <v>112.55</v>
      </c>
      <c r="U31" s="367">
        <v>110.15</v>
      </c>
      <c r="V31" s="367">
        <v>111.87</v>
      </c>
      <c r="W31" s="336">
        <f t="shared" si="3"/>
        <v>0.21999999999999886</v>
      </c>
      <c r="X31" s="336">
        <f t="shared" si="4"/>
        <v>9.0000000000003411E-2</v>
      </c>
      <c r="Y31" s="336">
        <f t="shared" si="5"/>
        <v>-0.22999999999998977</v>
      </c>
    </row>
    <row r="32" spans="3:25" ht="15" x14ac:dyDescent="0.45">
      <c r="C32" s="247">
        <f t="shared" si="6"/>
        <v>24</v>
      </c>
      <c r="D32" s="248" t="s">
        <v>211</v>
      </c>
      <c r="E32" s="244">
        <v>115.46</v>
      </c>
      <c r="F32" s="244">
        <v>111.74</v>
      </c>
      <c r="G32" s="244">
        <v>115.57</v>
      </c>
      <c r="H32" s="84"/>
      <c r="I32" s="84"/>
      <c r="J32" s="130"/>
      <c r="K32" s="290"/>
      <c r="L32" s="374">
        <v>24</v>
      </c>
      <c r="M32" s="365">
        <v>115.46</v>
      </c>
      <c r="N32" s="373">
        <v>111.74</v>
      </c>
      <c r="O32" s="373">
        <v>115.57</v>
      </c>
      <c r="P32" s="351" t="b">
        <f t="shared" si="0"/>
        <v>1</v>
      </c>
      <c r="Q32" s="351" t="b">
        <f t="shared" si="1"/>
        <v>1</v>
      </c>
      <c r="R32" s="351" t="b">
        <f t="shared" si="2"/>
        <v>1</v>
      </c>
      <c r="S32" s="268">
        <v>24</v>
      </c>
      <c r="T32" s="371">
        <v>115.14</v>
      </c>
      <c r="U32" s="371">
        <v>111.67</v>
      </c>
      <c r="V32" s="371">
        <v>115.44</v>
      </c>
      <c r="W32" s="336">
        <f t="shared" si="3"/>
        <v>-0.31999999999999318</v>
      </c>
      <c r="X32" s="336">
        <f t="shared" si="4"/>
        <v>-6.9999999999993179E-2</v>
      </c>
      <c r="Y32" s="336">
        <f t="shared" si="5"/>
        <v>-0.12999999999999545</v>
      </c>
    </row>
    <row r="33" spans="3:19" ht="14.25" x14ac:dyDescent="0.45">
      <c r="C33" s="208"/>
      <c r="D33" s="209"/>
      <c r="E33" s="209"/>
      <c r="F33" s="209"/>
      <c r="G33" s="84"/>
      <c r="H33" s="84"/>
      <c r="I33" s="84"/>
      <c r="J33" s="130"/>
      <c r="K33" s="291"/>
      <c r="L33" s="291"/>
      <c r="M33" s="291"/>
      <c r="N33" s="250"/>
      <c r="O33" s="250"/>
    </row>
    <row r="34" spans="3:19" ht="14.25" x14ac:dyDescent="0.45">
      <c r="C34" s="208"/>
      <c r="D34" s="210"/>
      <c r="E34" s="210"/>
      <c r="F34" s="210"/>
      <c r="G34" s="142"/>
      <c r="H34" s="143"/>
      <c r="I34" s="143"/>
      <c r="J34" s="143"/>
      <c r="K34" s="290"/>
      <c r="L34" s="291"/>
      <c r="M34" s="291"/>
      <c r="N34" s="250"/>
      <c r="O34" s="250"/>
    </row>
    <row r="35" spans="3:19" ht="14.25" x14ac:dyDescent="0.45">
      <c r="C35" s="208"/>
      <c r="D35" s="210"/>
      <c r="E35" s="210"/>
      <c r="F35" s="210"/>
      <c r="G35" s="137"/>
      <c r="H35" s="137"/>
      <c r="I35" s="138"/>
      <c r="J35" s="283"/>
      <c r="K35" s="291"/>
      <c r="L35" s="291"/>
      <c r="M35" s="291"/>
      <c r="N35" s="250"/>
      <c r="O35" s="250"/>
    </row>
    <row r="36" spans="3:19" ht="14.25" x14ac:dyDescent="0.45">
      <c r="C36" s="208"/>
      <c r="D36" s="209"/>
      <c r="E36" s="209"/>
      <c r="F36" s="209"/>
      <c r="G36" s="139"/>
      <c r="H36" s="140"/>
      <c r="I36" s="138"/>
      <c r="J36" s="283"/>
      <c r="K36" s="250"/>
      <c r="L36" s="249"/>
      <c r="M36" s="249"/>
      <c r="N36" s="249"/>
      <c r="O36" s="249"/>
      <c r="P36" s="249"/>
      <c r="Q36" s="249"/>
      <c r="R36" s="249"/>
      <c r="S36" s="249"/>
    </row>
    <row r="37" spans="3:19" ht="14.25" x14ac:dyDescent="0.45">
      <c r="C37" s="208"/>
      <c r="D37" s="210"/>
      <c r="E37" s="210"/>
      <c r="F37" s="210"/>
      <c r="G37" s="139"/>
      <c r="H37" s="139"/>
      <c r="I37" s="139"/>
      <c r="J37" s="282"/>
      <c r="K37" s="250"/>
      <c r="L37" s="249"/>
      <c r="M37" s="249"/>
      <c r="N37" s="249"/>
      <c r="O37" s="249"/>
      <c r="P37" s="249"/>
      <c r="Q37" s="249"/>
      <c r="R37" s="249"/>
      <c r="S37" s="249"/>
    </row>
    <row r="38" spans="3:19" ht="14.25" x14ac:dyDescent="0.45">
      <c r="C38" s="208"/>
      <c r="D38" s="210"/>
      <c r="E38" s="210"/>
      <c r="F38" s="210"/>
      <c r="G38" s="139"/>
      <c r="H38" s="137"/>
      <c r="I38" s="139"/>
      <c r="J38" s="282"/>
      <c r="K38" s="250"/>
      <c r="L38" s="249"/>
      <c r="M38" s="249"/>
      <c r="N38" s="249"/>
      <c r="O38" s="249"/>
      <c r="P38" s="249"/>
      <c r="Q38" s="249"/>
      <c r="R38" s="249"/>
      <c r="S38" s="249"/>
    </row>
    <row r="39" spans="3:19" x14ac:dyDescent="0.35">
      <c r="C39" s="208"/>
      <c r="D39" s="210"/>
      <c r="E39" s="210"/>
      <c r="F39" s="210"/>
      <c r="G39" s="84"/>
      <c r="H39" s="84"/>
      <c r="I39" s="84"/>
      <c r="J39" s="130"/>
      <c r="K39" s="250"/>
      <c r="L39" s="249"/>
      <c r="M39" s="249"/>
      <c r="N39" s="249"/>
      <c r="O39" s="249"/>
      <c r="P39" s="249"/>
      <c r="Q39" s="249"/>
      <c r="R39" s="249"/>
      <c r="S39" s="249"/>
    </row>
    <row r="40" spans="3:19" x14ac:dyDescent="0.35">
      <c r="C40" s="208"/>
      <c r="D40" s="210"/>
      <c r="E40" s="210"/>
      <c r="F40" s="210"/>
      <c r="G40" s="84"/>
      <c r="H40" s="84"/>
      <c r="I40" s="84"/>
      <c r="J40" s="130"/>
      <c r="K40" s="250"/>
      <c r="L40" s="249"/>
      <c r="M40" s="249"/>
      <c r="N40" s="249"/>
      <c r="O40" s="249"/>
      <c r="P40" s="249"/>
      <c r="Q40" s="249"/>
      <c r="R40" s="249"/>
      <c r="S40" s="249"/>
    </row>
    <row r="41" spans="3:19" x14ac:dyDescent="0.35">
      <c r="C41" s="36"/>
      <c r="D41" s="36"/>
      <c r="F41" s="84"/>
      <c r="G41" s="84"/>
      <c r="H41" s="84"/>
      <c r="I41" s="84"/>
      <c r="J41" s="130"/>
      <c r="K41" s="250"/>
      <c r="L41" s="249"/>
      <c r="M41" s="249"/>
      <c r="N41" s="249"/>
      <c r="O41" s="249"/>
      <c r="P41" s="249"/>
      <c r="Q41" s="249"/>
      <c r="R41" s="249"/>
      <c r="S41" s="249"/>
    </row>
    <row r="42" spans="3:19" x14ac:dyDescent="0.35">
      <c r="C42" s="36"/>
      <c r="D42" s="36"/>
      <c r="F42" s="84"/>
      <c r="G42" s="144"/>
      <c r="H42" s="84"/>
      <c r="I42" s="84"/>
      <c r="J42" s="130"/>
      <c r="K42" s="250"/>
      <c r="L42" s="249"/>
      <c r="M42" s="249"/>
      <c r="N42" s="249"/>
      <c r="O42" s="249"/>
      <c r="P42" s="249"/>
      <c r="Q42" s="249"/>
      <c r="R42" s="249"/>
      <c r="S42" s="249"/>
    </row>
    <row r="43" spans="3:19" x14ac:dyDescent="0.35">
      <c r="C43" s="36"/>
      <c r="D43" s="36"/>
      <c r="F43" s="84"/>
      <c r="G43" s="141"/>
      <c r="H43" s="84"/>
      <c r="I43" s="84"/>
      <c r="J43" s="130"/>
      <c r="L43" s="249"/>
      <c r="M43" s="249"/>
      <c r="N43" s="249"/>
      <c r="O43" s="249"/>
      <c r="P43" s="249"/>
      <c r="Q43" s="249"/>
      <c r="R43" s="249"/>
      <c r="S43" s="249"/>
    </row>
    <row r="44" spans="3:19" x14ac:dyDescent="0.35">
      <c r="F44" s="84"/>
      <c r="G44" s="84"/>
      <c r="H44" s="84"/>
      <c r="I44" s="84"/>
      <c r="J44" s="130"/>
      <c r="L44" s="249"/>
      <c r="M44" s="249"/>
      <c r="N44" s="249"/>
      <c r="O44" s="249"/>
      <c r="P44" s="249"/>
      <c r="Q44" s="249"/>
      <c r="R44" s="249"/>
      <c r="S44" s="249"/>
    </row>
    <row r="45" spans="3:19" x14ac:dyDescent="0.35">
      <c r="F45" s="84"/>
      <c r="G45" s="84"/>
      <c r="H45" s="84"/>
      <c r="I45" s="84"/>
      <c r="J45" s="130"/>
      <c r="L45" s="249"/>
      <c r="M45" s="249"/>
      <c r="N45" s="249"/>
      <c r="O45" s="249"/>
      <c r="P45" s="249"/>
      <c r="Q45" s="249"/>
      <c r="R45" s="249"/>
      <c r="S45" s="249"/>
    </row>
    <row r="46" spans="3:19" x14ac:dyDescent="0.35">
      <c r="L46" s="249"/>
      <c r="M46" s="249"/>
      <c r="N46" s="249"/>
      <c r="O46" s="249"/>
      <c r="P46" s="249"/>
      <c r="Q46" s="249"/>
      <c r="R46" s="249"/>
      <c r="S46" s="249"/>
    </row>
    <row r="47" spans="3:19" x14ac:dyDescent="0.35">
      <c r="L47" s="249"/>
      <c r="M47" s="249"/>
      <c r="N47" s="249"/>
      <c r="O47" s="249"/>
      <c r="P47" s="249"/>
      <c r="Q47" s="249"/>
      <c r="R47" s="249"/>
      <c r="S47" s="249"/>
    </row>
    <row r="48" spans="3:19" x14ac:dyDescent="0.35">
      <c r="L48" s="249"/>
      <c r="M48" s="249"/>
      <c r="N48" s="249"/>
      <c r="O48" s="249"/>
      <c r="P48" s="249"/>
      <c r="Q48" s="249"/>
      <c r="R48" s="249"/>
      <c r="S48" s="249"/>
    </row>
    <row r="49" spans="12:19" x14ac:dyDescent="0.35">
      <c r="L49" s="249"/>
      <c r="M49" s="249"/>
      <c r="N49" s="249"/>
      <c r="O49" s="249"/>
      <c r="P49" s="249"/>
      <c r="Q49" s="249"/>
      <c r="R49" s="249"/>
      <c r="S49" s="249"/>
    </row>
    <row r="50" spans="12:19" x14ac:dyDescent="0.35">
      <c r="L50" s="249"/>
      <c r="M50" s="249"/>
      <c r="N50" s="249"/>
      <c r="O50" s="249"/>
      <c r="P50" s="249"/>
      <c r="Q50" s="249"/>
      <c r="R50" s="249"/>
      <c r="S50" s="249"/>
    </row>
    <row r="51" spans="12:19" x14ac:dyDescent="0.35">
      <c r="L51" s="249"/>
      <c r="M51" s="249"/>
      <c r="N51" s="249"/>
      <c r="O51" s="249"/>
      <c r="P51" s="249"/>
      <c r="Q51" s="249"/>
      <c r="R51" s="249"/>
      <c r="S51" s="249"/>
    </row>
    <row r="52" spans="12:19" x14ac:dyDescent="0.35">
      <c r="L52" s="249"/>
      <c r="M52" s="249"/>
      <c r="N52" s="249"/>
      <c r="O52" s="249"/>
      <c r="P52" s="249"/>
      <c r="Q52" s="249"/>
      <c r="R52" s="249"/>
      <c r="S52" s="249"/>
    </row>
    <row r="53" spans="12:19" x14ac:dyDescent="0.35">
      <c r="L53" s="249"/>
      <c r="M53" s="249"/>
      <c r="N53" s="249"/>
      <c r="O53" s="249"/>
      <c r="P53" s="249"/>
      <c r="Q53" s="249"/>
      <c r="R53" s="249"/>
      <c r="S53" s="249"/>
    </row>
    <row r="54" spans="12:19" x14ac:dyDescent="0.35">
      <c r="L54" s="249"/>
      <c r="M54" s="249"/>
      <c r="N54" s="249"/>
      <c r="O54" s="249"/>
      <c r="P54" s="249"/>
      <c r="Q54" s="249"/>
      <c r="R54" s="249"/>
      <c r="S54" s="249"/>
    </row>
    <row r="55" spans="12:19" x14ac:dyDescent="0.35">
      <c r="L55" s="249"/>
      <c r="M55" s="249"/>
      <c r="N55" s="249"/>
      <c r="O55" s="249"/>
      <c r="P55" s="249"/>
      <c r="Q55" s="249"/>
      <c r="R55" s="249"/>
      <c r="S55" s="249"/>
    </row>
    <row r="56" spans="12:19" x14ac:dyDescent="0.35">
      <c r="L56" s="249"/>
      <c r="M56" s="249"/>
      <c r="N56" s="249"/>
      <c r="O56" s="249"/>
      <c r="P56" s="249"/>
      <c r="Q56" s="249"/>
      <c r="R56" s="249"/>
      <c r="S56" s="249"/>
    </row>
    <row r="57" spans="12:19" x14ac:dyDescent="0.35">
      <c r="L57" s="249"/>
      <c r="M57" s="249"/>
      <c r="N57" s="249"/>
      <c r="O57" s="249"/>
      <c r="P57" s="249"/>
      <c r="Q57" s="249"/>
      <c r="R57" s="249"/>
      <c r="S57" s="249"/>
    </row>
    <row r="58" spans="12:19" x14ac:dyDescent="0.35">
      <c r="L58" s="249"/>
      <c r="M58" s="249"/>
      <c r="N58" s="249"/>
      <c r="O58" s="249"/>
      <c r="P58" s="249"/>
      <c r="Q58" s="249"/>
      <c r="R58" s="249"/>
      <c r="S58" s="249"/>
    </row>
    <row r="59" spans="12:19" x14ac:dyDescent="0.35">
      <c r="L59" s="249"/>
      <c r="M59" s="249"/>
      <c r="N59" s="249"/>
      <c r="O59" s="249"/>
      <c r="P59" s="249"/>
      <c r="Q59" s="249"/>
      <c r="R59" s="249"/>
      <c r="S59" s="249"/>
    </row>
    <row r="60" spans="12:19" x14ac:dyDescent="0.35">
      <c r="L60" s="249"/>
      <c r="M60" s="249"/>
      <c r="N60" s="249"/>
      <c r="O60" s="249"/>
      <c r="P60" s="249"/>
      <c r="Q60" s="249"/>
      <c r="R60" s="249"/>
      <c r="S60" s="249"/>
    </row>
    <row r="61" spans="12:19" x14ac:dyDescent="0.35">
      <c r="L61" s="249"/>
      <c r="M61" s="249"/>
      <c r="N61" s="249"/>
      <c r="O61" s="249"/>
      <c r="P61" s="249"/>
      <c r="Q61" s="249"/>
      <c r="R61" s="249"/>
      <c r="S61" s="249"/>
    </row>
    <row r="62" spans="12:19" x14ac:dyDescent="0.35">
      <c r="L62" s="249"/>
      <c r="M62" s="249"/>
      <c r="N62" s="249"/>
      <c r="O62" s="249"/>
      <c r="P62" s="249"/>
      <c r="Q62" s="249"/>
      <c r="R62" s="249"/>
      <c r="S62" s="249"/>
    </row>
  </sheetData>
  <sheetProtection password="DE3F" sheet="1" objects="1" scenarios="1" selectLockedCells="1"/>
  <customSheetViews>
    <customSheetView guid="{377A32C9-D8CF-4808-9C50-3AB68474CE61}" scale="78" showGridLines="0" fitToPage="1" hiddenColumns="1">
      <selection activeCell="I19" sqref="I19:K20"/>
      <pageMargins left="0.75" right="0.75" top="1" bottom="1" header="0.5" footer="0.5"/>
      <pageSetup paperSize="9" orientation="landscape" r:id="rId1"/>
      <headerFooter alignWithMargins="0"/>
    </customSheetView>
  </customSheetViews>
  <mergeCells count="3">
    <mergeCell ref="I17:I19"/>
    <mergeCell ref="I21:I23"/>
    <mergeCell ref="I25:I27"/>
  </mergeCells>
  <phoneticPr fontId="4" type="noConversion"/>
  <hyperlinks>
    <hyperlink ref="I17:I18" location="'1 Measure Ready Reckoner'!A1" display="Back to Single Measure Ready Reckoner &lt;---"/>
    <hyperlink ref="I21:I22" location="'All Measures Ready Reckoner'!A1" display="Back to All Measures Ready Reckoner &lt;---"/>
    <hyperlink ref="I25:I26" location="Guidance!A1" display="Back to Ready Reckoner Guidance &lt;---"/>
    <hyperlink ref="I17:I19" location="'Single Measure Ready Reckoner'!A1" display="Back to Single Measure Ready Reckoner &lt;---"/>
  </hyperlinks>
  <pageMargins left="0.75" right="0.75" top="1" bottom="1" header="0.5" footer="0.5"/>
  <pageSetup paperSize="9" scale="85"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31"/>
  <sheetViews>
    <sheetView workbookViewId="0">
      <selection sqref="A1:S1"/>
    </sheetView>
  </sheetViews>
  <sheetFormatPr defaultRowHeight="12.75" x14ac:dyDescent="0.35"/>
  <cols>
    <col min="1" max="1" width="23" customWidth="1"/>
    <col min="2" max="2" width="13" customWidth="1"/>
    <col min="3" max="3" width="13.1328125" customWidth="1"/>
    <col min="4" max="4" width="14.73046875" customWidth="1"/>
    <col min="5" max="5" width="18.265625" customWidth="1"/>
    <col min="6" max="6" width="11.3984375" customWidth="1"/>
    <col min="7" max="7" width="3.86328125" customWidth="1"/>
    <col min="8" max="8" width="21.73046875" customWidth="1"/>
    <col min="9" max="9" width="14.265625" customWidth="1"/>
    <col min="10" max="10" width="16" customWidth="1"/>
    <col min="11" max="11" width="13.3984375" customWidth="1"/>
    <col min="12" max="12" width="16.86328125" customWidth="1"/>
    <col min="13" max="13" width="10.59765625" customWidth="1"/>
    <col min="14" max="14" width="3.73046875" customWidth="1"/>
    <col min="15" max="15" width="21" customWidth="1"/>
    <col min="16" max="16" width="16.73046875" customWidth="1"/>
    <col min="17" max="17" width="14.1328125" customWidth="1"/>
    <col min="18" max="18" width="14.73046875" customWidth="1"/>
    <col min="20" max="20" width="12.265625" customWidth="1"/>
  </cols>
  <sheetData>
    <row r="1" spans="1:20" ht="78.75" customHeight="1" x14ac:dyDescent="0.35">
      <c r="A1" s="456" t="s">
        <v>322</v>
      </c>
      <c r="B1" s="456"/>
      <c r="C1" s="456"/>
      <c r="D1" s="456"/>
      <c r="E1" s="456"/>
      <c r="F1" s="456"/>
      <c r="G1" s="456"/>
      <c r="H1" s="456"/>
      <c r="I1" s="456"/>
      <c r="J1" s="456"/>
      <c r="K1" s="456"/>
      <c r="L1" s="456"/>
      <c r="M1" s="456"/>
      <c r="N1" s="456"/>
      <c r="O1" s="456"/>
      <c r="P1" s="456"/>
      <c r="Q1" s="456"/>
      <c r="R1" s="456"/>
      <c r="S1" s="456"/>
    </row>
    <row r="2" spans="1:20" s="18" customFormat="1" ht="30.75" customHeight="1" x14ac:dyDescent="0.35">
      <c r="A2" s="279"/>
      <c r="B2" s="279"/>
      <c r="C2" s="279"/>
      <c r="D2" s="279"/>
      <c r="E2" s="279"/>
      <c r="F2" s="279"/>
      <c r="G2" s="279"/>
      <c r="H2" s="279"/>
      <c r="I2" s="279"/>
      <c r="J2" s="279"/>
      <c r="K2" s="279"/>
      <c r="L2" s="279"/>
      <c r="M2" s="279"/>
      <c r="N2" s="279"/>
      <c r="O2" s="279"/>
      <c r="P2" s="279"/>
      <c r="Q2" s="279"/>
      <c r="R2" s="279"/>
      <c r="S2" s="279"/>
    </row>
    <row r="3" spans="1:20" ht="36" customHeight="1" x14ac:dyDescent="0.35">
      <c r="A3" s="278" t="s">
        <v>364</v>
      </c>
      <c r="B3" s="280"/>
      <c r="C3" s="280"/>
      <c r="D3" s="280"/>
      <c r="E3" s="280"/>
      <c r="F3" s="280"/>
      <c r="G3" s="280"/>
      <c r="H3" s="280"/>
      <c r="I3" s="280"/>
      <c r="J3" s="280"/>
      <c r="K3" s="280"/>
      <c r="L3" s="280"/>
      <c r="M3" s="280"/>
      <c r="N3" s="280"/>
      <c r="O3" s="280"/>
      <c r="P3" s="280"/>
      <c r="Q3" s="280"/>
      <c r="R3" s="280"/>
      <c r="S3" s="280"/>
    </row>
    <row r="5" spans="1:20" ht="13.15" x14ac:dyDescent="0.4">
      <c r="A5" s="277" t="s">
        <v>67</v>
      </c>
      <c r="H5" s="131" t="s">
        <v>279</v>
      </c>
      <c r="O5" s="131" t="s">
        <v>54</v>
      </c>
    </row>
    <row r="7" spans="1:20" ht="63.75" customHeight="1" x14ac:dyDescent="0.35">
      <c r="A7" s="276" t="s">
        <v>311</v>
      </c>
      <c r="B7" s="276" t="s">
        <v>312</v>
      </c>
      <c r="C7" s="276" t="s">
        <v>313</v>
      </c>
      <c r="D7" s="276" t="s">
        <v>314</v>
      </c>
      <c r="E7" s="276" t="s">
        <v>315</v>
      </c>
      <c r="F7" s="281" t="s">
        <v>299</v>
      </c>
      <c r="G7" s="281"/>
      <c r="H7" s="276" t="s">
        <v>311</v>
      </c>
      <c r="I7" s="276" t="s">
        <v>312</v>
      </c>
      <c r="J7" s="276" t="s">
        <v>316</v>
      </c>
      <c r="K7" s="276" t="s">
        <v>317</v>
      </c>
      <c r="L7" s="276" t="s">
        <v>315</v>
      </c>
      <c r="M7" s="281" t="s">
        <v>299</v>
      </c>
      <c r="O7" s="276" t="s">
        <v>311</v>
      </c>
      <c r="P7" s="276" t="s">
        <v>312</v>
      </c>
      <c r="Q7" s="276" t="s">
        <v>318</v>
      </c>
      <c r="R7" s="276" t="s">
        <v>319</v>
      </c>
      <c r="S7" s="276" t="s">
        <v>315</v>
      </c>
      <c r="T7" s="281" t="s">
        <v>299</v>
      </c>
    </row>
    <row r="8" spans="1:20" x14ac:dyDescent="0.35">
      <c r="A8">
        <v>1</v>
      </c>
      <c r="B8">
        <v>1501</v>
      </c>
      <c r="C8">
        <v>2.9999999999999997E-8</v>
      </c>
      <c r="D8">
        <v>4.8181749299999996</v>
      </c>
      <c r="E8">
        <v>-11.834662</v>
      </c>
      <c r="H8">
        <v>1</v>
      </c>
      <c r="I8">
        <v>1519</v>
      </c>
      <c r="J8">
        <v>3.4999999999999998E-7</v>
      </c>
      <c r="K8">
        <v>4.9168880699999997</v>
      </c>
      <c r="L8">
        <v>-13.8180918716272</v>
      </c>
      <c r="O8">
        <v>1</v>
      </c>
      <c r="P8">
        <v>1509</v>
      </c>
      <c r="Q8">
        <v>2.3999999999999998E-7</v>
      </c>
      <c r="R8">
        <v>5.1461515200000001</v>
      </c>
      <c r="S8">
        <v>-13.3759120662982</v>
      </c>
    </row>
    <row r="9" spans="1:20" x14ac:dyDescent="0.35">
      <c r="A9">
        <v>2</v>
      </c>
      <c r="B9">
        <v>1056</v>
      </c>
      <c r="C9">
        <v>4.7999999999999996E-7</v>
      </c>
      <c r="D9">
        <v>5.1639220899999998</v>
      </c>
      <c r="E9">
        <v>-12.683904</v>
      </c>
      <c r="H9">
        <v>2</v>
      </c>
      <c r="I9">
        <v>1086</v>
      </c>
      <c r="J9">
        <v>-7.0000000000000005E-8</v>
      </c>
      <c r="K9">
        <v>5.3706868999999999</v>
      </c>
      <c r="L9">
        <v>-15.0934176132149</v>
      </c>
      <c r="O9">
        <v>2</v>
      </c>
      <c r="P9">
        <v>1058</v>
      </c>
      <c r="Q9">
        <v>3.2000000000000001E-7</v>
      </c>
      <c r="R9">
        <v>5.3378894299999997</v>
      </c>
      <c r="S9">
        <v>-13.874278547341</v>
      </c>
    </row>
    <row r="10" spans="1:20" x14ac:dyDescent="0.35">
      <c r="A10">
        <v>3</v>
      </c>
      <c r="B10">
        <v>1042</v>
      </c>
      <c r="C10">
        <v>-3.9000000000000002E-7</v>
      </c>
      <c r="D10">
        <v>6.7072332100000001</v>
      </c>
      <c r="E10">
        <v>-16.474668999999999</v>
      </c>
      <c r="H10">
        <v>3</v>
      </c>
      <c r="I10">
        <v>1087</v>
      </c>
      <c r="J10">
        <v>4.0000000000000001E-8</v>
      </c>
      <c r="K10">
        <v>6.8021524600000003</v>
      </c>
      <c r="L10">
        <v>-19.1163122444426</v>
      </c>
      <c r="O10">
        <v>3</v>
      </c>
      <c r="P10">
        <v>1045</v>
      </c>
      <c r="Q10">
        <v>3.5999999999999999E-7</v>
      </c>
      <c r="R10">
        <v>7.3454066100000004</v>
      </c>
      <c r="S10">
        <v>-19.092230868974699</v>
      </c>
    </row>
    <row r="11" spans="1:20" x14ac:dyDescent="0.35">
      <c r="A11">
        <v>4</v>
      </c>
      <c r="B11">
        <v>1278</v>
      </c>
      <c r="C11">
        <v>2.9999999999999997E-8</v>
      </c>
      <c r="D11">
        <v>7.6848042699999999</v>
      </c>
      <c r="E11">
        <v>-18.875831999999999</v>
      </c>
      <c r="H11">
        <v>4</v>
      </c>
      <c r="I11">
        <v>1357</v>
      </c>
      <c r="J11">
        <v>3.5999999999999999E-7</v>
      </c>
      <c r="K11">
        <v>8.1214354699999998</v>
      </c>
      <c r="L11">
        <v>-22.823936574572301</v>
      </c>
      <c r="O11">
        <v>4</v>
      </c>
      <c r="P11">
        <v>1283</v>
      </c>
      <c r="Q11">
        <v>-4.7999999999999996E-7</v>
      </c>
      <c r="R11">
        <v>8.2459493699999999</v>
      </c>
      <c r="S11">
        <v>-21.4329277417519</v>
      </c>
    </row>
    <row r="12" spans="1:20" x14ac:dyDescent="0.35">
      <c r="A12">
        <v>5</v>
      </c>
      <c r="B12">
        <v>1385</v>
      </c>
      <c r="C12">
        <v>-1.9999999999999999E-7</v>
      </c>
      <c r="D12">
        <v>8.2593520700000003</v>
      </c>
      <c r="E12">
        <v>-20.287067</v>
      </c>
      <c r="H12">
        <v>5</v>
      </c>
      <c r="I12">
        <v>1514</v>
      </c>
      <c r="J12">
        <v>-3.9000000000000002E-7</v>
      </c>
      <c r="K12">
        <v>8.2536932000000007</v>
      </c>
      <c r="L12">
        <v>-23.195624812713</v>
      </c>
      <c r="O12">
        <v>5</v>
      </c>
      <c r="P12">
        <v>1388</v>
      </c>
      <c r="Q12">
        <v>3.3999999999999997E-7</v>
      </c>
      <c r="R12">
        <v>8.8681632700000002</v>
      </c>
      <c r="S12">
        <v>-23.050190346726399</v>
      </c>
    </row>
    <row r="13" spans="1:20" x14ac:dyDescent="0.35">
      <c r="A13">
        <v>6</v>
      </c>
      <c r="B13">
        <v>690</v>
      </c>
      <c r="C13">
        <v>-2.6E-7</v>
      </c>
      <c r="D13">
        <v>8.8510981500000003</v>
      </c>
      <c r="E13">
        <v>-21.740545999999998</v>
      </c>
      <c r="H13">
        <v>6</v>
      </c>
      <c r="I13">
        <v>753</v>
      </c>
      <c r="J13">
        <v>-1.4000000000000001E-7</v>
      </c>
      <c r="K13">
        <v>9.24735628</v>
      </c>
      <c r="L13">
        <v>-25.988148769615599</v>
      </c>
      <c r="O13">
        <v>6</v>
      </c>
      <c r="P13">
        <v>687</v>
      </c>
      <c r="Q13">
        <v>-2.8000000000000002E-7</v>
      </c>
      <c r="R13">
        <v>9.3376508699999992</v>
      </c>
      <c r="S13">
        <v>-24.270485712964899</v>
      </c>
    </row>
    <row r="14" spans="1:20" x14ac:dyDescent="0.35">
      <c r="A14">
        <v>7</v>
      </c>
      <c r="B14">
        <v>2953</v>
      </c>
      <c r="C14">
        <v>-1.9000000000000001E-7</v>
      </c>
      <c r="D14">
        <v>10.45700901</v>
      </c>
      <c r="E14">
        <v>-25.685071000000001</v>
      </c>
      <c r="H14">
        <v>7</v>
      </c>
      <c r="I14">
        <v>3171</v>
      </c>
      <c r="J14">
        <v>3.4999999999999998E-7</v>
      </c>
      <c r="K14">
        <v>10.720083450000001</v>
      </c>
      <c r="L14">
        <v>-30.127002257265101</v>
      </c>
      <c r="O14">
        <v>7</v>
      </c>
      <c r="P14">
        <v>2954</v>
      </c>
      <c r="Q14">
        <v>7.0000000000000005E-8</v>
      </c>
      <c r="R14">
        <v>11.211183610000001</v>
      </c>
      <c r="S14">
        <v>-29.1401847659711</v>
      </c>
    </row>
    <row r="15" spans="1:20" x14ac:dyDescent="0.35">
      <c r="A15">
        <v>8</v>
      </c>
      <c r="B15">
        <v>2938</v>
      </c>
      <c r="C15">
        <v>3.4999999999999998E-7</v>
      </c>
      <c r="D15">
        <v>10.390890410000001</v>
      </c>
      <c r="E15">
        <v>-25.522666000000001</v>
      </c>
      <c r="F15" s="69">
        <f>ROUND(E15,2)</f>
        <v>-25.52</v>
      </c>
      <c r="G15" s="69"/>
      <c r="H15">
        <v>8</v>
      </c>
      <c r="I15">
        <v>3123</v>
      </c>
      <c r="J15">
        <v>9.9999999999999995E-8</v>
      </c>
      <c r="K15">
        <v>10.37053921</v>
      </c>
      <c r="L15">
        <v>-29.1446666106621</v>
      </c>
      <c r="M15" s="69">
        <f>ROUND(L15,2)</f>
        <v>-29.14</v>
      </c>
      <c r="N15" s="69"/>
      <c r="O15">
        <v>8</v>
      </c>
      <c r="P15">
        <v>2957</v>
      </c>
      <c r="Q15">
        <v>2.2999999999999999E-7</v>
      </c>
      <c r="R15">
        <v>10.90214097</v>
      </c>
      <c r="S15">
        <v>-28.336919032089899</v>
      </c>
      <c r="T15" s="69">
        <f>ROUND(S15,2)</f>
        <v>-28.34</v>
      </c>
    </row>
    <row r="16" spans="1:20" x14ac:dyDescent="0.35">
      <c r="A16">
        <v>9</v>
      </c>
      <c r="B16">
        <v>19240</v>
      </c>
      <c r="C16">
        <v>-8.0000000000000002E-8</v>
      </c>
      <c r="D16">
        <v>9.1412894700000003</v>
      </c>
      <c r="E16">
        <v>-22.453329</v>
      </c>
      <c r="F16" s="69">
        <f t="shared" ref="F16:F31" si="0">ROUND(E16,2)</f>
        <v>-22.45</v>
      </c>
      <c r="G16" s="69"/>
      <c r="H16">
        <v>9</v>
      </c>
      <c r="I16">
        <v>19960</v>
      </c>
      <c r="J16">
        <v>-4.7E-7</v>
      </c>
      <c r="K16">
        <v>8.9947104400000004</v>
      </c>
      <c r="L16">
        <v>-25.278129875875699</v>
      </c>
      <c r="M16" s="69">
        <f t="shared" ref="M16:M31" si="1">ROUND(L16,2)</f>
        <v>-25.28</v>
      </c>
      <c r="N16" s="69"/>
      <c r="O16">
        <v>9</v>
      </c>
      <c r="P16">
        <v>19216</v>
      </c>
      <c r="Q16">
        <v>3.4999999999999998E-7</v>
      </c>
      <c r="R16">
        <v>9.0422951200000004</v>
      </c>
      <c r="S16">
        <v>-23.502795036753401</v>
      </c>
      <c r="T16" s="69">
        <f t="shared" ref="T16:T31" si="2">ROUND(S16,2)</f>
        <v>-23.5</v>
      </c>
    </row>
    <row r="17" spans="1:20" x14ac:dyDescent="0.35">
      <c r="A17">
        <v>10</v>
      </c>
      <c r="B17">
        <v>19649</v>
      </c>
      <c r="C17">
        <v>-2.7000000000000001E-7</v>
      </c>
      <c r="D17">
        <v>8.5281979400000001</v>
      </c>
      <c r="E17">
        <v>-20.947420999999999</v>
      </c>
      <c r="F17" s="69">
        <f t="shared" si="0"/>
        <v>-20.95</v>
      </c>
      <c r="G17" s="69"/>
      <c r="H17">
        <v>10</v>
      </c>
      <c r="I17">
        <v>20040</v>
      </c>
      <c r="J17">
        <v>-5.9999999999999995E-8</v>
      </c>
      <c r="K17">
        <v>8.26428209</v>
      </c>
      <c r="L17">
        <v>-23.2253831177131</v>
      </c>
      <c r="M17" s="69">
        <f t="shared" si="1"/>
        <v>-23.23</v>
      </c>
      <c r="N17" s="69"/>
      <c r="O17">
        <v>10</v>
      </c>
      <c r="P17">
        <v>19652</v>
      </c>
      <c r="Q17">
        <v>-2.7000000000000001E-7</v>
      </c>
      <c r="R17">
        <v>8.1518407699999997</v>
      </c>
      <c r="S17">
        <v>-21.188320027931098</v>
      </c>
      <c r="T17" s="69">
        <f t="shared" si="2"/>
        <v>-21.19</v>
      </c>
    </row>
    <row r="18" spans="1:20" x14ac:dyDescent="0.35">
      <c r="A18">
        <v>11</v>
      </c>
      <c r="B18">
        <v>17659</v>
      </c>
      <c r="C18">
        <v>-3.3000000000000002E-7</v>
      </c>
      <c r="D18">
        <v>8.0982600500000004</v>
      </c>
      <c r="E18">
        <v>-19.891383999999999</v>
      </c>
      <c r="F18" s="69">
        <f t="shared" si="0"/>
        <v>-19.89</v>
      </c>
      <c r="G18" s="69"/>
      <c r="H18">
        <v>11</v>
      </c>
      <c r="I18">
        <v>17871</v>
      </c>
      <c r="J18">
        <v>1.3E-7</v>
      </c>
      <c r="K18">
        <v>7.8584240200000002</v>
      </c>
      <c r="L18">
        <v>-22.084786866942402</v>
      </c>
      <c r="M18" s="69">
        <f t="shared" si="1"/>
        <v>-22.08</v>
      </c>
      <c r="N18" s="69"/>
      <c r="O18">
        <v>11</v>
      </c>
      <c r="P18">
        <v>17645</v>
      </c>
      <c r="Q18">
        <v>4.0999999999999999E-7</v>
      </c>
      <c r="R18">
        <v>7.4392632699999997</v>
      </c>
      <c r="S18">
        <v>-19.3361837386323</v>
      </c>
      <c r="T18" s="69">
        <f t="shared" si="2"/>
        <v>-19.34</v>
      </c>
    </row>
    <row r="19" spans="1:20" x14ac:dyDescent="0.35">
      <c r="A19">
        <v>12</v>
      </c>
      <c r="B19">
        <v>38203</v>
      </c>
      <c r="C19">
        <v>4.0000000000000001E-8</v>
      </c>
      <c r="D19">
        <v>7.3169302700000003</v>
      </c>
      <c r="E19">
        <v>-17.972239999999999</v>
      </c>
      <c r="F19" s="69">
        <f t="shared" si="0"/>
        <v>-17.97</v>
      </c>
      <c r="G19" s="69"/>
      <c r="H19">
        <v>12</v>
      </c>
      <c r="I19">
        <v>38506</v>
      </c>
      <c r="J19">
        <v>1.4999999999999999E-7</v>
      </c>
      <c r="K19">
        <v>7.1857600599999998</v>
      </c>
      <c r="L19">
        <v>-20.1943772693099</v>
      </c>
      <c r="M19" s="69">
        <f t="shared" si="1"/>
        <v>-20.190000000000001</v>
      </c>
      <c r="N19" s="69"/>
      <c r="O19">
        <v>12</v>
      </c>
      <c r="P19">
        <v>38169</v>
      </c>
      <c r="Q19">
        <v>-4.0999999999999999E-7</v>
      </c>
      <c r="R19">
        <v>6.79249013</v>
      </c>
      <c r="S19">
        <v>-17.6550865898481</v>
      </c>
      <c r="T19" s="69">
        <f t="shared" si="2"/>
        <v>-17.66</v>
      </c>
    </row>
    <row r="20" spans="1:20" x14ac:dyDescent="0.35">
      <c r="A20">
        <v>13</v>
      </c>
      <c r="B20">
        <v>22447</v>
      </c>
      <c r="C20">
        <v>-2.3999999999999998E-7</v>
      </c>
      <c r="D20">
        <v>6.9013294500000004</v>
      </c>
      <c r="E20">
        <v>-16.951419000000001</v>
      </c>
      <c r="F20" s="69">
        <f t="shared" si="0"/>
        <v>-16.95</v>
      </c>
      <c r="G20" s="69"/>
      <c r="H20">
        <v>13</v>
      </c>
      <c r="I20">
        <v>22561</v>
      </c>
      <c r="J20">
        <v>-2.6E-7</v>
      </c>
      <c r="K20">
        <v>6.7427194899999998</v>
      </c>
      <c r="L20">
        <v>-18.9492858187905</v>
      </c>
      <c r="M20" s="69">
        <f t="shared" si="1"/>
        <v>-18.95</v>
      </c>
      <c r="N20" s="69"/>
      <c r="O20">
        <v>13</v>
      </c>
      <c r="P20">
        <v>22433</v>
      </c>
      <c r="Q20">
        <v>-8.9999999999999999E-8</v>
      </c>
      <c r="R20">
        <v>6.12701808</v>
      </c>
      <c r="S20">
        <v>-15.925387106887801</v>
      </c>
      <c r="T20" s="69">
        <f t="shared" si="2"/>
        <v>-15.93</v>
      </c>
    </row>
    <row r="21" spans="1:20" x14ac:dyDescent="0.35">
      <c r="A21">
        <v>14</v>
      </c>
      <c r="B21">
        <v>31622</v>
      </c>
      <c r="C21">
        <v>-2.8999999999999998E-7</v>
      </c>
      <c r="D21">
        <v>6.6295615899999998</v>
      </c>
      <c r="E21">
        <v>-16.283888000000001</v>
      </c>
      <c r="F21" s="69">
        <f t="shared" si="0"/>
        <v>-16.28</v>
      </c>
      <c r="G21" s="69"/>
      <c r="H21">
        <v>14</v>
      </c>
      <c r="I21">
        <v>31754</v>
      </c>
      <c r="J21">
        <v>2.9999999999999999E-7</v>
      </c>
      <c r="K21">
        <v>6.4155254099999999</v>
      </c>
      <c r="L21">
        <v>-18.029761560168801</v>
      </c>
      <c r="M21" s="69">
        <f t="shared" si="1"/>
        <v>-18.03</v>
      </c>
      <c r="N21" s="69"/>
      <c r="O21">
        <v>14</v>
      </c>
      <c r="P21">
        <v>31581</v>
      </c>
      <c r="Q21">
        <v>-3.3999999999999997E-7</v>
      </c>
      <c r="R21">
        <v>5.7633614399999997</v>
      </c>
      <c r="S21">
        <v>-14.980168292388999</v>
      </c>
      <c r="T21" s="69">
        <f t="shared" si="2"/>
        <v>-14.98</v>
      </c>
    </row>
    <row r="22" spans="1:20" x14ac:dyDescent="0.35">
      <c r="A22">
        <v>15</v>
      </c>
      <c r="B22">
        <v>57434</v>
      </c>
      <c r="C22">
        <v>8.9999999999999999E-8</v>
      </c>
      <c r="D22">
        <v>6.2386485</v>
      </c>
      <c r="E22">
        <v>-15.323706</v>
      </c>
      <c r="F22" s="69">
        <f t="shared" si="0"/>
        <v>-15.32</v>
      </c>
      <c r="G22" s="69"/>
      <c r="H22">
        <v>15</v>
      </c>
      <c r="I22">
        <v>57573</v>
      </c>
      <c r="J22">
        <v>4.7999999999999996E-7</v>
      </c>
      <c r="K22">
        <v>5.4755884799999999</v>
      </c>
      <c r="L22">
        <v>-15.3882259654252</v>
      </c>
      <c r="M22" s="69">
        <f t="shared" si="1"/>
        <v>-15.39</v>
      </c>
      <c r="N22" s="69"/>
      <c r="O22">
        <v>15</v>
      </c>
      <c r="P22">
        <v>57384</v>
      </c>
      <c r="Q22">
        <v>-4.4000000000000002E-7</v>
      </c>
      <c r="R22">
        <v>5.33769005</v>
      </c>
      <c r="S22">
        <v>-13.8737603174876</v>
      </c>
      <c r="T22" s="69">
        <f t="shared" si="2"/>
        <v>-13.87</v>
      </c>
    </row>
    <row r="23" spans="1:20" x14ac:dyDescent="0.35">
      <c r="A23">
        <v>16</v>
      </c>
      <c r="B23">
        <v>41450</v>
      </c>
      <c r="C23">
        <v>3.1E-7</v>
      </c>
      <c r="D23">
        <v>5.94307871</v>
      </c>
      <c r="E23">
        <v>-14.597711</v>
      </c>
      <c r="F23" s="69">
        <f t="shared" si="0"/>
        <v>-14.6</v>
      </c>
      <c r="G23" s="69"/>
      <c r="H23">
        <v>16</v>
      </c>
      <c r="I23">
        <v>41556</v>
      </c>
      <c r="J23">
        <v>-3.9999999999999998E-7</v>
      </c>
      <c r="K23">
        <v>5.0473201000000003</v>
      </c>
      <c r="L23">
        <v>-14.184649285154499</v>
      </c>
      <c r="M23" s="69">
        <f t="shared" si="1"/>
        <v>-14.18</v>
      </c>
      <c r="N23" s="69"/>
      <c r="O23">
        <v>16</v>
      </c>
      <c r="P23">
        <v>41407</v>
      </c>
      <c r="Q23">
        <v>-1.4999999999999999E-7</v>
      </c>
      <c r="R23">
        <v>5.0054276800000004</v>
      </c>
      <c r="S23">
        <v>-13.0101417033082</v>
      </c>
      <c r="T23" s="69">
        <f t="shared" si="2"/>
        <v>-13.01</v>
      </c>
    </row>
    <row r="24" spans="1:20" x14ac:dyDescent="0.35">
      <c r="A24">
        <v>17</v>
      </c>
      <c r="B24">
        <v>37077</v>
      </c>
      <c r="C24">
        <v>-4.8999999999999997E-7</v>
      </c>
      <c r="D24">
        <v>5.9785725300000001</v>
      </c>
      <c r="E24">
        <v>-14.684893000000001</v>
      </c>
      <c r="F24" s="69">
        <f t="shared" si="0"/>
        <v>-14.68</v>
      </c>
      <c r="G24" s="69"/>
      <c r="H24">
        <v>17</v>
      </c>
      <c r="I24">
        <v>37196</v>
      </c>
      <c r="J24">
        <v>-4.4999999999999998E-7</v>
      </c>
      <c r="K24">
        <v>4.9647072400000001</v>
      </c>
      <c r="L24">
        <v>-13.952479654077701</v>
      </c>
      <c r="M24" s="69">
        <f t="shared" si="1"/>
        <v>-13.95</v>
      </c>
      <c r="N24" s="69"/>
      <c r="O24">
        <v>17</v>
      </c>
      <c r="P24">
        <v>37058</v>
      </c>
      <c r="Q24">
        <v>-2.8999999999999998E-7</v>
      </c>
      <c r="R24">
        <v>4.8774659900000001</v>
      </c>
      <c r="S24">
        <v>-12.677542807484199</v>
      </c>
      <c r="T24" s="69">
        <f t="shared" si="2"/>
        <v>-12.68</v>
      </c>
    </row>
    <row r="25" spans="1:20" x14ac:dyDescent="0.35">
      <c r="A25">
        <v>18</v>
      </c>
      <c r="B25">
        <v>46606</v>
      </c>
      <c r="C25">
        <v>1.8E-7</v>
      </c>
      <c r="D25">
        <v>5.6766732900000001</v>
      </c>
      <c r="E25">
        <v>-13.943352000000001</v>
      </c>
      <c r="F25" s="69">
        <f t="shared" si="0"/>
        <v>-13.94</v>
      </c>
      <c r="G25" s="69"/>
      <c r="H25">
        <v>18</v>
      </c>
      <c r="I25">
        <v>46713</v>
      </c>
      <c r="J25">
        <v>4.9999999999999998E-8</v>
      </c>
      <c r="K25">
        <v>4.5354534900000001</v>
      </c>
      <c r="L25">
        <v>-12.746133756164999</v>
      </c>
      <c r="M25" s="69">
        <f t="shared" si="1"/>
        <v>-12.75</v>
      </c>
      <c r="N25" s="69"/>
      <c r="O25">
        <v>18</v>
      </c>
      <c r="P25">
        <v>46585</v>
      </c>
      <c r="Q25">
        <v>2.4999999999999999E-7</v>
      </c>
      <c r="R25">
        <v>4.6175290999999996</v>
      </c>
      <c r="S25">
        <v>-12.0019130733199</v>
      </c>
      <c r="T25" s="69">
        <f t="shared" si="2"/>
        <v>-12</v>
      </c>
    </row>
    <row r="26" spans="1:20" x14ac:dyDescent="0.35">
      <c r="A26">
        <v>19</v>
      </c>
      <c r="B26">
        <v>56239</v>
      </c>
      <c r="C26">
        <v>-2.9999999999999997E-8</v>
      </c>
      <c r="D26">
        <v>5.6297330299999997</v>
      </c>
      <c r="E26">
        <v>-13.828055000000001</v>
      </c>
      <c r="F26" s="69">
        <f t="shared" si="0"/>
        <v>-13.83</v>
      </c>
      <c r="G26" s="69"/>
      <c r="H26">
        <v>19</v>
      </c>
      <c r="I26">
        <v>56330</v>
      </c>
      <c r="J26">
        <v>-3.3000000000000002E-7</v>
      </c>
      <c r="K26">
        <v>4.7422443400000001</v>
      </c>
      <c r="L26">
        <v>-13.327284866955299</v>
      </c>
      <c r="M26" s="69">
        <f t="shared" si="1"/>
        <v>-13.33</v>
      </c>
      <c r="N26" s="69"/>
      <c r="O26">
        <v>19</v>
      </c>
      <c r="P26">
        <v>56218</v>
      </c>
      <c r="Q26">
        <v>3.9000000000000002E-7</v>
      </c>
      <c r="R26">
        <v>4.5871747100000002</v>
      </c>
      <c r="S26">
        <v>-11.923015736176101</v>
      </c>
      <c r="T26" s="69">
        <f t="shared" si="2"/>
        <v>-11.92</v>
      </c>
    </row>
    <row r="27" spans="1:20" x14ac:dyDescent="0.35">
      <c r="A27">
        <v>20</v>
      </c>
      <c r="B27">
        <v>48147</v>
      </c>
      <c r="C27">
        <v>2.1E-7</v>
      </c>
      <c r="D27">
        <v>5.6567500400000004</v>
      </c>
      <c r="E27">
        <v>-13.894415</v>
      </c>
      <c r="F27" s="69">
        <f t="shared" si="0"/>
        <v>-13.89</v>
      </c>
      <c r="G27" s="69"/>
      <c r="H27">
        <v>20</v>
      </c>
      <c r="I27">
        <v>48221</v>
      </c>
      <c r="J27">
        <v>-1.1000000000000001E-7</v>
      </c>
      <c r="K27">
        <v>5.1364382300000004</v>
      </c>
      <c r="L27">
        <v>-14.4351008899574</v>
      </c>
      <c r="M27" s="69">
        <f t="shared" si="1"/>
        <v>-14.44</v>
      </c>
      <c r="N27" s="69"/>
      <c r="O27">
        <v>20</v>
      </c>
      <c r="P27">
        <v>48131</v>
      </c>
      <c r="Q27">
        <v>-1.8E-7</v>
      </c>
      <c r="R27">
        <v>4.54199661</v>
      </c>
      <c r="S27">
        <v>-11.805588511079099</v>
      </c>
      <c r="T27" s="69">
        <f t="shared" si="2"/>
        <v>-11.81</v>
      </c>
    </row>
    <row r="28" spans="1:20" x14ac:dyDescent="0.35">
      <c r="A28">
        <v>21</v>
      </c>
      <c r="B28">
        <v>38194</v>
      </c>
      <c r="C28">
        <v>-8.0000000000000002E-8</v>
      </c>
      <c r="D28">
        <v>5.5228310199999999</v>
      </c>
      <c r="E28">
        <v>-13.565476</v>
      </c>
      <c r="F28" s="69">
        <f t="shared" si="0"/>
        <v>-13.57</v>
      </c>
      <c r="G28" s="69"/>
      <c r="H28">
        <v>21</v>
      </c>
      <c r="I28">
        <v>38229</v>
      </c>
      <c r="J28">
        <v>1.9000000000000001E-7</v>
      </c>
      <c r="K28">
        <v>5.3095676200000002</v>
      </c>
      <c r="L28">
        <v>-14.9216520952401</v>
      </c>
      <c r="M28" s="69">
        <f t="shared" si="1"/>
        <v>-14.92</v>
      </c>
      <c r="N28" s="69"/>
      <c r="O28">
        <v>21</v>
      </c>
      <c r="P28">
        <v>38177</v>
      </c>
      <c r="Q28">
        <v>3.9999999999999998E-7</v>
      </c>
      <c r="R28">
        <v>4.4866264600000001</v>
      </c>
      <c r="S28">
        <v>-11.6616700402336</v>
      </c>
      <c r="T28" s="69">
        <f t="shared" si="2"/>
        <v>-11.66</v>
      </c>
    </row>
    <row r="29" spans="1:20" x14ac:dyDescent="0.35">
      <c r="A29">
        <v>22</v>
      </c>
      <c r="B29">
        <v>40774</v>
      </c>
      <c r="C29">
        <v>2.9999999999999997E-8</v>
      </c>
      <c r="D29">
        <v>5.2290750199999998</v>
      </c>
      <c r="E29">
        <v>-12.843937</v>
      </c>
      <c r="F29" s="69">
        <f t="shared" si="0"/>
        <v>-12.84</v>
      </c>
      <c r="G29" s="69"/>
      <c r="H29">
        <v>22</v>
      </c>
      <c r="I29">
        <v>40829</v>
      </c>
      <c r="J29">
        <v>-2.6E-7</v>
      </c>
      <c r="K29">
        <v>5.1567397399999999</v>
      </c>
      <c r="L29">
        <v>-14.492154889625301</v>
      </c>
      <c r="M29" s="69">
        <f t="shared" si="1"/>
        <v>-14.49</v>
      </c>
      <c r="N29" s="69"/>
      <c r="O29">
        <v>22</v>
      </c>
      <c r="P29">
        <v>40765</v>
      </c>
      <c r="Q29">
        <v>-4.3000000000000001E-7</v>
      </c>
      <c r="R29">
        <v>4.3004990599999999</v>
      </c>
      <c r="S29">
        <v>-11.1778864349796</v>
      </c>
      <c r="T29" s="69">
        <f t="shared" si="2"/>
        <v>-11.18</v>
      </c>
    </row>
    <row r="30" spans="1:20" x14ac:dyDescent="0.35">
      <c r="A30">
        <v>23</v>
      </c>
      <c r="B30">
        <v>81597</v>
      </c>
      <c r="C30">
        <v>-1E-8</v>
      </c>
      <c r="D30">
        <v>5.0201733099999997</v>
      </c>
      <c r="E30">
        <v>-12.330821</v>
      </c>
      <c r="F30" s="69">
        <f t="shared" si="0"/>
        <v>-12.33</v>
      </c>
      <c r="G30" s="69"/>
      <c r="H30">
        <v>23</v>
      </c>
      <c r="I30">
        <v>81711</v>
      </c>
      <c r="J30">
        <v>-4.2E-7</v>
      </c>
      <c r="K30">
        <v>4.6403171199999997</v>
      </c>
      <c r="L30">
        <v>-13.0408354562451</v>
      </c>
      <c r="M30" s="69">
        <f t="shared" si="1"/>
        <v>-13.04</v>
      </c>
      <c r="N30" s="69"/>
      <c r="O30">
        <v>23</v>
      </c>
      <c r="P30">
        <v>81575</v>
      </c>
      <c r="Q30">
        <v>-4.0000000000000001E-8</v>
      </c>
      <c r="R30">
        <v>4.3608357800000004</v>
      </c>
      <c r="S30">
        <v>-11.3347140483821</v>
      </c>
      <c r="T30" s="69">
        <f t="shared" si="2"/>
        <v>-11.33</v>
      </c>
    </row>
    <row r="31" spans="1:20" x14ac:dyDescent="0.35">
      <c r="A31">
        <v>24</v>
      </c>
      <c r="B31">
        <v>308</v>
      </c>
      <c r="C31">
        <v>-2.9999999999999997E-8</v>
      </c>
      <c r="D31">
        <v>4.89649628</v>
      </c>
      <c r="E31">
        <v>-12.027039</v>
      </c>
      <c r="F31" s="69">
        <f t="shared" si="0"/>
        <v>-12.03</v>
      </c>
      <c r="G31" s="69"/>
      <c r="H31">
        <v>24</v>
      </c>
      <c r="I31">
        <v>308</v>
      </c>
      <c r="J31">
        <v>-1E-8</v>
      </c>
      <c r="K31">
        <v>4.1587778699999998</v>
      </c>
      <c r="L31">
        <v>-11.687549902137601</v>
      </c>
      <c r="M31" s="69">
        <f t="shared" si="1"/>
        <v>-11.69</v>
      </c>
      <c r="N31" s="69"/>
      <c r="O31">
        <v>24</v>
      </c>
      <c r="P31">
        <v>307</v>
      </c>
      <c r="Q31">
        <v>2.3999999999999998E-7</v>
      </c>
      <c r="R31">
        <v>4.8713451599999997</v>
      </c>
      <c r="S31">
        <v>-12.661633504477001</v>
      </c>
      <c r="T31" s="69">
        <f t="shared" si="2"/>
        <v>-12.66</v>
      </c>
    </row>
  </sheetData>
  <mergeCells count="1">
    <mergeCell ref="A1:S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C255"/>
  <sheetViews>
    <sheetView workbookViewId="0">
      <selection activeCell="U6" sqref="U6"/>
    </sheetView>
  </sheetViews>
  <sheetFormatPr defaultColWidth="9.1328125" defaultRowHeight="10.15" x14ac:dyDescent="0.3"/>
  <cols>
    <col min="1" max="2" width="11" style="5" customWidth="1"/>
    <col min="3" max="3" width="11" style="7" customWidth="1"/>
    <col min="4" max="5" width="11" style="5" customWidth="1"/>
    <col min="6" max="6" width="10.86328125" style="5" customWidth="1"/>
    <col min="7" max="7" width="11" style="5" customWidth="1"/>
    <col min="8" max="9" width="11" style="7" customWidth="1"/>
    <col min="10" max="10" width="11" style="5" customWidth="1"/>
    <col min="11" max="11" width="13.1328125" style="111" customWidth="1"/>
    <col min="12" max="12" width="13.86328125" style="5" customWidth="1"/>
    <col min="13" max="13" width="9.1328125" style="5"/>
    <col min="14" max="14" width="11" style="63" hidden="1" customWidth="1"/>
    <col min="15" max="16" width="11" style="5" hidden="1" customWidth="1"/>
    <col min="17" max="17" width="11" style="65" hidden="1" customWidth="1"/>
    <col min="18" max="16384" width="9.1328125" style="5"/>
  </cols>
  <sheetData>
    <row r="1" spans="1:29" s="115" customFormat="1" ht="40.5" customHeight="1" x14ac:dyDescent="0.35">
      <c r="A1" s="459" t="s">
        <v>68</v>
      </c>
      <c r="B1" s="459"/>
      <c r="C1" s="459"/>
      <c r="F1" s="459" t="s">
        <v>69</v>
      </c>
      <c r="G1" s="459"/>
      <c r="H1" s="459"/>
      <c r="I1" s="114"/>
      <c r="K1" s="458" t="s">
        <v>77</v>
      </c>
      <c r="L1" s="458"/>
      <c r="Q1" s="116"/>
    </row>
    <row r="2" spans="1:29" s="121" customFormat="1" ht="30.4" x14ac:dyDescent="0.35">
      <c r="A2" s="96" t="s">
        <v>70</v>
      </c>
      <c r="B2" s="96" t="s">
        <v>71</v>
      </c>
      <c r="C2" s="120" t="s">
        <v>72</v>
      </c>
      <c r="D2" s="119"/>
      <c r="E2" s="119"/>
      <c r="F2" s="96" t="s">
        <v>73</v>
      </c>
      <c r="G2" s="96" t="s">
        <v>74</v>
      </c>
      <c r="H2" s="120" t="s">
        <v>75</v>
      </c>
      <c r="I2" s="120"/>
      <c r="J2" s="119"/>
      <c r="K2" s="117"/>
      <c r="L2" s="118" t="s">
        <v>54</v>
      </c>
      <c r="N2" s="96"/>
      <c r="O2" s="96"/>
      <c r="P2" s="119"/>
      <c r="Q2" s="97"/>
    </row>
    <row r="3" spans="1:29" x14ac:dyDescent="0.3">
      <c r="A3" s="62" t="s">
        <v>0</v>
      </c>
      <c r="B3" s="62" t="s">
        <v>6</v>
      </c>
      <c r="C3" s="60" t="s">
        <v>6</v>
      </c>
      <c r="D3" s="61"/>
      <c r="E3" s="61"/>
      <c r="F3" s="62" t="s">
        <v>0</v>
      </c>
      <c r="G3" s="62" t="s">
        <v>6</v>
      </c>
      <c r="H3" s="60" t="s">
        <v>6</v>
      </c>
      <c r="I3" s="60"/>
      <c r="J3" s="61"/>
      <c r="K3" s="112"/>
      <c r="O3" s="63"/>
      <c r="P3" s="61"/>
      <c r="Q3" s="62"/>
      <c r="S3" s="3" t="s">
        <v>361</v>
      </c>
      <c r="T3" s="47"/>
      <c r="U3" s="46"/>
      <c r="Z3" s="3" t="s">
        <v>351</v>
      </c>
    </row>
    <row r="4" spans="1:29" s="3" customFormat="1" x14ac:dyDescent="0.3">
      <c r="A4" s="63" t="s">
        <v>34</v>
      </c>
      <c r="B4" s="63" t="s">
        <v>6</v>
      </c>
      <c r="C4" s="64" t="s">
        <v>6</v>
      </c>
      <c r="D4" s="64"/>
      <c r="E4" s="64"/>
      <c r="F4" s="63" t="s">
        <v>34</v>
      </c>
      <c r="G4" s="63" t="s">
        <v>6</v>
      </c>
      <c r="H4" s="64" t="s">
        <v>6</v>
      </c>
      <c r="I4" s="64"/>
      <c r="J4" s="64"/>
      <c r="K4" s="112"/>
      <c r="N4" s="63"/>
      <c r="O4" s="61"/>
      <c r="P4" s="61"/>
      <c r="Q4" s="62"/>
      <c r="S4" s="47"/>
      <c r="T4" s="457" t="s">
        <v>67</v>
      </c>
      <c r="U4" s="457"/>
      <c r="V4" s="457" t="s">
        <v>12</v>
      </c>
      <c r="W4" s="457"/>
      <c r="Y4" s="47"/>
      <c r="Z4" s="457" t="s">
        <v>67</v>
      </c>
      <c r="AA4" s="457"/>
      <c r="AB4" s="457" t="s">
        <v>12</v>
      </c>
      <c r="AC4" s="457"/>
    </row>
    <row r="5" spans="1:29" x14ac:dyDescent="0.3">
      <c r="A5" s="63" t="s">
        <v>35</v>
      </c>
      <c r="B5" s="63" t="s">
        <v>6</v>
      </c>
      <c r="C5" s="65" t="s">
        <v>6</v>
      </c>
      <c r="D5" s="63"/>
      <c r="E5" s="63"/>
      <c r="F5" s="63" t="s">
        <v>35</v>
      </c>
      <c r="G5" s="63" t="s">
        <v>6</v>
      </c>
      <c r="H5" s="65" t="s">
        <v>6</v>
      </c>
      <c r="I5" s="65"/>
      <c r="J5" s="63"/>
      <c r="K5" s="112"/>
      <c r="O5" s="63"/>
      <c r="P5" s="61"/>
      <c r="Q5" s="62"/>
      <c r="S5" s="47"/>
      <c r="T5" s="48" t="s">
        <v>13</v>
      </c>
      <c r="U5" s="122" t="s">
        <v>14</v>
      </c>
      <c r="V5" s="48" t="s">
        <v>13</v>
      </c>
      <c r="W5" s="48" t="s">
        <v>14</v>
      </c>
      <c r="Y5" s="47"/>
      <c r="Z5" s="48" t="s">
        <v>13</v>
      </c>
      <c r="AA5" s="122" t="s">
        <v>14</v>
      </c>
      <c r="AB5" s="48" t="s">
        <v>13</v>
      </c>
      <c r="AC5" s="48" t="s">
        <v>14</v>
      </c>
    </row>
    <row r="6" spans="1:29" x14ac:dyDescent="0.3">
      <c r="A6" s="66" t="s">
        <v>36</v>
      </c>
      <c r="B6" s="61" t="s">
        <v>6</v>
      </c>
      <c r="C6" s="60" t="s">
        <v>6</v>
      </c>
      <c r="D6" s="61"/>
      <c r="E6" s="61"/>
      <c r="F6" s="66" t="s">
        <v>36</v>
      </c>
      <c r="G6" s="61" t="s">
        <v>6</v>
      </c>
      <c r="H6" s="60" t="s">
        <v>6</v>
      </c>
      <c r="I6" s="60"/>
      <c r="J6" s="61"/>
      <c r="K6" s="112"/>
      <c r="O6" s="61"/>
      <c r="P6" s="61"/>
      <c r="Q6" s="62"/>
      <c r="S6" s="110" t="s">
        <v>2</v>
      </c>
      <c r="T6" s="181">
        <v>0</v>
      </c>
      <c r="U6" s="181">
        <v>10</v>
      </c>
      <c r="V6" s="181">
        <v>0</v>
      </c>
      <c r="W6" s="181">
        <v>15</v>
      </c>
      <c r="Y6" s="110" t="s">
        <v>2</v>
      </c>
      <c r="Z6" s="181">
        <v>0</v>
      </c>
      <c r="AA6" s="181">
        <v>11</v>
      </c>
      <c r="AB6" s="181">
        <v>0</v>
      </c>
      <c r="AC6" s="181">
        <v>14</v>
      </c>
    </row>
    <row r="7" spans="1:29" x14ac:dyDescent="0.3">
      <c r="A7" s="66" t="s">
        <v>37</v>
      </c>
      <c r="B7" s="61" t="s">
        <v>6</v>
      </c>
      <c r="C7" s="60" t="s">
        <v>6</v>
      </c>
      <c r="D7" s="61"/>
      <c r="E7" s="61"/>
      <c r="F7" s="66" t="s">
        <v>37</v>
      </c>
      <c r="G7" s="61" t="s">
        <v>6</v>
      </c>
      <c r="H7" s="60" t="s">
        <v>6</v>
      </c>
      <c r="I7" s="60"/>
      <c r="J7" s="101"/>
      <c r="K7" s="112"/>
      <c r="L7" s="102"/>
      <c r="M7" s="102"/>
      <c r="O7" s="63"/>
      <c r="P7" s="61"/>
      <c r="Q7" s="62"/>
      <c r="S7" s="59">
        <v>2</v>
      </c>
      <c r="T7" s="181"/>
      <c r="U7" s="181"/>
      <c r="V7" s="181">
        <v>16</v>
      </c>
      <c r="W7" s="181">
        <v>18</v>
      </c>
      <c r="Y7" s="59">
        <v>2</v>
      </c>
      <c r="Z7" s="181"/>
      <c r="AA7" s="181"/>
      <c r="AB7" s="181">
        <v>15</v>
      </c>
      <c r="AC7" s="181">
        <v>17</v>
      </c>
    </row>
    <row r="8" spans="1:29" x14ac:dyDescent="0.3">
      <c r="A8" s="66" t="s">
        <v>1</v>
      </c>
      <c r="B8" s="61" t="s">
        <v>6</v>
      </c>
      <c r="C8" s="62" t="str">
        <f>$T$13</f>
        <v>-</v>
      </c>
      <c r="D8" s="61"/>
      <c r="E8" s="61"/>
      <c r="F8" s="61" t="s">
        <v>1</v>
      </c>
      <c r="G8" s="61" t="s">
        <v>6</v>
      </c>
      <c r="H8" s="62" t="str">
        <f>$T$13</f>
        <v>-</v>
      </c>
      <c r="I8" s="62"/>
      <c r="J8" s="101"/>
      <c r="K8" s="112"/>
      <c r="O8" s="61"/>
      <c r="P8" s="61"/>
      <c r="Q8" s="62"/>
      <c r="S8" s="59">
        <v>3</v>
      </c>
      <c r="T8" s="181">
        <v>11</v>
      </c>
      <c r="U8" s="181">
        <v>17</v>
      </c>
      <c r="V8" s="181">
        <v>19</v>
      </c>
      <c r="W8" s="181">
        <v>45</v>
      </c>
      <c r="Y8" s="59">
        <v>3</v>
      </c>
      <c r="Z8" s="181">
        <v>12</v>
      </c>
      <c r="AA8" s="181">
        <v>18</v>
      </c>
      <c r="AB8" s="181">
        <v>18</v>
      </c>
      <c r="AC8" s="181">
        <v>45</v>
      </c>
    </row>
    <row r="9" spans="1:29" x14ac:dyDescent="0.3">
      <c r="A9" s="66" t="s">
        <v>2</v>
      </c>
      <c r="B9" s="61" t="s">
        <v>6</v>
      </c>
      <c r="C9" s="62" t="str">
        <f t="shared" ref="C9:C20" si="0">$T$14</f>
        <v>-</v>
      </c>
      <c r="D9" s="61"/>
      <c r="E9" s="61"/>
      <c r="F9" s="61" t="s">
        <v>2</v>
      </c>
      <c r="G9" s="61" t="s">
        <v>6</v>
      </c>
      <c r="H9" s="62" t="str">
        <f t="shared" ref="H9:H25" si="1">$T$14</f>
        <v>-</v>
      </c>
      <c r="I9" s="62"/>
      <c r="J9" s="67"/>
      <c r="K9" s="112"/>
      <c r="O9" s="98"/>
      <c r="P9" s="61"/>
      <c r="Q9" s="62"/>
      <c r="S9" s="59">
        <v>4</v>
      </c>
      <c r="T9" s="181">
        <v>18</v>
      </c>
      <c r="U9" s="181">
        <v>32</v>
      </c>
      <c r="V9" s="181">
        <v>46</v>
      </c>
      <c r="W9" s="181">
        <v>78</v>
      </c>
      <c r="Y9" s="59">
        <v>4</v>
      </c>
      <c r="Z9" s="181">
        <v>19</v>
      </c>
      <c r="AA9" s="181">
        <v>31</v>
      </c>
      <c r="AB9" s="181">
        <v>46</v>
      </c>
      <c r="AC9" s="181">
        <v>78</v>
      </c>
    </row>
    <row r="10" spans="1:29" x14ac:dyDescent="0.3">
      <c r="A10" s="68">
        <v>0</v>
      </c>
      <c r="B10" s="61" t="s">
        <v>6</v>
      </c>
      <c r="C10" s="62" t="str">
        <f t="shared" si="0"/>
        <v>-</v>
      </c>
      <c r="D10" s="61"/>
      <c r="E10" s="61"/>
      <c r="F10" s="63">
        <v>0</v>
      </c>
      <c r="G10" s="61" t="s">
        <v>6</v>
      </c>
      <c r="H10" s="62" t="str">
        <f t="shared" si="1"/>
        <v>-</v>
      </c>
      <c r="I10" s="62"/>
      <c r="J10" s="67"/>
      <c r="K10" s="112"/>
      <c r="O10" s="98"/>
      <c r="P10" s="61"/>
      <c r="Q10" s="62"/>
      <c r="S10" s="59">
        <v>5</v>
      </c>
      <c r="T10" s="181">
        <v>33</v>
      </c>
      <c r="U10" s="181">
        <v>50</v>
      </c>
      <c r="V10" s="181">
        <v>79</v>
      </c>
      <c r="W10" s="181">
        <v>100</v>
      </c>
      <c r="Y10" s="59">
        <v>5</v>
      </c>
      <c r="Z10" s="181">
        <v>32</v>
      </c>
      <c r="AA10" s="181">
        <v>50</v>
      </c>
      <c r="AB10" s="181">
        <v>79</v>
      </c>
      <c r="AC10" s="181">
        <v>100</v>
      </c>
    </row>
    <row r="11" spans="1:29" x14ac:dyDescent="0.3">
      <c r="A11" s="68">
        <v>1</v>
      </c>
      <c r="B11" s="61" t="s">
        <v>6</v>
      </c>
      <c r="C11" s="62" t="str">
        <f t="shared" si="0"/>
        <v>-</v>
      </c>
      <c r="D11" s="61"/>
      <c r="E11" s="61"/>
      <c r="F11" s="63">
        <v>1</v>
      </c>
      <c r="G11" s="61" t="s">
        <v>6</v>
      </c>
      <c r="H11" s="62" t="str">
        <f t="shared" si="1"/>
        <v>-</v>
      </c>
      <c r="I11" s="62"/>
      <c r="J11" s="67"/>
      <c r="K11" s="112"/>
      <c r="O11" s="98"/>
      <c r="P11" s="61"/>
      <c r="Q11" s="62"/>
      <c r="S11" s="99">
        <v>1</v>
      </c>
      <c r="T11" s="99">
        <v>2</v>
      </c>
      <c r="U11" s="113">
        <v>3</v>
      </c>
      <c r="V11" s="99">
        <v>4</v>
      </c>
      <c r="W11" s="99">
        <v>5</v>
      </c>
    </row>
    <row r="12" spans="1:29" x14ac:dyDescent="0.3">
      <c r="A12" s="68">
        <v>2</v>
      </c>
      <c r="B12" s="61" t="s">
        <v>6</v>
      </c>
      <c r="C12" s="62" t="str">
        <f t="shared" si="0"/>
        <v>-</v>
      </c>
      <c r="D12" s="61"/>
      <c r="E12" s="61"/>
      <c r="F12" s="63">
        <v>2</v>
      </c>
      <c r="G12" s="61" t="s">
        <v>6</v>
      </c>
      <c r="H12" s="62" t="str">
        <f t="shared" si="1"/>
        <v>-</v>
      </c>
      <c r="I12" s="62"/>
      <c r="J12" s="67"/>
      <c r="K12" s="112"/>
      <c r="O12" s="98"/>
      <c r="P12" s="61"/>
      <c r="Q12" s="62"/>
      <c r="S12" s="9" t="s">
        <v>15</v>
      </c>
      <c r="T12" s="8"/>
      <c r="U12" s="6"/>
      <c r="V12" s="8"/>
      <c r="W12" s="8"/>
    </row>
    <row r="13" spans="1:29" x14ac:dyDescent="0.3">
      <c r="A13" s="68">
        <v>3</v>
      </c>
      <c r="B13" s="61" t="s">
        <v>6</v>
      </c>
      <c r="C13" s="62" t="str">
        <f t="shared" si="0"/>
        <v>-</v>
      </c>
      <c r="D13" s="61"/>
      <c r="E13" s="61"/>
      <c r="F13" s="63">
        <v>3</v>
      </c>
      <c r="G13" s="61" t="s">
        <v>6</v>
      </c>
      <c r="H13" s="62" t="str">
        <f t="shared" si="1"/>
        <v>-</v>
      </c>
      <c r="I13" s="62"/>
      <c r="J13" s="67"/>
      <c r="K13" s="112"/>
      <c r="O13" s="63"/>
      <c r="P13" s="61"/>
      <c r="Q13" s="62"/>
      <c r="S13" s="8" t="s">
        <v>1</v>
      </c>
      <c r="T13" s="8" t="s">
        <v>6</v>
      </c>
      <c r="U13" s="6"/>
      <c r="V13" s="6"/>
      <c r="W13" s="6"/>
    </row>
    <row r="14" spans="1:29" x14ac:dyDescent="0.3">
      <c r="A14" s="68">
        <v>4</v>
      </c>
      <c r="B14" s="61" t="s">
        <v>6</v>
      </c>
      <c r="C14" s="62" t="str">
        <f t="shared" si="0"/>
        <v>-</v>
      </c>
      <c r="D14" s="61"/>
      <c r="E14" s="61"/>
      <c r="F14" s="63">
        <v>4</v>
      </c>
      <c r="G14" s="61" t="s">
        <v>6</v>
      </c>
      <c r="H14" s="62" t="str">
        <f t="shared" si="1"/>
        <v>-</v>
      </c>
      <c r="I14" s="62"/>
      <c r="J14" s="67"/>
      <c r="K14" s="112"/>
      <c r="O14" s="63"/>
      <c r="P14" s="61"/>
      <c r="S14" s="8" t="s">
        <v>2</v>
      </c>
      <c r="T14" s="8" t="s">
        <v>6</v>
      </c>
      <c r="U14" s="6"/>
      <c r="V14" s="8"/>
      <c r="W14" s="8"/>
    </row>
    <row r="15" spans="1:29" x14ac:dyDescent="0.3">
      <c r="A15" s="68">
        <v>5</v>
      </c>
      <c r="B15" s="61" t="s">
        <v>6</v>
      </c>
      <c r="C15" s="62" t="str">
        <f t="shared" si="0"/>
        <v>-</v>
      </c>
      <c r="D15" s="61"/>
      <c r="E15" s="61"/>
      <c r="F15" s="63">
        <v>5</v>
      </c>
      <c r="G15" s="61" t="s">
        <v>6</v>
      </c>
      <c r="H15" s="62" t="str">
        <f t="shared" si="1"/>
        <v>-</v>
      </c>
      <c r="I15" s="62"/>
      <c r="J15" s="67"/>
      <c r="K15" s="112"/>
      <c r="O15" s="61"/>
      <c r="P15" s="61"/>
      <c r="S15" s="10" t="s">
        <v>7</v>
      </c>
      <c r="T15" s="8">
        <v>15</v>
      </c>
      <c r="U15" s="6"/>
      <c r="V15" s="8"/>
      <c r="W15" s="8"/>
    </row>
    <row r="16" spans="1:29" x14ac:dyDescent="0.3">
      <c r="A16" s="68">
        <v>6</v>
      </c>
      <c r="B16" s="61" t="s">
        <v>6</v>
      </c>
      <c r="C16" s="62" t="str">
        <f t="shared" si="0"/>
        <v>-</v>
      </c>
      <c r="D16" s="61"/>
      <c r="E16" s="61"/>
      <c r="F16" s="63">
        <v>6</v>
      </c>
      <c r="G16" s="61" t="s">
        <v>6</v>
      </c>
      <c r="H16" s="62" t="str">
        <f t="shared" si="1"/>
        <v>-</v>
      </c>
      <c r="I16" s="62"/>
      <c r="J16" s="67"/>
      <c r="K16" s="112"/>
      <c r="O16" s="63"/>
      <c r="P16" s="61"/>
      <c r="S16" s="10" t="s">
        <v>8</v>
      </c>
      <c r="T16" s="8">
        <v>21</v>
      </c>
      <c r="U16" s="6"/>
      <c r="V16" s="8"/>
      <c r="W16" s="8"/>
    </row>
    <row r="17" spans="1:23" x14ac:dyDescent="0.3">
      <c r="A17" s="68">
        <v>7</v>
      </c>
      <c r="B17" s="61" t="s">
        <v>6</v>
      </c>
      <c r="C17" s="62" t="str">
        <f t="shared" si="0"/>
        <v>-</v>
      </c>
      <c r="D17" s="61"/>
      <c r="E17" s="61"/>
      <c r="F17" s="63">
        <v>7</v>
      </c>
      <c r="G17" s="61" t="s">
        <v>6</v>
      </c>
      <c r="H17" s="62" t="str">
        <f t="shared" si="1"/>
        <v>-</v>
      </c>
      <c r="I17" s="62"/>
      <c r="J17" s="67"/>
      <c r="K17" s="112"/>
      <c r="O17" s="61"/>
      <c r="P17" s="61"/>
      <c r="S17" s="10" t="s">
        <v>9</v>
      </c>
      <c r="T17" s="8">
        <v>27</v>
      </c>
      <c r="U17" s="6"/>
      <c r="V17" s="8"/>
      <c r="W17" s="8"/>
    </row>
    <row r="18" spans="1:23" x14ac:dyDescent="0.3">
      <c r="A18" s="68">
        <v>8</v>
      </c>
      <c r="B18" s="61" t="s">
        <v>6</v>
      </c>
      <c r="C18" s="62" t="str">
        <f t="shared" si="0"/>
        <v>-</v>
      </c>
      <c r="D18" s="61"/>
      <c r="E18" s="61"/>
      <c r="F18" s="63">
        <v>8</v>
      </c>
      <c r="G18" s="61" t="s">
        <v>6</v>
      </c>
      <c r="H18" s="62" t="str">
        <f t="shared" si="1"/>
        <v>-</v>
      </c>
      <c r="I18" s="62"/>
      <c r="J18" s="67"/>
      <c r="K18" s="112"/>
      <c r="O18" s="63"/>
      <c r="P18" s="61"/>
      <c r="S18" s="10" t="s">
        <v>10</v>
      </c>
      <c r="T18" s="8">
        <v>33</v>
      </c>
      <c r="U18" s="6"/>
      <c r="V18" s="8"/>
      <c r="W18" s="8"/>
    </row>
    <row r="19" spans="1:23" x14ac:dyDescent="0.3">
      <c r="A19" s="68">
        <v>9</v>
      </c>
      <c r="B19" s="61" t="s">
        <v>6</v>
      </c>
      <c r="C19" s="62" t="str">
        <f t="shared" si="0"/>
        <v>-</v>
      </c>
      <c r="D19" s="61"/>
      <c r="E19" s="61"/>
      <c r="F19" s="63">
        <v>9</v>
      </c>
      <c r="G19" s="61" t="s">
        <v>6</v>
      </c>
      <c r="H19" s="62" t="str">
        <f t="shared" si="1"/>
        <v>-</v>
      </c>
      <c r="I19" s="62"/>
      <c r="J19" s="67"/>
      <c r="K19" s="112"/>
      <c r="O19" s="61"/>
      <c r="P19" s="61"/>
      <c r="S19" s="10" t="s">
        <v>16</v>
      </c>
      <c r="T19" s="8">
        <v>39</v>
      </c>
      <c r="U19" s="6"/>
      <c r="V19" s="8"/>
      <c r="W19" s="8"/>
    </row>
    <row r="20" spans="1:23" x14ac:dyDescent="0.3">
      <c r="A20" s="68">
        <v>10</v>
      </c>
      <c r="B20" s="61" t="s">
        <v>6</v>
      </c>
      <c r="C20" s="62" t="str">
        <f t="shared" si="0"/>
        <v>-</v>
      </c>
      <c r="D20" s="61"/>
      <c r="E20" s="61"/>
      <c r="F20" s="63">
        <v>10</v>
      </c>
      <c r="G20" s="61" t="s">
        <v>6</v>
      </c>
      <c r="H20" s="62" t="str">
        <f t="shared" si="1"/>
        <v>-</v>
      </c>
      <c r="I20" s="62"/>
      <c r="J20" s="67"/>
      <c r="K20" s="112"/>
      <c r="O20" s="98"/>
      <c r="P20" s="61"/>
      <c r="S20" s="10" t="s">
        <v>17</v>
      </c>
      <c r="T20" s="8">
        <v>45</v>
      </c>
      <c r="U20" s="6"/>
      <c r="V20" s="8"/>
      <c r="W20" s="8"/>
    </row>
    <row r="21" spans="1:23" x14ac:dyDescent="0.3">
      <c r="A21" s="68">
        <v>11</v>
      </c>
      <c r="B21" s="68">
        <f t="shared" ref="B21:B59" si="2">IF(A21&lt;=$U$6,"N",IF(A21&lt;=$U$8,3,IF(A21&lt;=$U$9,4,IF(A21&lt;=$U$10,5,"ERROR"))))</f>
        <v>3</v>
      </c>
      <c r="C21" s="154">
        <f t="shared" ref="C21:C59" si="3">IF($B21=2,$K21,ROUND(ROUND(((A21-VLOOKUP(B21,$S$6:$W$10,2,FALSE))/(VLOOKUP(B21,$S$6:$W$10,3,FALSE)-VLOOKUP(B21,$S$6:$W$10,2,FALSE)+1)+B21),2)*6,2))</f>
        <v>18</v>
      </c>
      <c r="D21" s="61"/>
      <c r="E21" s="61"/>
      <c r="F21" s="63">
        <v>11</v>
      </c>
      <c r="G21" s="61" t="s">
        <v>6</v>
      </c>
      <c r="H21" s="62" t="str">
        <f t="shared" si="1"/>
        <v>-</v>
      </c>
      <c r="I21" s="62"/>
      <c r="J21" s="67"/>
      <c r="K21" s="112"/>
      <c r="O21" s="98"/>
      <c r="P21" s="61"/>
      <c r="S21" s="10" t="s">
        <v>18</v>
      </c>
      <c r="T21" s="8">
        <v>51</v>
      </c>
      <c r="U21" s="6"/>
      <c r="V21" s="8"/>
      <c r="W21" s="8"/>
    </row>
    <row r="22" spans="1:23" x14ac:dyDescent="0.3">
      <c r="A22" s="68">
        <v>12</v>
      </c>
      <c r="B22" s="68">
        <f t="shared" si="2"/>
        <v>3</v>
      </c>
      <c r="C22" s="155">
        <f t="shared" si="3"/>
        <v>18.84</v>
      </c>
      <c r="D22" s="61"/>
      <c r="E22" s="61"/>
      <c r="F22" s="63">
        <v>12</v>
      </c>
      <c r="G22" s="61" t="s">
        <v>6</v>
      </c>
      <c r="H22" s="62" t="str">
        <f t="shared" si="1"/>
        <v>-</v>
      </c>
      <c r="I22" s="62"/>
      <c r="J22" s="67"/>
      <c r="K22" s="112"/>
      <c r="O22" s="98"/>
      <c r="P22" s="61"/>
      <c r="S22" s="10" t="s">
        <v>19</v>
      </c>
      <c r="T22" s="8">
        <v>57</v>
      </c>
      <c r="U22" s="6"/>
      <c r="V22" s="8"/>
      <c r="W22" s="8"/>
    </row>
    <row r="23" spans="1:23" x14ac:dyDescent="0.3">
      <c r="A23" s="68">
        <v>13</v>
      </c>
      <c r="B23" s="68">
        <f t="shared" si="2"/>
        <v>3</v>
      </c>
      <c r="C23" s="155">
        <f t="shared" si="3"/>
        <v>19.739999999999998</v>
      </c>
      <c r="D23" s="61"/>
      <c r="E23" s="61"/>
      <c r="F23" s="63">
        <v>13</v>
      </c>
      <c r="G23" s="61" t="s">
        <v>6</v>
      </c>
      <c r="H23" s="62" t="str">
        <f t="shared" si="1"/>
        <v>-</v>
      </c>
      <c r="I23" s="62"/>
      <c r="J23" s="67"/>
      <c r="K23" s="112"/>
      <c r="O23" s="98"/>
      <c r="P23" s="61"/>
    </row>
    <row r="24" spans="1:23" x14ac:dyDescent="0.3">
      <c r="A24" s="68">
        <v>14</v>
      </c>
      <c r="B24" s="68">
        <f t="shared" si="2"/>
        <v>3</v>
      </c>
      <c r="C24" s="155">
        <f t="shared" si="3"/>
        <v>20.58</v>
      </c>
      <c r="D24" s="61"/>
      <c r="E24" s="61"/>
      <c r="F24" s="68">
        <v>14</v>
      </c>
      <c r="G24" s="61" t="s">
        <v>6</v>
      </c>
      <c r="H24" s="62" t="str">
        <f t="shared" si="1"/>
        <v>-</v>
      </c>
      <c r="I24" s="62"/>
      <c r="J24" s="67"/>
      <c r="K24" s="112"/>
      <c r="L24" s="90"/>
      <c r="O24" s="63"/>
      <c r="P24" s="61"/>
      <c r="Q24" s="62"/>
    </row>
    <row r="25" spans="1:23" x14ac:dyDescent="0.3">
      <c r="A25" s="68">
        <v>15</v>
      </c>
      <c r="B25" s="68">
        <f t="shared" si="2"/>
        <v>3</v>
      </c>
      <c r="C25" s="155">
        <f t="shared" si="3"/>
        <v>21.42</v>
      </c>
      <c r="D25" s="61"/>
      <c r="E25" s="61"/>
      <c r="F25" s="68">
        <v>15</v>
      </c>
      <c r="G25" s="61" t="s">
        <v>6</v>
      </c>
      <c r="H25" s="62" t="str">
        <f t="shared" si="1"/>
        <v>-</v>
      </c>
      <c r="I25" s="62"/>
      <c r="J25" s="67"/>
      <c r="K25" s="112"/>
      <c r="L25" s="90"/>
      <c r="O25" s="63"/>
      <c r="P25" s="61"/>
      <c r="Q25" s="62"/>
    </row>
    <row r="26" spans="1:23" x14ac:dyDescent="0.3">
      <c r="A26" s="68">
        <v>16</v>
      </c>
      <c r="B26" s="68">
        <f t="shared" si="2"/>
        <v>3</v>
      </c>
      <c r="C26" s="155">
        <f t="shared" si="3"/>
        <v>22.26</v>
      </c>
      <c r="D26" s="61"/>
      <c r="E26" s="61"/>
      <c r="F26" s="68">
        <v>16</v>
      </c>
      <c r="G26" s="68">
        <f t="shared" ref="G26:G56" si="4">IF(F26&lt;=$W$7,2,IF(F26&lt;=$W$8,3,IF(F26&lt;=$W$9,4,IF(F26&lt;=$W$10,5,"ERROR"))))</f>
        <v>2</v>
      </c>
      <c r="H26" s="154">
        <f t="shared" ref="H26:H56" si="5">IF($G26=2,$L26,ROUND(ROUND(((F26-VLOOKUP(G26,thresholds,4,FALSE))/(VLOOKUP(G26,thresholds,5,FALSE)-VLOOKUP(G26,thresholds,4,FALSE)+1)+G26),2)*6,2))</f>
        <v>17.34</v>
      </c>
      <c r="I26" s="62"/>
      <c r="J26" s="67"/>
      <c r="K26" s="112"/>
      <c r="L26" s="90">
        <f t="shared" ref="L26:L56" si="6">ROUND(ROUND(3-((VLOOKUP(3,thresholds,4,FALSE)-F26)/(VLOOKUP(3,thresholds,5,FALSE)-VLOOKUP(3,thresholds,4,FALSE)+1)),2)*6,2)</f>
        <v>17.34</v>
      </c>
      <c r="O26" s="61"/>
      <c r="P26" s="61"/>
      <c r="Q26" s="62"/>
    </row>
    <row r="27" spans="1:23" x14ac:dyDescent="0.3">
      <c r="A27" s="68">
        <v>17</v>
      </c>
      <c r="B27" s="68">
        <f t="shared" si="2"/>
        <v>3</v>
      </c>
      <c r="C27" s="156">
        <f t="shared" si="3"/>
        <v>23.16</v>
      </c>
      <c r="D27" s="61"/>
      <c r="E27" s="61"/>
      <c r="F27" s="68">
        <v>17</v>
      </c>
      <c r="G27" s="68">
        <f t="shared" si="4"/>
        <v>2</v>
      </c>
      <c r="H27" s="155">
        <f t="shared" si="5"/>
        <v>17.579999999999998</v>
      </c>
      <c r="I27" s="62"/>
      <c r="J27" s="67"/>
      <c r="K27" s="112"/>
      <c r="L27" s="90">
        <f t="shared" si="6"/>
        <v>17.579999999999998</v>
      </c>
      <c r="O27" s="63"/>
      <c r="P27" s="61"/>
      <c r="Q27" s="62"/>
    </row>
    <row r="28" spans="1:23" x14ac:dyDescent="0.3">
      <c r="A28" s="68">
        <v>18</v>
      </c>
      <c r="B28" s="68">
        <f t="shared" si="2"/>
        <v>4</v>
      </c>
      <c r="C28" s="155">
        <f t="shared" si="3"/>
        <v>24</v>
      </c>
      <c r="D28" s="61"/>
      <c r="E28" s="61"/>
      <c r="F28" s="68">
        <v>18</v>
      </c>
      <c r="G28" s="68">
        <f t="shared" si="4"/>
        <v>2</v>
      </c>
      <c r="H28" s="156">
        <f t="shared" si="5"/>
        <v>17.760000000000002</v>
      </c>
      <c r="I28" s="62"/>
      <c r="J28" s="67"/>
      <c r="K28" s="112"/>
      <c r="L28" s="90">
        <f t="shared" si="6"/>
        <v>17.760000000000002</v>
      </c>
      <c r="O28" s="61"/>
      <c r="P28" s="61"/>
      <c r="Q28" s="62"/>
    </row>
    <row r="29" spans="1:23" x14ac:dyDescent="0.3">
      <c r="A29" s="68">
        <v>19</v>
      </c>
      <c r="B29" s="68">
        <f t="shared" si="2"/>
        <v>4</v>
      </c>
      <c r="C29" s="155">
        <f t="shared" si="3"/>
        <v>24.42</v>
      </c>
      <c r="D29" s="61"/>
      <c r="E29" s="61"/>
      <c r="F29" s="68">
        <v>19</v>
      </c>
      <c r="G29" s="68">
        <f t="shared" si="4"/>
        <v>3</v>
      </c>
      <c r="H29" s="155">
        <f t="shared" si="5"/>
        <v>18</v>
      </c>
      <c r="I29" s="62"/>
      <c r="J29" s="67"/>
      <c r="K29" s="112"/>
      <c r="L29" s="90">
        <f t="shared" si="6"/>
        <v>18</v>
      </c>
      <c r="O29" s="63"/>
      <c r="P29" s="61"/>
      <c r="Q29" s="62"/>
    </row>
    <row r="30" spans="1:23" x14ac:dyDescent="0.3">
      <c r="A30" s="68">
        <v>20</v>
      </c>
      <c r="B30" s="68">
        <f t="shared" si="2"/>
        <v>4</v>
      </c>
      <c r="C30" s="155">
        <f t="shared" si="3"/>
        <v>24.78</v>
      </c>
      <c r="D30" s="61"/>
      <c r="E30" s="61"/>
      <c r="F30" s="68">
        <v>20</v>
      </c>
      <c r="G30" s="68">
        <f t="shared" si="4"/>
        <v>3</v>
      </c>
      <c r="H30" s="155">
        <f t="shared" si="5"/>
        <v>18.239999999999998</v>
      </c>
      <c r="I30" s="62"/>
      <c r="J30" s="67"/>
      <c r="K30" s="112"/>
      <c r="L30" s="90">
        <f t="shared" si="6"/>
        <v>18.239999999999998</v>
      </c>
      <c r="O30" s="61"/>
      <c r="P30" s="61"/>
      <c r="Q30" s="62"/>
    </row>
    <row r="31" spans="1:23" x14ac:dyDescent="0.3">
      <c r="A31" s="68">
        <v>21</v>
      </c>
      <c r="B31" s="68">
        <f t="shared" si="2"/>
        <v>4</v>
      </c>
      <c r="C31" s="155">
        <f t="shared" si="3"/>
        <v>25.2</v>
      </c>
      <c r="D31" s="61"/>
      <c r="E31" s="61"/>
      <c r="F31" s="68">
        <v>21</v>
      </c>
      <c r="G31" s="68">
        <f t="shared" si="4"/>
        <v>3</v>
      </c>
      <c r="H31" s="155">
        <f t="shared" si="5"/>
        <v>18.420000000000002</v>
      </c>
      <c r="I31" s="62"/>
      <c r="J31" s="67"/>
      <c r="K31" s="112"/>
      <c r="L31" s="90">
        <f t="shared" si="6"/>
        <v>18.420000000000002</v>
      </c>
      <c r="O31" s="98"/>
      <c r="P31" s="61"/>
      <c r="Q31" s="62"/>
    </row>
    <row r="32" spans="1:23" x14ac:dyDescent="0.3">
      <c r="A32" s="68">
        <v>22</v>
      </c>
      <c r="B32" s="68">
        <f t="shared" si="2"/>
        <v>4</v>
      </c>
      <c r="C32" s="155">
        <f t="shared" si="3"/>
        <v>25.62</v>
      </c>
      <c r="D32" s="61"/>
      <c r="E32" s="61"/>
      <c r="F32" s="68">
        <v>22</v>
      </c>
      <c r="G32" s="68">
        <f t="shared" si="4"/>
        <v>3</v>
      </c>
      <c r="H32" s="155">
        <f t="shared" si="5"/>
        <v>18.66</v>
      </c>
      <c r="I32" s="62"/>
      <c r="J32" s="67"/>
      <c r="K32" s="112"/>
      <c r="L32" s="90">
        <f t="shared" si="6"/>
        <v>18.66</v>
      </c>
      <c r="O32" s="98"/>
      <c r="P32" s="61"/>
      <c r="Q32" s="62"/>
    </row>
    <row r="33" spans="1:17" x14ac:dyDescent="0.3">
      <c r="A33" s="68">
        <v>23</v>
      </c>
      <c r="B33" s="68">
        <f t="shared" si="2"/>
        <v>4</v>
      </c>
      <c r="C33" s="155">
        <f t="shared" si="3"/>
        <v>25.98</v>
      </c>
      <c r="F33" s="68">
        <v>23</v>
      </c>
      <c r="G33" s="68">
        <f t="shared" si="4"/>
        <v>3</v>
      </c>
      <c r="H33" s="155">
        <f t="shared" si="5"/>
        <v>18.899999999999999</v>
      </c>
      <c r="I33" s="62"/>
      <c r="J33" s="67"/>
      <c r="K33" s="112"/>
      <c r="L33" s="90">
        <f t="shared" si="6"/>
        <v>18.899999999999999</v>
      </c>
      <c r="O33" s="98"/>
      <c r="P33" s="61"/>
      <c r="Q33" s="62"/>
    </row>
    <row r="34" spans="1:17" x14ac:dyDescent="0.3">
      <c r="A34" s="68">
        <v>24</v>
      </c>
      <c r="B34" s="68">
        <f t="shared" si="2"/>
        <v>4</v>
      </c>
      <c r="C34" s="155">
        <f t="shared" si="3"/>
        <v>26.4</v>
      </c>
      <c r="F34" s="68">
        <v>24</v>
      </c>
      <c r="G34" s="68">
        <f t="shared" si="4"/>
        <v>3</v>
      </c>
      <c r="H34" s="155">
        <f t="shared" si="5"/>
        <v>19.14</v>
      </c>
      <c r="I34" s="62"/>
      <c r="J34" s="67"/>
      <c r="K34" s="112"/>
      <c r="L34" s="90">
        <f t="shared" si="6"/>
        <v>19.14</v>
      </c>
      <c r="O34" s="98"/>
      <c r="P34" s="61"/>
      <c r="Q34" s="62"/>
    </row>
    <row r="35" spans="1:17" x14ac:dyDescent="0.3">
      <c r="A35" s="68">
        <v>25</v>
      </c>
      <c r="B35" s="68">
        <f t="shared" si="2"/>
        <v>4</v>
      </c>
      <c r="C35" s="155">
        <f t="shared" si="3"/>
        <v>26.82</v>
      </c>
      <c r="F35" s="68">
        <v>25</v>
      </c>
      <c r="G35" s="68">
        <f t="shared" si="4"/>
        <v>3</v>
      </c>
      <c r="H35" s="155">
        <f t="shared" si="5"/>
        <v>19.32</v>
      </c>
      <c r="I35" s="62"/>
      <c r="J35" s="67"/>
      <c r="K35" s="112"/>
      <c r="L35" s="90">
        <f t="shared" si="6"/>
        <v>19.32</v>
      </c>
      <c r="O35" s="63"/>
      <c r="P35" s="61"/>
      <c r="Q35" s="62"/>
    </row>
    <row r="36" spans="1:17" x14ac:dyDescent="0.3">
      <c r="A36" s="68">
        <v>26</v>
      </c>
      <c r="B36" s="68">
        <f t="shared" si="2"/>
        <v>4</v>
      </c>
      <c r="C36" s="155">
        <f t="shared" si="3"/>
        <v>27.18</v>
      </c>
      <c r="F36" s="68">
        <v>26</v>
      </c>
      <c r="G36" s="68">
        <f t="shared" si="4"/>
        <v>3</v>
      </c>
      <c r="H36" s="155">
        <f t="shared" si="5"/>
        <v>19.559999999999999</v>
      </c>
      <c r="I36" s="62"/>
      <c r="J36" s="67"/>
      <c r="K36" s="112"/>
      <c r="L36" s="90">
        <f t="shared" si="6"/>
        <v>19.559999999999999</v>
      </c>
      <c r="N36" s="98"/>
      <c r="O36" s="63"/>
      <c r="P36" s="61"/>
      <c r="Q36" s="62"/>
    </row>
    <row r="37" spans="1:17" x14ac:dyDescent="0.3">
      <c r="A37" s="68">
        <v>27</v>
      </c>
      <c r="B37" s="68">
        <f t="shared" si="2"/>
        <v>4</v>
      </c>
      <c r="C37" s="155">
        <f t="shared" si="3"/>
        <v>27.6</v>
      </c>
      <c r="F37" s="68">
        <v>27</v>
      </c>
      <c r="G37" s="68">
        <f t="shared" si="4"/>
        <v>3</v>
      </c>
      <c r="H37" s="155">
        <f t="shared" si="5"/>
        <v>19.8</v>
      </c>
      <c r="I37" s="62"/>
      <c r="J37" s="67"/>
      <c r="K37" s="112"/>
      <c r="L37" s="90">
        <f t="shared" si="6"/>
        <v>19.8</v>
      </c>
      <c r="N37" s="98"/>
      <c r="O37" s="61"/>
      <c r="P37" s="61"/>
      <c r="Q37" s="62"/>
    </row>
    <row r="38" spans="1:17" x14ac:dyDescent="0.3">
      <c r="A38" s="68">
        <v>28</v>
      </c>
      <c r="B38" s="68">
        <f t="shared" si="2"/>
        <v>4</v>
      </c>
      <c r="C38" s="155">
        <f t="shared" si="3"/>
        <v>28.02</v>
      </c>
      <c r="F38" s="68">
        <v>28</v>
      </c>
      <c r="G38" s="68">
        <f t="shared" si="4"/>
        <v>3</v>
      </c>
      <c r="H38" s="155">
        <f t="shared" si="5"/>
        <v>19.98</v>
      </c>
      <c r="I38" s="62"/>
      <c r="J38" s="67"/>
      <c r="K38" s="112"/>
      <c r="L38" s="90">
        <f t="shared" si="6"/>
        <v>19.98</v>
      </c>
      <c r="N38" s="98"/>
      <c r="O38" s="63"/>
      <c r="P38" s="61"/>
      <c r="Q38" s="62"/>
    </row>
    <row r="39" spans="1:17" x14ac:dyDescent="0.3">
      <c r="A39" s="68">
        <v>29</v>
      </c>
      <c r="B39" s="68">
        <f t="shared" si="2"/>
        <v>4</v>
      </c>
      <c r="C39" s="155">
        <f t="shared" si="3"/>
        <v>28.38</v>
      </c>
      <c r="F39" s="68">
        <v>29</v>
      </c>
      <c r="G39" s="68">
        <f t="shared" si="4"/>
        <v>3</v>
      </c>
      <c r="H39" s="155">
        <f t="shared" si="5"/>
        <v>20.22</v>
      </c>
      <c r="I39" s="62"/>
      <c r="J39" s="67"/>
      <c r="K39" s="112"/>
      <c r="L39" s="90">
        <f t="shared" si="6"/>
        <v>20.22</v>
      </c>
      <c r="N39" s="98"/>
      <c r="O39" s="61"/>
      <c r="P39" s="61"/>
      <c r="Q39" s="62"/>
    </row>
    <row r="40" spans="1:17" x14ac:dyDescent="0.3">
      <c r="A40" s="68">
        <v>30</v>
      </c>
      <c r="B40" s="68">
        <f t="shared" si="2"/>
        <v>4</v>
      </c>
      <c r="C40" s="155">
        <f t="shared" si="3"/>
        <v>28.8</v>
      </c>
      <c r="F40" s="68">
        <v>30</v>
      </c>
      <c r="G40" s="68">
        <f t="shared" si="4"/>
        <v>3</v>
      </c>
      <c r="H40" s="155">
        <f t="shared" si="5"/>
        <v>20.46</v>
      </c>
      <c r="I40" s="62"/>
      <c r="J40" s="67"/>
      <c r="K40" s="112"/>
      <c r="L40" s="90">
        <f t="shared" si="6"/>
        <v>20.46</v>
      </c>
      <c r="N40" s="98"/>
      <c r="O40" s="63"/>
      <c r="P40" s="61"/>
      <c r="Q40" s="62"/>
    </row>
    <row r="41" spans="1:17" x14ac:dyDescent="0.3">
      <c r="A41" s="68">
        <v>31</v>
      </c>
      <c r="B41" s="68">
        <f t="shared" si="2"/>
        <v>4</v>
      </c>
      <c r="C41" s="155">
        <f t="shared" si="3"/>
        <v>29.22</v>
      </c>
      <c r="F41" s="68">
        <v>31</v>
      </c>
      <c r="G41" s="68">
        <f t="shared" si="4"/>
        <v>3</v>
      </c>
      <c r="H41" s="155">
        <f t="shared" si="5"/>
        <v>20.64</v>
      </c>
      <c r="I41" s="62"/>
      <c r="J41" s="67"/>
      <c r="K41" s="112"/>
      <c r="L41" s="90">
        <f t="shared" si="6"/>
        <v>20.64</v>
      </c>
      <c r="N41" s="98"/>
      <c r="O41" s="61"/>
      <c r="P41" s="61"/>
      <c r="Q41" s="62"/>
    </row>
    <row r="42" spans="1:17" x14ac:dyDescent="0.3">
      <c r="A42" s="68">
        <v>32</v>
      </c>
      <c r="B42" s="68">
        <f t="shared" si="2"/>
        <v>4</v>
      </c>
      <c r="C42" s="156">
        <f t="shared" si="3"/>
        <v>29.58</v>
      </c>
      <c r="F42" s="68">
        <v>32</v>
      </c>
      <c r="G42" s="68">
        <f t="shared" si="4"/>
        <v>3</v>
      </c>
      <c r="H42" s="155">
        <f t="shared" si="5"/>
        <v>20.88</v>
      </c>
      <c r="I42" s="62"/>
      <c r="J42" s="67"/>
      <c r="K42" s="112"/>
      <c r="L42" s="90">
        <f t="shared" si="6"/>
        <v>20.88</v>
      </c>
      <c r="N42" s="98"/>
      <c r="O42" s="98"/>
      <c r="P42" s="61"/>
      <c r="Q42" s="62"/>
    </row>
    <row r="43" spans="1:17" x14ac:dyDescent="0.3">
      <c r="A43" s="68">
        <v>33</v>
      </c>
      <c r="B43" s="68">
        <f t="shared" si="2"/>
        <v>5</v>
      </c>
      <c r="C43" s="155">
        <f t="shared" si="3"/>
        <v>30</v>
      </c>
      <c r="F43" s="68">
        <v>33</v>
      </c>
      <c r="G43" s="68">
        <f t="shared" si="4"/>
        <v>3</v>
      </c>
      <c r="H43" s="155">
        <f t="shared" si="5"/>
        <v>21.12</v>
      </c>
      <c r="I43" s="62"/>
      <c r="J43" s="67"/>
      <c r="K43" s="112"/>
      <c r="L43" s="90">
        <f t="shared" si="6"/>
        <v>21.12</v>
      </c>
      <c r="N43" s="98"/>
      <c r="O43" s="98"/>
      <c r="P43" s="61"/>
      <c r="Q43" s="62"/>
    </row>
    <row r="44" spans="1:17" x14ac:dyDescent="0.3">
      <c r="A44" s="68">
        <v>34</v>
      </c>
      <c r="B44" s="68">
        <f t="shared" si="2"/>
        <v>5</v>
      </c>
      <c r="C44" s="155">
        <f t="shared" si="3"/>
        <v>30.36</v>
      </c>
      <c r="E44" s="7"/>
      <c r="F44" s="68">
        <v>34</v>
      </c>
      <c r="G44" s="68">
        <f t="shared" si="4"/>
        <v>3</v>
      </c>
      <c r="H44" s="155">
        <f t="shared" si="5"/>
        <v>21.36</v>
      </c>
      <c r="I44" s="62"/>
      <c r="J44" s="112"/>
      <c r="K44" s="112"/>
      <c r="L44" s="90">
        <f t="shared" si="6"/>
        <v>21.36</v>
      </c>
      <c r="N44" s="98"/>
      <c r="O44" s="98"/>
      <c r="P44" s="61"/>
      <c r="Q44" s="62"/>
    </row>
    <row r="45" spans="1:17" x14ac:dyDescent="0.3">
      <c r="A45" s="68">
        <v>35</v>
      </c>
      <c r="B45" s="68">
        <f t="shared" si="2"/>
        <v>5</v>
      </c>
      <c r="C45" s="155">
        <f t="shared" si="3"/>
        <v>30.66</v>
      </c>
      <c r="E45" s="7"/>
      <c r="F45" s="68">
        <v>35</v>
      </c>
      <c r="G45" s="68">
        <f t="shared" si="4"/>
        <v>3</v>
      </c>
      <c r="H45" s="155">
        <f t="shared" si="5"/>
        <v>21.54</v>
      </c>
      <c r="I45" s="62"/>
      <c r="J45" s="112"/>
      <c r="K45" s="112"/>
      <c r="L45" s="90">
        <f t="shared" si="6"/>
        <v>21.54</v>
      </c>
      <c r="N45" s="98"/>
      <c r="O45" s="98"/>
      <c r="P45" s="61"/>
      <c r="Q45" s="62"/>
    </row>
    <row r="46" spans="1:17" x14ac:dyDescent="0.3">
      <c r="A46" s="68">
        <v>36</v>
      </c>
      <c r="B46" s="68">
        <f t="shared" si="2"/>
        <v>5</v>
      </c>
      <c r="C46" s="155">
        <f t="shared" si="3"/>
        <v>31.02</v>
      </c>
      <c r="E46" s="7"/>
      <c r="F46" s="68">
        <v>36</v>
      </c>
      <c r="G46" s="68">
        <f t="shared" si="4"/>
        <v>3</v>
      </c>
      <c r="H46" s="155">
        <f t="shared" si="5"/>
        <v>21.78</v>
      </c>
      <c r="I46" s="62"/>
      <c r="J46" s="112"/>
      <c r="K46" s="112"/>
      <c r="L46" s="90">
        <f t="shared" si="6"/>
        <v>21.78</v>
      </c>
      <c r="N46" s="98"/>
      <c r="O46" s="63"/>
      <c r="P46" s="61"/>
      <c r="Q46" s="62"/>
    </row>
    <row r="47" spans="1:17" x14ac:dyDescent="0.3">
      <c r="A47" s="68">
        <v>37</v>
      </c>
      <c r="B47" s="68">
        <f t="shared" si="2"/>
        <v>5</v>
      </c>
      <c r="C47" s="155">
        <f t="shared" si="3"/>
        <v>31.32</v>
      </c>
      <c r="E47" s="7"/>
      <c r="F47" s="68">
        <v>37</v>
      </c>
      <c r="G47" s="68">
        <f t="shared" si="4"/>
        <v>3</v>
      </c>
      <c r="H47" s="155">
        <f t="shared" si="5"/>
        <v>22.02</v>
      </c>
      <c r="I47" s="62"/>
      <c r="J47" s="112"/>
      <c r="K47" s="112"/>
      <c r="L47" s="90">
        <f t="shared" si="6"/>
        <v>22.02</v>
      </c>
      <c r="N47" s="98"/>
      <c r="O47" s="63"/>
      <c r="P47" s="61"/>
      <c r="Q47" s="62"/>
    </row>
    <row r="48" spans="1:17" x14ac:dyDescent="0.3">
      <c r="A48" s="68">
        <v>38</v>
      </c>
      <c r="B48" s="68">
        <f t="shared" si="2"/>
        <v>5</v>
      </c>
      <c r="C48" s="155">
        <f t="shared" si="3"/>
        <v>31.68</v>
      </c>
      <c r="E48" s="7"/>
      <c r="F48" s="68">
        <v>38</v>
      </c>
      <c r="G48" s="68">
        <f t="shared" si="4"/>
        <v>3</v>
      </c>
      <c r="H48" s="155">
        <f t="shared" si="5"/>
        <v>22.2</v>
      </c>
      <c r="I48" s="62"/>
      <c r="J48" s="112"/>
      <c r="K48" s="112"/>
      <c r="L48" s="90">
        <f t="shared" si="6"/>
        <v>22.2</v>
      </c>
      <c r="N48" s="98"/>
      <c r="O48" s="61"/>
      <c r="P48" s="61"/>
      <c r="Q48" s="62"/>
    </row>
    <row r="49" spans="1:17" x14ac:dyDescent="0.3">
      <c r="A49" s="68">
        <v>39</v>
      </c>
      <c r="B49" s="68">
        <f t="shared" si="2"/>
        <v>5</v>
      </c>
      <c r="C49" s="155">
        <f t="shared" si="3"/>
        <v>31.98</v>
      </c>
      <c r="E49" s="7"/>
      <c r="F49" s="68">
        <v>39</v>
      </c>
      <c r="G49" s="68">
        <f t="shared" si="4"/>
        <v>3</v>
      </c>
      <c r="H49" s="155">
        <f t="shared" si="5"/>
        <v>22.44</v>
      </c>
      <c r="I49" s="62"/>
      <c r="J49" s="112"/>
      <c r="K49" s="112"/>
      <c r="L49" s="90">
        <f t="shared" si="6"/>
        <v>22.44</v>
      </c>
      <c r="N49" s="98"/>
      <c r="O49" s="63"/>
      <c r="P49" s="61"/>
      <c r="Q49" s="62"/>
    </row>
    <row r="50" spans="1:17" x14ac:dyDescent="0.3">
      <c r="A50" s="68">
        <v>40</v>
      </c>
      <c r="B50" s="68">
        <f t="shared" si="2"/>
        <v>5</v>
      </c>
      <c r="C50" s="155">
        <f t="shared" si="3"/>
        <v>32.340000000000003</v>
      </c>
      <c r="E50" s="7"/>
      <c r="F50" s="68">
        <v>40</v>
      </c>
      <c r="G50" s="68">
        <f t="shared" si="4"/>
        <v>3</v>
      </c>
      <c r="H50" s="155">
        <f t="shared" si="5"/>
        <v>22.68</v>
      </c>
      <c r="I50" s="62"/>
      <c r="J50" s="112"/>
      <c r="K50" s="112"/>
      <c r="L50" s="90">
        <f t="shared" si="6"/>
        <v>22.68</v>
      </c>
      <c r="N50" s="98"/>
      <c r="O50" s="61"/>
      <c r="P50" s="61"/>
      <c r="Q50" s="62"/>
    </row>
    <row r="51" spans="1:17" x14ac:dyDescent="0.3">
      <c r="A51" s="68">
        <v>41</v>
      </c>
      <c r="B51" s="68">
        <f t="shared" si="2"/>
        <v>5</v>
      </c>
      <c r="C51" s="155">
        <f t="shared" si="3"/>
        <v>32.64</v>
      </c>
      <c r="E51" s="7"/>
      <c r="F51" s="68">
        <v>41</v>
      </c>
      <c r="G51" s="68">
        <f t="shared" si="4"/>
        <v>3</v>
      </c>
      <c r="H51" s="155">
        <f t="shared" si="5"/>
        <v>22.86</v>
      </c>
      <c r="I51" s="62"/>
      <c r="J51" s="112"/>
      <c r="K51" s="112"/>
      <c r="L51" s="90">
        <f t="shared" si="6"/>
        <v>22.86</v>
      </c>
      <c r="N51" s="98"/>
      <c r="O51" s="63"/>
      <c r="P51" s="61"/>
      <c r="Q51" s="62"/>
    </row>
    <row r="52" spans="1:17" x14ac:dyDescent="0.3">
      <c r="A52" s="68">
        <v>42</v>
      </c>
      <c r="B52" s="68">
        <f t="shared" si="2"/>
        <v>5</v>
      </c>
      <c r="C52" s="155">
        <f t="shared" si="3"/>
        <v>33</v>
      </c>
      <c r="E52" s="7"/>
      <c r="F52" s="68">
        <v>42</v>
      </c>
      <c r="G52" s="68">
        <f t="shared" si="4"/>
        <v>3</v>
      </c>
      <c r="H52" s="155">
        <f t="shared" si="5"/>
        <v>23.1</v>
      </c>
      <c r="I52" s="62"/>
      <c r="J52" s="112"/>
      <c r="K52" s="112"/>
      <c r="L52" s="90">
        <f t="shared" si="6"/>
        <v>23.1</v>
      </c>
      <c r="N52" s="98"/>
      <c r="O52" s="61"/>
      <c r="P52" s="61"/>
      <c r="Q52" s="62"/>
    </row>
    <row r="53" spans="1:17" x14ac:dyDescent="0.3">
      <c r="A53" s="68">
        <v>43</v>
      </c>
      <c r="B53" s="68">
        <f t="shared" si="2"/>
        <v>5</v>
      </c>
      <c r="C53" s="155">
        <f t="shared" si="3"/>
        <v>33.36</v>
      </c>
      <c r="E53" s="7"/>
      <c r="F53" s="68">
        <v>43</v>
      </c>
      <c r="G53" s="68">
        <f t="shared" si="4"/>
        <v>3</v>
      </c>
      <c r="H53" s="155">
        <f t="shared" si="5"/>
        <v>23.34</v>
      </c>
      <c r="I53" s="62"/>
      <c r="J53" s="112"/>
      <c r="K53" s="112"/>
      <c r="L53" s="90">
        <f t="shared" si="6"/>
        <v>23.34</v>
      </c>
      <c r="N53" s="98"/>
      <c r="O53" s="98"/>
      <c r="P53" s="61"/>
      <c r="Q53" s="62"/>
    </row>
    <row r="54" spans="1:17" x14ac:dyDescent="0.3">
      <c r="A54" s="68">
        <v>44</v>
      </c>
      <c r="B54" s="68">
        <f t="shared" si="2"/>
        <v>5</v>
      </c>
      <c r="C54" s="155">
        <f t="shared" si="3"/>
        <v>33.659999999999997</v>
      </c>
      <c r="E54" s="7"/>
      <c r="F54" s="68">
        <v>44</v>
      </c>
      <c r="G54" s="68">
        <f t="shared" si="4"/>
        <v>3</v>
      </c>
      <c r="H54" s="155">
        <f t="shared" si="5"/>
        <v>23.58</v>
      </c>
      <c r="I54" s="62"/>
      <c r="J54" s="112"/>
      <c r="K54" s="112"/>
      <c r="L54" s="90">
        <f t="shared" si="6"/>
        <v>23.58</v>
      </c>
      <c r="N54" s="98"/>
      <c r="O54" s="98"/>
      <c r="P54" s="61"/>
      <c r="Q54" s="62"/>
    </row>
    <row r="55" spans="1:17" x14ac:dyDescent="0.3">
      <c r="A55" s="68">
        <v>45</v>
      </c>
      <c r="B55" s="68">
        <f t="shared" si="2"/>
        <v>5</v>
      </c>
      <c r="C55" s="155">
        <f t="shared" si="3"/>
        <v>34.020000000000003</v>
      </c>
      <c r="E55" s="7"/>
      <c r="F55" s="68">
        <v>45</v>
      </c>
      <c r="G55" s="68">
        <f t="shared" si="4"/>
        <v>3</v>
      </c>
      <c r="H55" s="155">
        <f t="shared" si="5"/>
        <v>23.76</v>
      </c>
      <c r="I55" s="62"/>
      <c r="J55" s="112"/>
      <c r="K55" s="112"/>
      <c r="L55" s="90">
        <f t="shared" si="6"/>
        <v>23.76</v>
      </c>
      <c r="N55" s="98"/>
      <c r="O55" s="98"/>
      <c r="P55" s="61"/>
      <c r="Q55" s="62"/>
    </row>
    <row r="56" spans="1:17" x14ac:dyDescent="0.3">
      <c r="A56" s="68">
        <v>46</v>
      </c>
      <c r="B56" s="68">
        <f t="shared" si="2"/>
        <v>5</v>
      </c>
      <c r="C56" s="155">
        <f t="shared" si="3"/>
        <v>34.32</v>
      </c>
      <c r="E56" s="7"/>
      <c r="F56" s="68">
        <v>46</v>
      </c>
      <c r="G56" s="68">
        <f t="shared" si="4"/>
        <v>4</v>
      </c>
      <c r="H56" s="154">
        <f t="shared" si="5"/>
        <v>24</v>
      </c>
      <c r="I56" s="62"/>
      <c r="J56" s="112"/>
      <c r="K56" s="112"/>
      <c r="L56" s="90">
        <f t="shared" si="6"/>
        <v>24</v>
      </c>
      <c r="N56" s="98"/>
      <c r="O56" s="98"/>
      <c r="P56" s="61"/>
      <c r="Q56" s="62"/>
    </row>
    <row r="57" spans="1:17" x14ac:dyDescent="0.3">
      <c r="A57" s="68">
        <v>47</v>
      </c>
      <c r="B57" s="68">
        <f t="shared" si="2"/>
        <v>5</v>
      </c>
      <c r="C57" s="155">
        <f t="shared" si="3"/>
        <v>34.68</v>
      </c>
      <c r="E57" s="7"/>
      <c r="F57" s="68">
        <v>47</v>
      </c>
      <c r="G57" s="68">
        <f t="shared" ref="G57:G88" si="7">IF(F57&lt;=$W$7,2,IF(F57&lt;=$W$8,3,IF(F57&lt;=$W$9,4,IF(F57&lt;=$W$10,5,"ERROR"))))</f>
        <v>4</v>
      </c>
      <c r="H57" s="155">
        <f t="shared" ref="H57:H88" si="8">IF($G57=2,$L57,ROUND(ROUND(((F57-VLOOKUP(G57,thresholds,4,FALSE))/(VLOOKUP(G57,thresholds,5,FALSE)-VLOOKUP(G57,thresholds,4,FALSE)+1)+G57),2)*6,2))</f>
        <v>24.18</v>
      </c>
      <c r="I57" s="62"/>
      <c r="J57" s="112"/>
      <c r="K57" s="112"/>
      <c r="L57" s="90">
        <f t="shared" ref="L57:L88" si="9">ROUND(ROUND(3-((VLOOKUP(3,thresholds,4,FALSE)-F57)/(VLOOKUP(3,thresholds,5,FALSE)-VLOOKUP(3,thresholds,4,FALSE)+1)),2)*6,2)</f>
        <v>24.24</v>
      </c>
      <c r="N57" s="98"/>
      <c r="O57" s="63"/>
      <c r="P57" s="61"/>
    </row>
    <row r="58" spans="1:17" x14ac:dyDescent="0.3">
      <c r="A58" s="68">
        <v>48</v>
      </c>
      <c r="B58" s="68">
        <f t="shared" si="2"/>
        <v>5</v>
      </c>
      <c r="C58" s="155">
        <f t="shared" si="3"/>
        <v>34.979999999999997</v>
      </c>
      <c r="E58" s="7"/>
      <c r="F58" s="68">
        <v>48</v>
      </c>
      <c r="G58" s="68">
        <f t="shared" si="7"/>
        <v>4</v>
      </c>
      <c r="H58" s="155">
        <f t="shared" si="8"/>
        <v>24.36</v>
      </c>
      <c r="I58" s="62"/>
      <c r="J58" s="112"/>
      <c r="K58" s="112"/>
      <c r="L58" s="90">
        <f t="shared" si="9"/>
        <v>24.42</v>
      </c>
      <c r="O58" s="63"/>
      <c r="P58" s="61"/>
    </row>
    <row r="59" spans="1:17" x14ac:dyDescent="0.3">
      <c r="A59" s="68">
        <v>49</v>
      </c>
      <c r="B59" s="68">
        <f t="shared" si="2"/>
        <v>5</v>
      </c>
      <c r="C59" s="155">
        <f t="shared" si="3"/>
        <v>35.340000000000003</v>
      </c>
      <c r="E59" s="7"/>
      <c r="F59" s="68">
        <v>49</v>
      </c>
      <c r="G59" s="68">
        <f t="shared" si="7"/>
        <v>4</v>
      </c>
      <c r="H59" s="155">
        <f t="shared" si="8"/>
        <v>24.54</v>
      </c>
      <c r="I59" s="62"/>
      <c r="J59" s="112"/>
      <c r="K59" s="112"/>
      <c r="L59" s="90">
        <f t="shared" si="9"/>
        <v>24.66</v>
      </c>
      <c r="O59" s="61"/>
      <c r="P59" s="61"/>
    </row>
    <row r="60" spans="1:17" x14ac:dyDescent="0.3">
      <c r="A60" s="68">
        <v>50</v>
      </c>
      <c r="B60" s="68">
        <f>IF(A60&lt;=$U$6,"N",IF(A60&lt;=$U$8,3,IF(A60&lt;=$U$9,4,IF(A60&lt;=$U$10,5,"ERROR"))))</f>
        <v>5</v>
      </c>
      <c r="C60" s="156">
        <f>IF($B60=2,$K60,ROUND(ROUND(((A60-VLOOKUP(B60,$S$6:$W$10,2,FALSE))/(VLOOKUP(B60,$S$6:$W$10,3,FALSE)-VLOOKUP(B60,$S$6:$W$10,2,FALSE)+1)+B60),2)*6,2))</f>
        <v>35.64</v>
      </c>
      <c r="E60" s="7"/>
      <c r="F60" s="68">
        <v>50</v>
      </c>
      <c r="G60" s="68">
        <f t="shared" si="7"/>
        <v>4</v>
      </c>
      <c r="H60" s="155">
        <f t="shared" si="8"/>
        <v>24.72</v>
      </c>
      <c r="I60" s="62"/>
      <c r="J60" s="112"/>
      <c r="K60" s="112"/>
      <c r="L60" s="90">
        <f t="shared" si="9"/>
        <v>24.9</v>
      </c>
      <c r="O60" s="63"/>
      <c r="P60" s="61"/>
    </row>
    <row r="61" spans="1:17" x14ac:dyDescent="0.3">
      <c r="A61" s="68"/>
      <c r="B61" s="68"/>
      <c r="C61" s="62"/>
      <c r="E61" s="7"/>
      <c r="F61" s="68">
        <v>51</v>
      </c>
      <c r="G61" s="68">
        <f t="shared" si="7"/>
        <v>4</v>
      </c>
      <c r="H61" s="155">
        <f t="shared" si="8"/>
        <v>24.9</v>
      </c>
      <c r="I61" s="62"/>
      <c r="J61" s="112"/>
      <c r="K61" s="112"/>
      <c r="L61" s="90">
        <f t="shared" si="9"/>
        <v>25.14</v>
      </c>
      <c r="O61" s="61"/>
      <c r="P61" s="61"/>
    </row>
    <row r="62" spans="1:17" x14ac:dyDescent="0.3">
      <c r="A62" s="68"/>
      <c r="B62" s="68"/>
      <c r="C62" s="62"/>
      <c r="E62" s="7"/>
      <c r="F62" s="68">
        <v>52</v>
      </c>
      <c r="G62" s="68">
        <f t="shared" si="7"/>
        <v>4</v>
      </c>
      <c r="H62" s="155">
        <f t="shared" si="8"/>
        <v>25.08</v>
      </c>
      <c r="I62" s="62"/>
      <c r="J62" s="112"/>
      <c r="K62" s="112"/>
      <c r="L62" s="90">
        <f t="shared" si="9"/>
        <v>25.32</v>
      </c>
      <c r="O62" s="63"/>
      <c r="P62" s="61"/>
    </row>
    <row r="63" spans="1:17" x14ac:dyDescent="0.3">
      <c r="A63" s="68"/>
      <c r="B63" s="68"/>
      <c r="C63" s="62"/>
      <c r="E63" s="7"/>
      <c r="F63" s="68">
        <v>53</v>
      </c>
      <c r="G63" s="68">
        <f t="shared" si="7"/>
        <v>4</v>
      </c>
      <c r="H63" s="155">
        <f t="shared" si="8"/>
        <v>25.26</v>
      </c>
      <c r="I63" s="62"/>
      <c r="J63" s="112"/>
      <c r="K63" s="112"/>
      <c r="L63" s="90">
        <f t="shared" si="9"/>
        <v>25.56</v>
      </c>
      <c r="O63" s="61"/>
      <c r="P63" s="61"/>
    </row>
    <row r="64" spans="1:17" x14ac:dyDescent="0.3">
      <c r="A64" s="68"/>
      <c r="B64" s="68"/>
      <c r="C64" s="113"/>
      <c r="E64" s="7"/>
      <c r="F64" s="68">
        <v>54</v>
      </c>
      <c r="G64" s="68">
        <f t="shared" si="7"/>
        <v>4</v>
      </c>
      <c r="H64" s="155">
        <f t="shared" si="8"/>
        <v>25.44</v>
      </c>
      <c r="I64" s="62"/>
      <c r="J64" s="112"/>
      <c r="K64" s="112"/>
      <c r="L64" s="90">
        <f t="shared" si="9"/>
        <v>25.8</v>
      </c>
      <c r="O64" s="98"/>
      <c r="P64" s="61"/>
      <c r="Q64" s="62"/>
    </row>
    <row r="65" spans="1:17" x14ac:dyDescent="0.3">
      <c r="A65" s="68"/>
      <c r="B65" s="68"/>
      <c r="C65" s="62"/>
      <c r="E65" s="7"/>
      <c r="F65" s="68">
        <v>55</v>
      </c>
      <c r="G65" s="68">
        <f t="shared" si="7"/>
        <v>4</v>
      </c>
      <c r="H65" s="155">
        <f t="shared" si="8"/>
        <v>25.62</v>
      </c>
      <c r="I65" s="62"/>
      <c r="J65" s="112"/>
      <c r="K65" s="112"/>
      <c r="L65" s="90">
        <f t="shared" si="9"/>
        <v>25.98</v>
      </c>
      <c r="O65" s="98"/>
      <c r="P65" s="61"/>
      <c r="Q65" s="62"/>
    </row>
    <row r="66" spans="1:17" x14ac:dyDescent="0.3">
      <c r="A66" s="68"/>
      <c r="B66" s="68"/>
      <c r="C66" s="62"/>
      <c r="E66" s="7"/>
      <c r="F66" s="68">
        <v>56</v>
      </c>
      <c r="G66" s="68">
        <f t="shared" si="7"/>
        <v>4</v>
      </c>
      <c r="H66" s="155">
        <f t="shared" si="8"/>
        <v>25.8</v>
      </c>
      <c r="I66" s="62"/>
      <c r="J66" s="112"/>
      <c r="K66" s="112"/>
      <c r="L66" s="90">
        <f t="shared" si="9"/>
        <v>26.22</v>
      </c>
      <c r="O66" s="98"/>
      <c r="P66" s="61"/>
      <c r="Q66" s="62"/>
    </row>
    <row r="67" spans="1:17" x14ac:dyDescent="0.3">
      <c r="A67" s="68"/>
      <c r="B67" s="68"/>
      <c r="C67" s="62"/>
      <c r="E67" s="7"/>
      <c r="F67" s="68">
        <v>57</v>
      </c>
      <c r="G67" s="68">
        <f t="shared" si="7"/>
        <v>4</v>
      </c>
      <c r="H67" s="155">
        <f t="shared" si="8"/>
        <v>25.98</v>
      </c>
      <c r="I67" s="62"/>
      <c r="J67" s="112"/>
      <c r="K67" s="112"/>
      <c r="L67" s="90">
        <f t="shared" si="9"/>
        <v>26.46</v>
      </c>
      <c r="O67" s="98"/>
      <c r="P67" s="61"/>
      <c r="Q67" s="62"/>
    </row>
    <row r="68" spans="1:17" x14ac:dyDescent="0.3">
      <c r="A68" s="68"/>
      <c r="B68" s="68"/>
      <c r="C68" s="62"/>
      <c r="E68" s="7"/>
      <c r="F68" s="68">
        <v>58</v>
      </c>
      <c r="G68" s="68">
        <f t="shared" si="7"/>
        <v>4</v>
      </c>
      <c r="H68" s="155">
        <f t="shared" si="8"/>
        <v>26.16</v>
      </c>
      <c r="I68" s="62"/>
      <c r="J68" s="112"/>
      <c r="K68" s="112"/>
      <c r="L68" s="90">
        <f t="shared" si="9"/>
        <v>26.64</v>
      </c>
      <c r="O68" s="63"/>
      <c r="P68" s="61"/>
      <c r="Q68" s="62"/>
    </row>
    <row r="69" spans="1:17" x14ac:dyDescent="0.3">
      <c r="A69" s="68"/>
      <c r="B69" s="68"/>
      <c r="C69" s="62"/>
      <c r="E69" s="7"/>
      <c r="F69" s="68">
        <v>59</v>
      </c>
      <c r="G69" s="68">
        <f t="shared" si="7"/>
        <v>4</v>
      </c>
      <c r="H69" s="155">
        <f t="shared" si="8"/>
        <v>26.34</v>
      </c>
      <c r="I69" s="62"/>
      <c r="J69" s="112"/>
      <c r="K69" s="112"/>
      <c r="L69" s="90">
        <f t="shared" si="9"/>
        <v>26.88</v>
      </c>
      <c r="N69" s="98"/>
      <c r="O69" s="98"/>
      <c r="P69" s="61"/>
      <c r="Q69" s="62"/>
    </row>
    <row r="70" spans="1:17" x14ac:dyDescent="0.3">
      <c r="A70" s="68"/>
      <c r="B70" s="68"/>
      <c r="C70" s="62"/>
      <c r="E70" s="7"/>
      <c r="F70" s="68">
        <v>60</v>
      </c>
      <c r="G70" s="68">
        <f t="shared" si="7"/>
        <v>4</v>
      </c>
      <c r="H70" s="155">
        <f t="shared" si="8"/>
        <v>26.52</v>
      </c>
      <c r="I70" s="62"/>
      <c r="J70" s="112"/>
      <c r="K70" s="112"/>
      <c r="L70" s="90">
        <f t="shared" si="9"/>
        <v>27.12</v>
      </c>
      <c r="N70" s="98"/>
      <c r="O70" s="98"/>
      <c r="P70" s="61"/>
      <c r="Q70" s="62"/>
    </row>
    <row r="71" spans="1:17" x14ac:dyDescent="0.3">
      <c r="A71" s="68"/>
      <c r="B71" s="68"/>
      <c r="C71" s="62"/>
      <c r="E71" s="7"/>
      <c r="F71" s="68">
        <v>61</v>
      </c>
      <c r="G71" s="68">
        <f t="shared" si="7"/>
        <v>4</v>
      </c>
      <c r="H71" s="155">
        <f t="shared" si="8"/>
        <v>26.7</v>
      </c>
      <c r="I71" s="62"/>
      <c r="J71" s="112"/>
      <c r="K71" s="112"/>
      <c r="L71" s="90">
        <f t="shared" si="9"/>
        <v>27.36</v>
      </c>
      <c r="N71" s="98"/>
      <c r="O71" s="98"/>
      <c r="P71" s="61"/>
      <c r="Q71" s="62"/>
    </row>
    <row r="72" spans="1:17" x14ac:dyDescent="0.3">
      <c r="A72" s="68"/>
      <c r="B72" s="68"/>
      <c r="C72" s="62"/>
      <c r="E72" s="7"/>
      <c r="F72" s="68">
        <v>62</v>
      </c>
      <c r="G72" s="68">
        <f t="shared" si="7"/>
        <v>4</v>
      </c>
      <c r="H72" s="155">
        <f t="shared" si="8"/>
        <v>26.88</v>
      </c>
      <c r="I72" s="62"/>
      <c r="J72" s="112"/>
      <c r="K72" s="112"/>
      <c r="L72" s="90">
        <f t="shared" si="9"/>
        <v>27.54</v>
      </c>
      <c r="N72" s="98"/>
      <c r="O72" s="98"/>
      <c r="P72" s="61"/>
      <c r="Q72" s="62"/>
    </row>
    <row r="73" spans="1:17" x14ac:dyDescent="0.3">
      <c r="A73" s="68"/>
      <c r="B73" s="68"/>
      <c r="C73" s="62"/>
      <c r="E73" s="7"/>
      <c r="F73" s="68">
        <v>63</v>
      </c>
      <c r="G73" s="68">
        <f t="shared" si="7"/>
        <v>4</v>
      </c>
      <c r="H73" s="155">
        <f t="shared" si="8"/>
        <v>27.12</v>
      </c>
      <c r="I73" s="62"/>
      <c r="J73" s="112"/>
      <c r="K73" s="112"/>
      <c r="L73" s="90">
        <f t="shared" si="9"/>
        <v>27.78</v>
      </c>
      <c r="N73" s="98"/>
      <c r="O73" s="98"/>
      <c r="P73" s="61"/>
      <c r="Q73" s="62"/>
    </row>
    <row r="74" spans="1:17" x14ac:dyDescent="0.3">
      <c r="A74" s="68"/>
      <c r="B74" s="68"/>
      <c r="C74" s="62"/>
      <c r="E74" s="7"/>
      <c r="F74" s="68">
        <v>64</v>
      </c>
      <c r="G74" s="68">
        <f t="shared" si="7"/>
        <v>4</v>
      </c>
      <c r="H74" s="155">
        <f t="shared" si="8"/>
        <v>27.3</v>
      </c>
      <c r="I74" s="62"/>
      <c r="J74" s="112"/>
      <c r="K74" s="112"/>
      <c r="L74" s="90">
        <f t="shared" si="9"/>
        <v>28.02</v>
      </c>
      <c r="N74" s="98"/>
      <c r="O74" s="98"/>
      <c r="P74" s="61"/>
      <c r="Q74" s="62"/>
    </row>
    <row r="75" spans="1:17" x14ac:dyDescent="0.3">
      <c r="A75" s="68"/>
      <c r="B75" s="68"/>
      <c r="C75" s="62"/>
      <c r="E75" s="7"/>
      <c r="F75" s="68">
        <v>65</v>
      </c>
      <c r="G75" s="68">
        <f t="shared" si="7"/>
        <v>4</v>
      </c>
      <c r="H75" s="155">
        <f t="shared" si="8"/>
        <v>27.48</v>
      </c>
      <c r="I75" s="62"/>
      <c r="J75" s="112"/>
      <c r="K75" s="112"/>
      <c r="L75" s="90">
        <f t="shared" si="9"/>
        <v>28.2</v>
      </c>
      <c r="N75" s="98"/>
      <c r="O75" s="63"/>
      <c r="P75" s="61"/>
      <c r="Q75" s="62"/>
    </row>
    <row r="76" spans="1:17" x14ac:dyDescent="0.3">
      <c r="A76" s="68"/>
      <c r="B76" s="68"/>
      <c r="C76" s="62"/>
      <c r="E76" s="7"/>
      <c r="F76" s="68">
        <v>66</v>
      </c>
      <c r="G76" s="68">
        <f t="shared" si="7"/>
        <v>4</v>
      </c>
      <c r="H76" s="155">
        <f t="shared" si="8"/>
        <v>27.66</v>
      </c>
      <c r="I76" s="62"/>
      <c r="J76" s="112"/>
      <c r="K76" s="112"/>
      <c r="L76" s="90">
        <f t="shared" si="9"/>
        <v>28.44</v>
      </c>
      <c r="O76" s="98"/>
    </row>
    <row r="77" spans="1:17" x14ac:dyDescent="0.3">
      <c r="A77" s="68"/>
      <c r="B77" s="68"/>
      <c r="C77" s="62"/>
      <c r="E77" s="7"/>
      <c r="F77" s="68">
        <v>67</v>
      </c>
      <c r="G77" s="68">
        <f t="shared" si="7"/>
        <v>4</v>
      </c>
      <c r="H77" s="155">
        <f t="shared" si="8"/>
        <v>27.84</v>
      </c>
      <c r="I77" s="62"/>
      <c r="J77" s="112"/>
      <c r="K77" s="112"/>
      <c r="L77" s="90">
        <f t="shared" si="9"/>
        <v>28.68</v>
      </c>
      <c r="O77" s="98"/>
    </row>
    <row r="78" spans="1:17" x14ac:dyDescent="0.3">
      <c r="A78" s="68"/>
      <c r="B78" s="68"/>
      <c r="C78" s="62"/>
      <c r="E78" s="7"/>
      <c r="F78" s="68">
        <v>68</v>
      </c>
      <c r="G78" s="68">
        <f t="shared" si="7"/>
        <v>4</v>
      </c>
      <c r="H78" s="155">
        <f t="shared" si="8"/>
        <v>28.02</v>
      </c>
      <c r="I78" s="62"/>
      <c r="J78" s="112"/>
      <c r="K78" s="112"/>
      <c r="L78" s="90">
        <f t="shared" si="9"/>
        <v>28.86</v>
      </c>
      <c r="O78" s="98"/>
    </row>
    <row r="79" spans="1:17" x14ac:dyDescent="0.3">
      <c r="A79" s="68"/>
      <c r="B79" s="68"/>
      <c r="C79" s="62"/>
      <c r="E79" s="7"/>
      <c r="F79" s="68">
        <v>69</v>
      </c>
      <c r="G79" s="68">
        <f t="shared" si="7"/>
        <v>4</v>
      </c>
      <c r="H79" s="155">
        <f t="shared" si="8"/>
        <v>28.2</v>
      </c>
      <c r="I79" s="62"/>
      <c r="J79" s="112"/>
      <c r="K79" s="112"/>
      <c r="L79" s="90">
        <f t="shared" si="9"/>
        <v>29.1</v>
      </c>
      <c r="O79" s="98"/>
    </row>
    <row r="80" spans="1:17" x14ac:dyDescent="0.3">
      <c r="A80" s="68"/>
      <c r="B80" s="68"/>
      <c r="C80" s="62"/>
      <c r="E80" s="7"/>
      <c r="F80" s="68">
        <v>70</v>
      </c>
      <c r="G80" s="68">
        <f t="shared" si="7"/>
        <v>4</v>
      </c>
      <c r="H80" s="155">
        <f t="shared" si="8"/>
        <v>28.38</v>
      </c>
      <c r="I80" s="62"/>
      <c r="J80" s="112"/>
      <c r="K80" s="112"/>
      <c r="L80" s="90">
        <f t="shared" si="9"/>
        <v>29.34</v>
      </c>
      <c r="O80" s="98"/>
      <c r="Q80" s="62"/>
    </row>
    <row r="81" spans="1:17" x14ac:dyDescent="0.3">
      <c r="A81" s="68"/>
      <c r="B81" s="68"/>
      <c r="C81" s="62"/>
      <c r="E81" s="7"/>
      <c r="F81" s="68">
        <v>71</v>
      </c>
      <c r="G81" s="68">
        <f t="shared" si="7"/>
        <v>4</v>
      </c>
      <c r="H81" s="155">
        <f t="shared" si="8"/>
        <v>28.56</v>
      </c>
      <c r="I81" s="62"/>
      <c r="J81" s="112"/>
      <c r="K81" s="112"/>
      <c r="L81" s="90">
        <f t="shared" si="9"/>
        <v>29.58</v>
      </c>
      <c r="O81" s="98"/>
      <c r="Q81" s="62"/>
    </row>
    <row r="82" spans="1:17" x14ac:dyDescent="0.3">
      <c r="A82" s="68"/>
      <c r="B82" s="68"/>
      <c r="C82" s="62"/>
      <c r="E82" s="7"/>
      <c r="F82" s="68">
        <v>72</v>
      </c>
      <c r="G82" s="68">
        <f t="shared" si="7"/>
        <v>4</v>
      </c>
      <c r="H82" s="155">
        <f t="shared" si="8"/>
        <v>28.74</v>
      </c>
      <c r="I82" s="62"/>
      <c r="J82" s="112"/>
      <c r="K82" s="112"/>
      <c r="L82" s="90">
        <f t="shared" si="9"/>
        <v>29.76</v>
      </c>
      <c r="O82" s="63"/>
    </row>
    <row r="83" spans="1:17" x14ac:dyDescent="0.3">
      <c r="A83" s="68"/>
      <c r="B83" s="68"/>
      <c r="C83" s="62"/>
      <c r="E83" s="7"/>
      <c r="F83" s="68">
        <v>73</v>
      </c>
      <c r="G83" s="68">
        <f t="shared" si="7"/>
        <v>4</v>
      </c>
      <c r="H83" s="155">
        <f t="shared" si="8"/>
        <v>28.92</v>
      </c>
      <c r="I83" s="62"/>
      <c r="J83" s="112"/>
      <c r="K83" s="112"/>
      <c r="L83" s="90">
        <f t="shared" si="9"/>
        <v>30</v>
      </c>
      <c r="O83" s="61"/>
    </row>
    <row r="84" spans="1:17" x14ac:dyDescent="0.3">
      <c r="A84" s="68"/>
      <c r="B84" s="68"/>
      <c r="C84" s="62"/>
      <c r="E84" s="7"/>
      <c r="F84" s="68">
        <v>74</v>
      </c>
      <c r="G84" s="68">
        <f t="shared" si="7"/>
        <v>4</v>
      </c>
      <c r="H84" s="155">
        <f t="shared" si="8"/>
        <v>29.1</v>
      </c>
      <c r="I84" s="62"/>
      <c r="J84" s="112"/>
      <c r="K84" s="112"/>
      <c r="L84" s="90">
        <f t="shared" si="9"/>
        <v>30.24</v>
      </c>
      <c r="O84" s="63"/>
    </row>
    <row r="85" spans="1:17" x14ac:dyDescent="0.3">
      <c r="A85" s="68"/>
      <c r="B85" s="68"/>
      <c r="C85" s="62"/>
      <c r="E85" s="7"/>
      <c r="F85" s="68">
        <v>75</v>
      </c>
      <c r="G85" s="68">
        <f t="shared" si="7"/>
        <v>4</v>
      </c>
      <c r="H85" s="155">
        <f t="shared" si="8"/>
        <v>29.28</v>
      </c>
      <c r="I85" s="62"/>
      <c r="J85" s="112"/>
      <c r="K85" s="112"/>
      <c r="L85" s="90">
        <f t="shared" si="9"/>
        <v>30.42</v>
      </c>
      <c r="O85" s="61"/>
    </row>
    <row r="86" spans="1:17" x14ac:dyDescent="0.3">
      <c r="A86" s="68"/>
      <c r="B86" s="68"/>
      <c r="C86" s="62"/>
      <c r="E86" s="7"/>
      <c r="F86" s="68">
        <v>76</v>
      </c>
      <c r="G86" s="68">
        <f t="shared" si="7"/>
        <v>4</v>
      </c>
      <c r="H86" s="155">
        <f t="shared" si="8"/>
        <v>29.46</v>
      </c>
      <c r="I86" s="62"/>
      <c r="J86" s="112"/>
      <c r="K86" s="112"/>
      <c r="L86" s="90">
        <f t="shared" si="9"/>
        <v>30.66</v>
      </c>
      <c r="N86" s="68"/>
      <c r="O86" s="98"/>
      <c r="P86" s="61"/>
      <c r="Q86" s="62"/>
    </row>
    <row r="87" spans="1:17" x14ac:dyDescent="0.3">
      <c r="A87" s="68"/>
      <c r="B87" s="68"/>
      <c r="C87" s="62"/>
      <c r="E87" s="7"/>
      <c r="F87" s="68">
        <v>77</v>
      </c>
      <c r="G87" s="68">
        <f t="shared" si="7"/>
        <v>4</v>
      </c>
      <c r="H87" s="155">
        <f t="shared" si="8"/>
        <v>29.64</v>
      </c>
      <c r="I87" s="62"/>
      <c r="J87" s="112"/>
      <c r="K87" s="112"/>
      <c r="L87" s="90">
        <f t="shared" si="9"/>
        <v>30.9</v>
      </c>
      <c r="O87" s="98"/>
    </row>
    <row r="88" spans="1:17" x14ac:dyDescent="0.3">
      <c r="A88" s="68"/>
      <c r="B88" s="68"/>
      <c r="C88" s="62"/>
      <c r="E88" s="7"/>
      <c r="F88" s="68">
        <v>78</v>
      </c>
      <c r="G88" s="68">
        <f t="shared" si="7"/>
        <v>4</v>
      </c>
      <c r="H88" s="156">
        <f t="shared" si="8"/>
        <v>29.82</v>
      </c>
      <c r="I88" s="62"/>
      <c r="J88" s="112"/>
      <c r="K88" s="112"/>
      <c r="L88" s="90">
        <f t="shared" si="9"/>
        <v>31.14</v>
      </c>
      <c r="N88" s="68"/>
      <c r="O88" s="98"/>
      <c r="P88" s="61"/>
      <c r="Q88" s="62"/>
    </row>
    <row r="89" spans="1:17" x14ac:dyDescent="0.3">
      <c r="A89" s="68"/>
      <c r="B89" s="68"/>
      <c r="C89" s="62"/>
      <c r="E89" s="7"/>
      <c r="F89" s="68">
        <v>79</v>
      </c>
      <c r="G89" s="68">
        <f t="shared" ref="G89:G110" si="10">IF(F89&lt;=$W$7,2,IF(F89&lt;=$W$8,3,IF(F89&lt;=$W$9,4,IF(F89&lt;=$W$10,5,"ERROR"))))</f>
        <v>5</v>
      </c>
      <c r="H89" s="154">
        <f t="shared" ref="H89:H110" si="11">IF($G89=2,$L89,ROUND(ROUND(((F89-VLOOKUP(G89,thresholds,4,FALSE))/(VLOOKUP(G89,thresholds,5,FALSE)-VLOOKUP(G89,thresholds,4,FALSE)+1)+G89),2)*6,2))</f>
        <v>30</v>
      </c>
      <c r="I89" s="62"/>
      <c r="J89" s="112"/>
      <c r="K89" s="112"/>
      <c r="L89" s="90">
        <f t="shared" ref="L89:L110" si="12">ROUND(ROUND(3-((VLOOKUP(3,thresholds,4,FALSE)-F89)/(VLOOKUP(3,thresholds,5,FALSE)-VLOOKUP(3,thresholds,4,FALSE)+1)),2)*6,2)</f>
        <v>31.32</v>
      </c>
      <c r="O89" s="98"/>
    </row>
    <row r="90" spans="1:17" x14ac:dyDescent="0.3">
      <c r="A90" s="68"/>
      <c r="B90" s="68"/>
      <c r="C90" s="62"/>
      <c r="E90" s="7"/>
      <c r="F90" s="68">
        <v>80</v>
      </c>
      <c r="G90" s="68">
        <f t="shared" si="10"/>
        <v>5</v>
      </c>
      <c r="H90" s="155">
        <f t="shared" si="11"/>
        <v>30.3</v>
      </c>
      <c r="I90" s="62"/>
      <c r="J90" s="112"/>
      <c r="K90" s="112"/>
      <c r="L90" s="90">
        <f t="shared" si="12"/>
        <v>31.56</v>
      </c>
      <c r="O90" s="63"/>
    </row>
    <row r="91" spans="1:17" x14ac:dyDescent="0.3">
      <c r="A91" s="68"/>
      <c r="B91" s="68"/>
      <c r="C91" s="62"/>
      <c r="E91" s="7"/>
      <c r="F91" s="68">
        <v>81</v>
      </c>
      <c r="G91" s="68">
        <f t="shared" si="10"/>
        <v>5</v>
      </c>
      <c r="H91" s="155">
        <f t="shared" si="11"/>
        <v>30.54</v>
      </c>
      <c r="I91" s="62"/>
      <c r="J91" s="112"/>
      <c r="K91" s="112"/>
      <c r="L91" s="90">
        <f t="shared" si="12"/>
        <v>31.8</v>
      </c>
    </row>
    <row r="92" spans="1:17" x14ac:dyDescent="0.3">
      <c r="A92" s="68"/>
      <c r="B92" s="68"/>
      <c r="C92" s="62"/>
      <c r="E92" s="7"/>
      <c r="F92" s="68">
        <v>82</v>
      </c>
      <c r="G92" s="68">
        <f t="shared" si="10"/>
        <v>5</v>
      </c>
      <c r="H92" s="155">
        <f t="shared" si="11"/>
        <v>30.84</v>
      </c>
      <c r="I92" s="62"/>
      <c r="J92" s="112"/>
      <c r="K92" s="112"/>
      <c r="L92" s="90">
        <f t="shared" si="12"/>
        <v>31.98</v>
      </c>
    </row>
    <row r="93" spans="1:17" x14ac:dyDescent="0.3">
      <c r="A93" s="68"/>
      <c r="B93" s="68"/>
      <c r="C93" s="62"/>
      <c r="E93" s="7"/>
      <c r="F93" s="68">
        <v>83</v>
      </c>
      <c r="G93" s="68">
        <f t="shared" si="10"/>
        <v>5</v>
      </c>
      <c r="H93" s="155">
        <f t="shared" si="11"/>
        <v>31.08</v>
      </c>
      <c r="I93" s="62"/>
      <c r="J93" s="112"/>
      <c r="K93" s="112"/>
      <c r="L93" s="90">
        <f t="shared" si="12"/>
        <v>32.22</v>
      </c>
    </row>
    <row r="94" spans="1:17" x14ac:dyDescent="0.3">
      <c r="A94" s="68"/>
      <c r="B94" s="68"/>
      <c r="C94" s="62"/>
      <c r="E94" s="7"/>
      <c r="F94" s="68">
        <v>84</v>
      </c>
      <c r="G94" s="68">
        <f t="shared" si="10"/>
        <v>5</v>
      </c>
      <c r="H94" s="155">
        <f t="shared" si="11"/>
        <v>31.38</v>
      </c>
      <c r="I94" s="62"/>
      <c r="J94" s="112"/>
      <c r="K94" s="112"/>
      <c r="L94" s="90">
        <f t="shared" si="12"/>
        <v>32.46</v>
      </c>
      <c r="N94" s="68"/>
      <c r="O94" s="62"/>
      <c r="P94" s="61"/>
      <c r="Q94" s="62"/>
    </row>
    <row r="95" spans="1:17" x14ac:dyDescent="0.3">
      <c r="A95" s="68"/>
      <c r="B95" s="68"/>
      <c r="C95" s="62"/>
      <c r="E95" s="7"/>
      <c r="F95" s="68">
        <v>85</v>
      </c>
      <c r="G95" s="68">
        <f t="shared" si="10"/>
        <v>5</v>
      </c>
      <c r="H95" s="155">
        <f t="shared" si="11"/>
        <v>31.62</v>
      </c>
      <c r="I95" s="62"/>
      <c r="J95" s="112"/>
      <c r="K95" s="112"/>
      <c r="L95" s="90">
        <f t="shared" si="12"/>
        <v>32.64</v>
      </c>
    </row>
    <row r="96" spans="1:17" x14ac:dyDescent="0.3">
      <c r="A96" s="68"/>
      <c r="B96" s="68"/>
      <c r="C96" s="62"/>
      <c r="E96" s="7"/>
      <c r="F96" s="68">
        <v>86</v>
      </c>
      <c r="G96" s="68">
        <f t="shared" si="10"/>
        <v>5</v>
      </c>
      <c r="H96" s="155">
        <f t="shared" si="11"/>
        <v>31.92</v>
      </c>
      <c r="I96" s="62"/>
      <c r="J96" s="112"/>
      <c r="K96" s="112"/>
      <c r="L96" s="90">
        <f t="shared" si="12"/>
        <v>32.880000000000003</v>
      </c>
      <c r="N96" s="68"/>
      <c r="O96" s="63"/>
      <c r="P96" s="61"/>
      <c r="Q96" s="62"/>
    </row>
    <row r="97" spans="1:16" x14ac:dyDescent="0.3">
      <c r="A97" s="68"/>
      <c r="B97" s="68"/>
      <c r="C97" s="62"/>
      <c r="E97" s="7"/>
      <c r="F97" s="68">
        <v>87</v>
      </c>
      <c r="G97" s="68">
        <f t="shared" si="10"/>
        <v>5</v>
      </c>
      <c r="H97" s="155">
        <f t="shared" si="11"/>
        <v>32.159999999999997</v>
      </c>
      <c r="I97" s="62"/>
      <c r="J97" s="112"/>
      <c r="K97" s="112"/>
      <c r="L97" s="90">
        <f t="shared" si="12"/>
        <v>33.119999999999997</v>
      </c>
      <c r="N97" s="107"/>
      <c r="O97" s="102"/>
      <c r="P97" s="102"/>
    </row>
    <row r="98" spans="1:16" ht="12.75" x14ac:dyDescent="0.35">
      <c r="A98" s="68"/>
      <c r="B98" s="68"/>
      <c r="C98" s="62"/>
      <c r="E98" s="7"/>
      <c r="F98" s="68">
        <v>88</v>
      </c>
      <c r="G98" s="68">
        <f t="shared" si="10"/>
        <v>5</v>
      </c>
      <c r="H98" s="155">
        <f t="shared" si="11"/>
        <v>32.46</v>
      </c>
      <c r="I98" s="62"/>
      <c r="J98" s="112"/>
      <c r="K98" s="112"/>
      <c r="L98" s="90">
        <f t="shared" si="12"/>
        <v>33.36</v>
      </c>
      <c r="N98" s="109"/>
      <c r="O98" s="109"/>
      <c r="P98" s="84"/>
    </row>
    <row r="99" spans="1:16" x14ac:dyDescent="0.3">
      <c r="A99" s="68"/>
      <c r="B99" s="68"/>
      <c r="C99" s="62"/>
      <c r="E99" s="7"/>
      <c r="F99" s="68">
        <v>89</v>
      </c>
      <c r="G99" s="68">
        <f t="shared" si="10"/>
        <v>5</v>
      </c>
      <c r="H99" s="155">
        <f t="shared" si="11"/>
        <v>32.700000000000003</v>
      </c>
      <c r="I99" s="62"/>
      <c r="J99" s="112"/>
      <c r="K99" s="112"/>
      <c r="L99" s="90">
        <f t="shared" si="12"/>
        <v>33.54</v>
      </c>
      <c r="N99" s="108"/>
      <c r="O99" s="108"/>
      <c r="P99" s="108"/>
    </row>
    <row r="100" spans="1:16" x14ac:dyDescent="0.3">
      <c r="A100" s="68"/>
      <c r="B100" s="68"/>
      <c r="C100" s="62"/>
      <c r="E100" s="7"/>
      <c r="F100" s="68">
        <v>90</v>
      </c>
      <c r="G100" s="68">
        <f t="shared" si="10"/>
        <v>5</v>
      </c>
      <c r="H100" s="155">
        <f t="shared" si="11"/>
        <v>33</v>
      </c>
      <c r="I100" s="62"/>
      <c r="J100" s="112"/>
      <c r="K100" s="112"/>
      <c r="L100" s="90">
        <f t="shared" si="12"/>
        <v>33.78</v>
      </c>
      <c r="N100" s="106"/>
      <c r="O100" s="106"/>
      <c r="P100" s="106"/>
    </row>
    <row r="101" spans="1:16" x14ac:dyDescent="0.3">
      <c r="A101" s="68"/>
      <c r="B101" s="68"/>
      <c r="C101" s="62"/>
      <c r="E101" s="7"/>
      <c r="F101" s="68">
        <v>91</v>
      </c>
      <c r="G101" s="68">
        <f t="shared" si="10"/>
        <v>5</v>
      </c>
      <c r="H101" s="155">
        <f t="shared" si="11"/>
        <v>33.299999999999997</v>
      </c>
      <c r="I101" s="62"/>
      <c r="J101" s="112"/>
      <c r="K101" s="112"/>
      <c r="L101" s="90">
        <f t="shared" si="12"/>
        <v>34.020000000000003</v>
      </c>
      <c r="N101" s="106"/>
      <c r="O101" s="106"/>
      <c r="P101" s="106"/>
    </row>
    <row r="102" spans="1:16" x14ac:dyDescent="0.3">
      <c r="A102" s="68"/>
      <c r="B102" s="68"/>
      <c r="C102" s="62"/>
      <c r="E102" s="7"/>
      <c r="F102" s="68">
        <v>92</v>
      </c>
      <c r="G102" s="68">
        <f t="shared" si="10"/>
        <v>5</v>
      </c>
      <c r="H102" s="155">
        <f t="shared" si="11"/>
        <v>33.54</v>
      </c>
      <c r="I102" s="62"/>
      <c r="J102" s="112"/>
      <c r="K102" s="112"/>
      <c r="L102" s="90">
        <f t="shared" si="12"/>
        <v>34.200000000000003</v>
      </c>
      <c r="N102" s="106"/>
      <c r="O102" s="106"/>
      <c r="P102" s="106"/>
    </row>
    <row r="103" spans="1:16" x14ac:dyDescent="0.3">
      <c r="A103" s="68"/>
      <c r="B103" s="68"/>
      <c r="C103" s="62"/>
      <c r="E103" s="7"/>
      <c r="F103" s="68">
        <v>93</v>
      </c>
      <c r="G103" s="68">
        <f t="shared" si="10"/>
        <v>5</v>
      </c>
      <c r="H103" s="155">
        <f t="shared" si="11"/>
        <v>33.840000000000003</v>
      </c>
      <c r="I103" s="62"/>
      <c r="J103" s="112"/>
      <c r="K103" s="112"/>
      <c r="L103" s="90">
        <f t="shared" si="12"/>
        <v>34.44</v>
      </c>
      <c r="N103" s="106"/>
      <c r="O103" s="106"/>
      <c r="P103" s="106"/>
    </row>
    <row r="104" spans="1:16" x14ac:dyDescent="0.3">
      <c r="A104" s="68"/>
      <c r="B104" s="68"/>
      <c r="C104" s="62"/>
      <c r="E104" s="7"/>
      <c r="F104" s="68">
        <v>94</v>
      </c>
      <c r="G104" s="68">
        <f t="shared" si="10"/>
        <v>5</v>
      </c>
      <c r="H104" s="155">
        <f t="shared" si="11"/>
        <v>34.08</v>
      </c>
      <c r="I104" s="62"/>
      <c r="J104" s="112"/>
      <c r="K104" s="112"/>
      <c r="L104" s="90">
        <f t="shared" si="12"/>
        <v>34.68</v>
      </c>
      <c r="N104" s="106"/>
      <c r="O104" s="106"/>
      <c r="P104" s="106"/>
    </row>
    <row r="105" spans="1:16" x14ac:dyDescent="0.3">
      <c r="A105" s="68"/>
      <c r="B105" s="68"/>
      <c r="C105" s="62"/>
      <c r="E105" s="7"/>
      <c r="F105" s="68">
        <v>95</v>
      </c>
      <c r="G105" s="68">
        <f t="shared" si="10"/>
        <v>5</v>
      </c>
      <c r="H105" s="155">
        <f t="shared" si="11"/>
        <v>34.380000000000003</v>
      </c>
      <c r="I105" s="62"/>
      <c r="J105" s="112"/>
      <c r="K105" s="112"/>
      <c r="L105" s="90">
        <f t="shared" si="12"/>
        <v>34.86</v>
      </c>
      <c r="N105" s="107"/>
      <c r="O105" s="102"/>
      <c r="P105" s="102"/>
    </row>
    <row r="106" spans="1:16" x14ac:dyDescent="0.3">
      <c r="A106" s="68"/>
      <c r="B106" s="68"/>
      <c r="C106" s="62"/>
      <c r="E106" s="7"/>
      <c r="F106" s="68">
        <v>96</v>
      </c>
      <c r="G106" s="68">
        <f t="shared" si="10"/>
        <v>5</v>
      </c>
      <c r="H106" s="155">
        <f t="shared" si="11"/>
        <v>34.619999999999997</v>
      </c>
      <c r="I106" s="62"/>
      <c r="J106" s="112"/>
      <c r="K106" s="112"/>
      <c r="L106" s="90">
        <f t="shared" si="12"/>
        <v>35.1</v>
      </c>
    </row>
    <row r="107" spans="1:16" x14ac:dyDescent="0.3">
      <c r="A107" s="68"/>
      <c r="B107" s="68"/>
      <c r="C107" s="62"/>
      <c r="E107" s="7"/>
      <c r="F107" s="68">
        <v>97</v>
      </c>
      <c r="G107" s="68">
        <f t="shared" si="10"/>
        <v>5</v>
      </c>
      <c r="H107" s="155">
        <f t="shared" si="11"/>
        <v>34.92</v>
      </c>
      <c r="I107" s="62"/>
      <c r="J107" s="112"/>
      <c r="K107" s="112"/>
      <c r="L107" s="90">
        <f t="shared" si="12"/>
        <v>35.340000000000003</v>
      </c>
    </row>
    <row r="108" spans="1:16" x14ac:dyDescent="0.3">
      <c r="A108" s="68"/>
      <c r="B108" s="68"/>
      <c r="C108" s="62"/>
      <c r="E108" s="7"/>
      <c r="F108" s="68">
        <v>98</v>
      </c>
      <c r="G108" s="68">
        <f t="shared" si="10"/>
        <v>5</v>
      </c>
      <c r="H108" s="155">
        <f t="shared" si="11"/>
        <v>35.159999999999997</v>
      </c>
      <c r="I108" s="62"/>
      <c r="J108" s="112"/>
      <c r="K108" s="112"/>
      <c r="L108" s="90">
        <f t="shared" si="12"/>
        <v>35.58</v>
      </c>
    </row>
    <row r="109" spans="1:16" x14ac:dyDescent="0.3">
      <c r="A109" s="68"/>
      <c r="B109" s="68"/>
      <c r="C109" s="62"/>
      <c r="E109" s="7"/>
      <c r="F109" s="68">
        <v>99</v>
      </c>
      <c r="G109" s="68">
        <f t="shared" si="10"/>
        <v>5</v>
      </c>
      <c r="H109" s="155">
        <f t="shared" si="11"/>
        <v>35.46</v>
      </c>
      <c r="I109" s="62"/>
      <c r="J109" s="112"/>
      <c r="K109" s="112"/>
      <c r="L109" s="90">
        <f t="shared" si="12"/>
        <v>35.76</v>
      </c>
    </row>
    <row r="110" spans="1:16" x14ac:dyDescent="0.3">
      <c r="A110" s="68"/>
      <c r="B110" s="68"/>
      <c r="C110" s="62"/>
      <c r="E110" s="7"/>
      <c r="F110" s="68">
        <v>100</v>
      </c>
      <c r="G110" s="68">
        <f t="shared" si="10"/>
        <v>5</v>
      </c>
      <c r="H110" s="156">
        <f t="shared" si="11"/>
        <v>35.700000000000003</v>
      </c>
      <c r="I110" s="62"/>
      <c r="J110" s="112"/>
      <c r="K110" s="112"/>
      <c r="L110" s="90">
        <f t="shared" si="12"/>
        <v>36</v>
      </c>
    </row>
    <row r="111" spans="1:16" x14ac:dyDescent="0.3">
      <c r="B111" s="68"/>
      <c r="C111" s="62"/>
      <c r="E111" s="7"/>
      <c r="I111" s="62"/>
      <c r="J111" s="112"/>
      <c r="K111" s="112"/>
      <c r="L111" s="90"/>
    </row>
    <row r="112" spans="1:16" x14ac:dyDescent="0.3">
      <c r="G112" s="8"/>
      <c r="H112" s="6"/>
      <c r="I112" s="6"/>
      <c r="K112" s="112"/>
      <c r="L112" s="90"/>
    </row>
    <row r="113" spans="6:17" ht="12.75" customHeight="1" x14ac:dyDescent="0.3">
      <c r="G113" s="129"/>
      <c r="H113" s="6"/>
      <c r="I113" s="6"/>
    </row>
    <row r="114" spans="6:17" x14ac:dyDescent="0.3">
      <c r="F114" s="6"/>
      <c r="G114" s="6"/>
      <c r="H114" s="5"/>
      <c r="I114" s="111"/>
      <c r="K114" s="5"/>
      <c r="L114" s="63"/>
      <c r="N114" s="5"/>
      <c r="O114" s="65"/>
      <c r="Q114" s="5"/>
    </row>
    <row r="115" spans="6:17" x14ac:dyDescent="0.3">
      <c r="F115" s="6"/>
      <c r="G115" s="6"/>
      <c r="H115" s="5"/>
      <c r="I115" s="111"/>
      <c r="K115" s="5"/>
      <c r="L115" s="63"/>
      <c r="N115" s="5"/>
      <c r="O115" s="65"/>
      <c r="Q115" s="5"/>
    </row>
    <row r="116" spans="6:17" x14ac:dyDescent="0.3">
      <c r="F116" s="6"/>
      <c r="G116" s="6"/>
      <c r="H116" s="5"/>
      <c r="I116" s="111"/>
      <c r="K116" s="5"/>
      <c r="L116" s="63"/>
      <c r="N116" s="5"/>
      <c r="O116" s="65"/>
      <c r="Q116" s="5"/>
    </row>
    <row r="117" spans="6:17" x14ac:dyDescent="0.3">
      <c r="F117" s="6"/>
      <c r="G117" s="6"/>
      <c r="H117" s="5"/>
      <c r="I117" s="111"/>
      <c r="K117" s="5"/>
      <c r="L117" s="63"/>
      <c r="N117" s="5"/>
      <c r="O117" s="65"/>
      <c r="Q117" s="5"/>
    </row>
    <row r="118" spans="6:17" x14ac:dyDescent="0.3">
      <c r="F118" s="6"/>
      <c r="G118" s="6"/>
      <c r="H118" s="5"/>
      <c r="I118" s="111"/>
      <c r="K118" s="5"/>
      <c r="L118" s="63"/>
      <c r="N118" s="5"/>
      <c r="O118" s="65"/>
      <c r="Q118" s="5"/>
    </row>
    <row r="119" spans="6:17" x14ac:dyDescent="0.3">
      <c r="F119" s="6"/>
      <c r="G119" s="6"/>
      <c r="H119" s="5"/>
      <c r="I119" s="111"/>
      <c r="K119" s="5"/>
      <c r="L119" s="63"/>
      <c r="N119" s="5"/>
      <c r="O119" s="65"/>
      <c r="Q119" s="5"/>
    </row>
    <row r="120" spans="6:17" x14ac:dyDescent="0.3">
      <c r="F120" s="6"/>
      <c r="G120" s="6"/>
      <c r="H120" s="5"/>
      <c r="I120" s="111"/>
      <c r="K120" s="5"/>
      <c r="L120" s="63"/>
      <c r="N120" s="5"/>
      <c r="O120" s="65"/>
      <c r="Q120" s="5"/>
    </row>
    <row r="121" spans="6:17" x14ac:dyDescent="0.3">
      <c r="G121" s="8"/>
      <c r="H121" s="6"/>
      <c r="I121" s="6"/>
    </row>
    <row r="122" spans="6:17" x14ac:dyDescent="0.3">
      <c r="G122" s="8"/>
      <c r="H122" s="6"/>
      <c r="I122" s="6"/>
    </row>
    <row r="123" spans="6:17" x14ac:dyDescent="0.3">
      <c r="G123" s="8"/>
      <c r="H123" s="6"/>
      <c r="I123" s="6"/>
    </row>
    <row r="124" spans="6:17" x14ac:dyDescent="0.3">
      <c r="G124" s="8"/>
      <c r="H124" s="6"/>
      <c r="I124" s="6"/>
    </row>
    <row r="125" spans="6:17" x14ac:dyDescent="0.3">
      <c r="G125" s="8"/>
      <c r="H125" s="6"/>
      <c r="I125" s="6"/>
    </row>
    <row r="126" spans="6:17" x14ac:dyDescent="0.3">
      <c r="G126" s="8"/>
      <c r="H126" s="6"/>
      <c r="I126" s="6"/>
    </row>
    <row r="127" spans="6:17" x14ac:dyDescent="0.3">
      <c r="G127" s="8"/>
      <c r="H127" s="6"/>
      <c r="I127" s="6"/>
    </row>
    <row r="128" spans="6:17" x14ac:dyDescent="0.3">
      <c r="F128" s="8"/>
      <c r="G128" s="8"/>
      <c r="H128" s="6"/>
      <c r="I128" s="6"/>
    </row>
    <row r="129" spans="1:17" x14ac:dyDescent="0.3">
      <c r="F129" s="8"/>
      <c r="G129" s="8"/>
      <c r="H129" s="6"/>
      <c r="I129" s="6"/>
    </row>
    <row r="130" spans="1:17" x14ac:dyDescent="0.3">
      <c r="F130" s="8"/>
      <c r="G130" s="8"/>
      <c r="H130" s="6"/>
      <c r="I130" s="6"/>
      <c r="N130" s="68"/>
      <c r="O130" s="98"/>
      <c r="Q130" s="62"/>
    </row>
    <row r="131" spans="1:17" x14ac:dyDescent="0.3">
      <c r="F131" s="8"/>
      <c r="G131" s="8"/>
      <c r="H131" s="6"/>
      <c r="I131" s="6"/>
      <c r="N131" s="68"/>
      <c r="O131" s="98"/>
      <c r="Q131" s="62"/>
    </row>
    <row r="132" spans="1:17" x14ac:dyDescent="0.3">
      <c r="A132" s="8"/>
      <c r="F132" s="8"/>
      <c r="G132" s="8"/>
      <c r="H132" s="6"/>
      <c r="I132" s="6"/>
      <c r="N132" s="68"/>
      <c r="O132" s="98"/>
      <c r="Q132" s="62"/>
    </row>
    <row r="133" spans="1:17" x14ac:dyDescent="0.3">
      <c r="A133" s="8"/>
      <c r="B133" s="166"/>
      <c r="C133" s="167"/>
      <c r="D133" s="166"/>
      <c r="E133" s="166"/>
      <c r="F133" s="8"/>
      <c r="G133" s="8"/>
      <c r="H133" s="6"/>
      <c r="I133" s="6"/>
      <c r="N133" s="68"/>
      <c r="O133" s="98"/>
      <c r="Q133" s="62"/>
    </row>
    <row r="134" spans="1:17" x14ac:dyDescent="0.3">
      <c r="A134" s="8"/>
      <c r="B134" s="166"/>
      <c r="C134" s="167"/>
      <c r="D134" s="166"/>
      <c r="E134" s="166"/>
      <c r="F134" s="8"/>
      <c r="G134" s="8"/>
      <c r="H134" s="6"/>
      <c r="I134" s="6"/>
      <c r="N134" s="99"/>
      <c r="O134" s="8"/>
      <c r="Q134" s="62"/>
    </row>
    <row r="135" spans="1:17" ht="12.75" x14ac:dyDescent="0.35">
      <c r="A135" s="8"/>
      <c r="B135" s="166"/>
      <c r="C135" s="167"/>
      <c r="D135" s="164"/>
      <c r="E135" s="164"/>
      <c r="F135" s="8"/>
      <c r="G135" s="8"/>
      <c r="H135" s="6"/>
      <c r="I135" s="6"/>
      <c r="N135" s="99"/>
      <c r="O135" s="8"/>
      <c r="Q135" s="62"/>
    </row>
    <row r="136" spans="1:17" ht="13.9" x14ac:dyDescent="0.4">
      <c r="A136" s="8"/>
      <c r="B136" s="168" t="s">
        <v>65</v>
      </c>
      <c r="C136" s="164"/>
      <c r="D136" s="164"/>
      <c r="E136" s="164"/>
      <c r="F136" s="8"/>
      <c r="G136" s="8"/>
      <c r="H136" s="6"/>
      <c r="I136" s="6"/>
      <c r="N136" s="99"/>
      <c r="O136" s="8"/>
      <c r="Q136" s="62"/>
    </row>
    <row r="137" spans="1:17" ht="13.5" x14ac:dyDescent="0.35">
      <c r="A137" s="173"/>
      <c r="B137" s="174"/>
      <c r="C137" s="175"/>
      <c r="D137" s="176"/>
      <c r="E137" s="176"/>
      <c r="F137" s="8"/>
      <c r="G137" s="8"/>
      <c r="H137" s="6"/>
      <c r="I137" s="6"/>
      <c r="N137" s="99"/>
      <c r="O137" s="8"/>
      <c r="Q137" s="62"/>
    </row>
    <row r="138" spans="1:17" ht="13.9" x14ac:dyDescent="0.3">
      <c r="A138" s="173"/>
      <c r="B138" s="170" t="s">
        <v>53</v>
      </c>
      <c r="C138" s="170" t="s">
        <v>11</v>
      </c>
      <c r="D138" s="170" t="s">
        <v>54</v>
      </c>
      <c r="E138" s="170"/>
      <c r="F138" s="8"/>
      <c r="G138" s="8"/>
      <c r="H138" s="6"/>
      <c r="I138" s="6"/>
      <c r="N138" s="99"/>
      <c r="O138" s="8"/>
      <c r="Q138" s="62"/>
    </row>
    <row r="139" spans="1:17" ht="13.5" x14ac:dyDescent="0.3">
      <c r="A139" s="173"/>
      <c r="B139" s="171" t="s">
        <v>2</v>
      </c>
      <c r="C139" s="171" t="s">
        <v>55</v>
      </c>
      <c r="D139" s="171" t="s">
        <v>60</v>
      </c>
      <c r="E139" s="171"/>
      <c r="F139" s="8"/>
      <c r="G139" s="8"/>
      <c r="H139" s="6"/>
      <c r="I139" s="6"/>
      <c r="N139" s="99"/>
      <c r="O139" s="8"/>
      <c r="Q139" s="62"/>
    </row>
    <row r="140" spans="1:17" ht="13.5" x14ac:dyDescent="0.3">
      <c r="A140" s="173"/>
      <c r="B140" s="171">
        <v>2</v>
      </c>
      <c r="C140" s="171" t="s">
        <v>56</v>
      </c>
      <c r="D140" s="171" t="s">
        <v>61</v>
      </c>
      <c r="E140" s="171"/>
      <c r="F140" s="8"/>
      <c r="G140" s="8"/>
      <c r="H140" s="6"/>
      <c r="I140" s="6"/>
      <c r="N140" s="99"/>
      <c r="O140" s="8"/>
      <c r="Q140" s="62"/>
    </row>
    <row r="141" spans="1:17" ht="13.5" x14ac:dyDescent="0.3">
      <c r="A141" s="173"/>
      <c r="B141" s="171">
        <v>3</v>
      </c>
      <c r="C141" s="171" t="s">
        <v>57</v>
      </c>
      <c r="D141" s="171" t="s">
        <v>62</v>
      </c>
      <c r="E141" s="171"/>
      <c r="F141" s="8"/>
      <c r="G141" s="8"/>
      <c r="H141" s="6"/>
      <c r="I141" s="6"/>
      <c r="N141" s="99"/>
      <c r="O141" s="8"/>
      <c r="Q141" s="62"/>
    </row>
    <row r="142" spans="1:17" ht="13.5" x14ac:dyDescent="0.3">
      <c r="A142" s="173"/>
      <c r="B142" s="171">
        <v>4</v>
      </c>
      <c r="C142" s="171" t="s">
        <v>58</v>
      </c>
      <c r="D142" s="171" t="s">
        <v>63</v>
      </c>
      <c r="E142" s="171"/>
      <c r="F142" s="8"/>
      <c r="G142" s="8"/>
      <c r="H142" s="6"/>
      <c r="I142" s="6"/>
      <c r="N142" s="99"/>
      <c r="O142" s="8"/>
      <c r="Q142" s="62"/>
    </row>
    <row r="143" spans="1:17" ht="13.5" x14ac:dyDescent="0.3">
      <c r="A143" s="173"/>
      <c r="B143" s="171">
        <v>5</v>
      </c>
      <c r="C143" s="171" t="s">
        <v>59</v>
      </c>
      <c r="D143" s="171" t="s">
        <v>64</v>
      </c>
      <c r="E143" s="171"/>
      <c r="F143" s="8"/>
      <c r="G143" s="8"/>
      <c r="H143" s="6"/>
      <c r="I143" s="6"/>
      <c r="N143" s="99"/>
      <c r="O143" s="8"/>
      <c r="Q143" s="62"/>
    </row>
    <row r="144" spans="1:17" x14ac:dyDescent="0.3">
      <c r="A144" s="111"/>
      <c r="B144" s="177"/>
      <c r="C144" s="178"/>
      <c r="D144" s="177"/>
      <c r="E144" s="177"/>
      <c r="F144" s="8"/>
      <c r="G144" s="8"/>
      <c r="H144" s="6"/>
      <c r="I144" s="6"/>
      <c r="N144" s="99"/>
      <c r="O144" s="8"/>
      <c r="Q144" s="62"/>
    </row>
    <row r="145" spans="1:17" x14ac:dyDescent="0.3">
      <c r="B145" s="169"/>
      <c r="C145" s="172"/>
      <c r="D145" s="169"/>
      <c r="E145" s="169"/>
      <c r="G145" s="8"/>
      <c r="H145" s="6"/>
      <c r="I145" s="6"/>
      <c r="N145" s="99"/>
      <c r="O145" s="8"/>
      <c r="Q145" s="62"/>
    </row>
    <row r="146" spans="1:17" x14ac:dyDescent="0.3">
      <c r="B146" s="169"/>
      <c r="C146" s="172"/>
      <c r="D146" s="169"/>
      <c r="E146" s="169"/>
      <c r="G146" s="8"/>
      <c r="H146" s="6"/>
      <c r="I146" s="6"/>
      <c r="N146" s="99"/>
      <c r="O146" s="8"/>
      <c r="Q146" s="62"/>
    </row>
    <row r="147" spans="1:17" x14ac:dyDescent="0.3">
      <c r="G147" s="8"/>
      <c r="H147" s="6"/>
      <c r="I147" s="6"/>
      <c r="N147" s="99"/>
      <c r="O147" s="8"/>
      <c r="Q147" s="62"/>
    </row>
    <row r="148" spans="1:17" x14ac:dyDescent="0.3">
      <c r="G148" s="8"/>
      <c r="H148" s="6"/>
      <c r="I148" s="6"/>
      <c r="N148" s="99"/>
      <c r="O148" s="8"/>
      <c r="Q148" s="62"/>
    </row>
    <row r="149" spans="1:17" x14ac:dyDescent="0.3">
      <c r="G149" s="8"/>
      <c r="H149" s="6"/>
      <c r="I149" s="6"/>
      <c r="N149" s="99"/>
      <c r="O149" s="8"/>
      <c r="Q149" s="62"/>
    </row>
    <row r="150" spans="1:17" x14ac:dyDescent="0.3">
      <c r="G150" s="8"/>
      <c r="H150" s="6"/>
      <c r="I150" s="6"/>
      <c r="N150" s="99"/>
      <c r="O150" s="8"/>
      <c r="Q150" s="62"/>
    </row>
    <row r="151" spans="1:17" x14ac:dyDescent="0.3">
      <c r="G151" s="8"/>
      <c r="H151" s="6"/>
      <c r="I151" s="6"/>
      <c r="N151" s="99"/>
      <c r="O151" s="8"/>
      <c r="Q151" s="62"/>
    </row>
    <row r="152" spans="1:17" x14ac:dyDescent="0.3">
      <c r="G152" s="8"/>
      <c r="H152" s="6"/>
      <c r="I152" s="6"/>
      <c r="N152" s="99"/>
      <c r="O152" s="8"/>
      <c r="Q152" s="62"/>
    </row>
    <row r="153" spans="1:17" x14ac:dyDescent="0.3">
      <c r="G153" s="8"/>
      <c r="H153" s="6"/>
      <c r="I153" s="6"/>
      <c r="N153" s="99"/>
      <c r="O153" s="8"/>
      <c r="Q153" s="62"/>
    </row>
    <row r="154" spans="1:17" x14ac:dyDescent="0.3">
      <c r="G154" s="8"/>
      <c r="H154" s="6"/>
      <c r="I154" s="6"/>
      <c r="N154" s="99"/>
      <c r="O154" s="8"/>
      <c r="Q154" s="62"/>
    </row>
    <row r="155" spans="1:17" x14ac:dyDescent="0.3">
      <c r="A155" s="8"/>
      <c r="G155" s="8"/>
      <c r="H155" s="6"/>
      <c r="I155" s="6"/>
      <c r="N155" s="99"/>
      <c r="O155" s="8"/>
      <c r="Q155" s="62"/>
    </row>
    <row r="156" spans="1:17" x14ac:dyDescent="0.3">
      <c r="A156" s="8"/>
      <c r="B156" s="8"/>
      <c r="C156" s="6"/>
      <c r="D156" s="8"/>
      <c r="E156" s="8"/>
      <c r="F156" s="8"/>
      <c r="G156" s="8"/>
      <c r="H156" s="6"/>
      <c r="I156" s="6"/>
      <c r="N156" s="99"/>
      <c r="O156" s="8"/>
      <c r="Q156" s="62"/>
    </row>
    <row r="157" spans="1:17" x14ac:dyDescent="0.3">
      <c r="A157" s="8"/>
      <c r="B157" s="8"/>
      <c r="C157" s="6"/>
      <c r="D157" s="8"/>
      <c r="E157" s="8"/>
      <c r="F157" s="8"/>
      <c r="G157" s="8"/>
      <c r="H157" s="6"/>
      <c r="I157" s="6"/>
      <c r="N157" s="99"/>
      <c r="O157" s="8"/>
      <c r="Q157" s="62"/>
    </row>
    <row r="158" spans="1:17" x14ac:dyDescent="0.3">
      <c r="A158" s="8"/>
      <c r="B158" s="8"/>
      <c r="C158" s="6"/>
      <c r="D158" s="8"/>
      <c r="E158" s="8"/>
      <c r="F158" s="8"/>
      <c r="G158" s="8"/>
      <c r="H158" s="6"/>
      <c r="I158" s="6"/>
      <c r="N158" s="99"/>
      <c r="O158" s="8"/>
      <c r="Q158" s="62"/>
    </row>
    <row r="159" spans="1:17" x14ac:dyDescent="0.3">
      <c r="A159" s="8"/>
      <c r="B159" s="8"/>
      <c r="C159" s="6"/>
      <c r="D159" s="8"/>
      <c r="E159" s="8"/>
      <c r="F159" s="8"/>
      <c r="G159" s="8"/>
      <c r="H159" s="6"/>
      <c r="I159" s="6"/>
      <c r="N159" s="99"/>
      <c r="O159" s="8"/>
      <c r="Q159" s="62"/>
    </row>
    <row r="160" spans="1:17" x14ac:dyDescent="0.3">
      <c r="A160" s="8"/>
      <c r="B160" s="8"/>
      <c r="C160" s="6"/>
      <c r="D160" s="8"/>
      <c r="E160" s="8"/>
      <c r="F160" s="8"/>
      <c r="G160" s="8"/>
      <c r="H160" s="6"/>
      <c r="I160" s="6"/>
      <c r="N160" s="99"/>
      <c r="O160" s="8"/>
      <c r="Q160" s="62"/>
    </row>
    <row r="161" spans="1:17" x14ac:dyDescent="0.3">
      <c r="A161" s="8"/>
      <c r="B161" s="8"/>
      <c r="C161" s="6"/>
      <c r="D161" s="8"/>
      <c r="E161" s="8"/>
      <c r="F161" s="8"/>
      <c r="G161" s="8"/>
      <c r="H161" s="6"/>
      <c r="I161" s="6"/>
      <c r="N161" s="99"/>
      <c r="O161" s="8"/>
      <c r="Q161" s="62"/>
    </row>
    <row r="162" spans="1:17" x14ac:dyDescent="0.3">
      <c r="A162" s="8"/>
      <c r="B162" s="8"/>
      <c r="C162" s="6"/>
      <c r="D162" s="8"/>
      <c r="E162" s="8"/>
      <c r="F162" s="8"/>
      <c r="G162" s="8"/>
      <c r="H162" s="6"/>
      <c r="I162" s="6"/>
      <c r="N162" s="99"/>
      <c r="O162" s="8"/>
      <c r="Q162" s="62"/>
    </row>
    <row r="163" spans="1:17" x14ac:dyDescent="0.3">
      <c r="A163" s="8"/>
      <c r="B163" s="8"/>
      <c r="C163" s="6"/>
      <c r="D163" s="8"/>
      <c r="E163" s="8"/>
      <c r="F163" s="8"/>
      <c r="G163" s="8"/>
      <c r="H163" s="6"/>
      <c r="I163" s="6"/>
      <c r="N163" s="99"/>
      <c r="O163" s="8"/>
      <c r="Q163" s="62"/>
    </row>
    <row r="164" spans="1:17" x14ac:dyDescent="0.3">
      <c r="A164" s="8"/>
      <c r="B164" s="8"/>
      <c r="C164" s="6"/>
      <c r="D164" s="8"/>
      <c r="E164" s="8"/>
      <c r="F164" s="8"/>
      <c r="G164" s="8"/>
      <c r="H164" s="6"/>
      <c r="I164" s="6"/>
      <c r="N164" s="99"/>
      <c r="O164" s="8"/>
      <c r="Q164" s="62"/>
    </row>
    <row r="165" spans="1:17" x14ac:dyDescent="0.3">
      <c r="A165" s="8"/>
      <c r="B165" s="8"/>
      <c r="C165" s="6"/>
      <c r="D165" s="8"/>
      <c r="E165" s="8"/>
      <c r="F165" s="8"/>
      <c r="G165" s="8"/>
      <c r="H165" s="6"/>
      <c r="I165" s="6"/>
      <c r="N165" s="99"/>
      <c r="O165" s="8"/>
      <c r="Q165" s="62"/>
    </row>
    <row r="166" spans="1:17" x14ac:dyDescent="0.3">
      <c r="A166" s="8"/>
      <c r="B166" s="8"/>
      <c r="C166" s="6"/>
      <c r="D166" s="8"/>
      <c r="E166" s="8"/>
      <c r="F166" s="8"/>
      <c r="G166" s="8"/>
      <c r="H166" s="6"/>
      <c r="I166" s="6"/>
      <c r="N166" s="99"/>
      <c r="O166" s="8"/>
      <c r="Q166" s="62"/>
    </row>
    <row r="167" spans="1:17" x14ac:dyDescent="0.3">
      <c r="A167" s="8"/>
      <c r="B167" s="8"/>
      <c r="C167" s="6"/>
      <c r="D167" s="8"/>
      <c r="E167" s="8"/>
      <c r="F167" s="8"/>
      <c r="G167" s="8"/>
      <c r="H167" s="6"/>
      <c r="I167" s="6"/>
      <c r="N167" s="99"/>
      <c r="O167" s="8"/>
      <c r="Q167" s="62"/>
    </row>
    <row r="168" spans="1:17" x14ac:dyDescent="0.3">
      <c r="A168" s="8"/>
      <c r="B168" s="8"/>
      <c r="C168" s="6"/>
      <c r="D168" s="8"/>
      <c r="E168" s="8"/>
      <c r="F168" s="8"/>
      <c r="G168" s="8"/>
      <c r="H168" s="6"/>
      <c r="I168" s="6"/>
      <c r="N168" s="99"/>
      <c r="O168" s="8"/>
      <c r="Q168" s="62"/>
    </row>
    <row r="169" spans="1:17" x14ac:dyDescent="0.3">
      <c r="A169" s="8"/>
      <c r="B169" s="8"/>
      <c r="C169" s="6"/>
      <c r="D169" s="8"/>
      <c r="E169" s="8"/>
      <c r="F169" s="8"/>
      <c r="G169" s="8"/>
      <c r="H169" s="6"/>
      <c r="I169" s="6"/>
      <c r="N169" s="99"/>
      <c r="O169" s="8"/>
      <c r="Q169" s="62"/>
    </row>
    <row r="170" spans="1:17" x14ac:dyDescent="0.3">
      <c r="A170" s="8"/>
      <c r="B170" s="8"/>
      <c r="C170" s="6"/>
      <c r="D170" s="8"/>
      <c r="E170" s="8"/>
      <c r="F170" s="8"/>
      <c r="G170" s="8"/>
      <c r="H170" s="6"/>
      <c r="I170" s="6"/>
      <c r="N170" s="99"/>
      <c r="O170" s="8"/>
      <c r="Q170" s="62"/>
    </row>
    <row r="171" spans="1:17" x14ac:dyDescent="0.3">
      <c r="A171" s="8"/>
      <c r="B171" s="8"/>
      <c r="C171" s="6"/>
      <c r="D171" s="8"/>
      <c r="E171" s="8"/>
      <c r="F171" s="8"/>
      <c r="G171" s="8"/>
      <c r="H171" s="6"/>
      <c r="I171" s="6"/>
      <c r="N171" s="99"/>
      <c r="O171" s="8"/>
      <c r="Q171" s="62"/>
    </row>
    <row r="172" spans="1:17" x14ac:dyDescent="0.3">
      <c r="A172" s="8"/>
      <c r="B172" s="8"/>
      <c r="C172" s="6"/>
      <c r="D172" s="8"/>
      <c r="E172" s="8"/>
      <c r="F172" s="8"/>
      <c r="G172" s="8"/>
      <c r="H172" s="6"/>
      <c r="I172" s="6"/>
      <c r="N172" s="99"/>
      <c r="O172" s="8"/>
      <c r="Q172" s="62"/>
    </row>
    <row r="173" spans="1:17" x14ac:dyDescent="0.3">
      <c r="A173" s="8"/>
      <c r="B173" s="8"/>
      <c r="C173" s="6"/>
      <c r="D173" s="8"/>
      <c r="E173" s="8"/>
      <c r="F173" s="8"/>
      <c r="G173" s="8"/>
      <c r="H173" s="6"/>
      <c r="I173" s="6"/>
      <c r="N173" s="99"/>
      <c r="O173" s="8"/>
      <c r="Q173" s="62"/>
    </row>
    <row r="174" spans="1:17" x14ac:dyDescent="0.3">
      <c r="A174" s="8"/>
      <c r="B174" s="8"/>
      <c r="C174" s="6"/>
      <c r="D174" s="8"/>
      <c r="E174" s="8"/>
      <c r="F174" s="8"/>
      <c r="G174" s="8"/>
      <c r="H174" s="6"/>
      <c r="I174" s="6"/>
      <c r="N174" s="99"/>
      <c r="O174" s="8"/>
      <c r="Q174" s="62"/>
    </row>
    <row r="175" spans="1:17" x14ac:dyDescent="0.3">
      <c r="A175" s="8"/>
      <c r="B175" s="8"/>
      <c r="C175" s="6"/>
      <c r="D175" s="8"/>
      <c r="E175" s="8"/>
      <c r="F175" s="8"/>
      <c r="G175" s="8"/>
      <c r="H175" s="6"/>
      <c r="I175" s="6"/>
      <c r="N175" s="99"/>
      <c r="O175" s="8"/>
      <c r="Q175" s="62"/>
    </row>
    <row r="176" spans="1:17" x14ac:dyDescent="0.3">
      <c r="A176" s="8"/>
      <c r="B176" s="8"/>
      <c r="C176" s="6"/>
      <c r="D176" s="8"/>
      <c r="E176" s="8"/>
      <c r="F176" s="8"/>
      <c r="G176" s="8"/>
      <c r="H176" s="6"/>
      <c r="I176" s="6"/>
      <c r="N176" s="99"/>
      <c r="O176" s="8"/>
      <c r="Q176" s="62"/>
    </row>
    <row r="177" spans="1:17" x14ac:dyDescent="0.3">
      <c r="A177" s="8"/>
      <c r="B177" s="8"/>
      <c r="C177" s="6"/>
      <c r="D177" s="8"/>
      <c r="E177" s="8"/>
      <c r="F177" s="8"/>
      <c r="G177" s="8"/>
      <c r="H177" s="6"/>
      <c r="I177" s="6"/>
      <c r="N177" s="99"/>
      <c r="O177" s="8"/>
      <c r="Q177" s="62"/>
    </row>
    <row r="178" spans="1:17" x14ac:dyDescent="0.3">
      <c r="A178" s="8"/>
      <c r="B178" s="8"/>
      <c r="C178" s="6"/>
      <c r="D178" s="8"/>
      <c r="E178" s="8"/>
      <c r="F178" s="8"/>
      <c r="G178" s="8"/>
      <c r="H178" s="6"/>
      <c r="I178" s="6"/>
      <c r="N178" s="99"/>
      <c r="O178" s="8"/>
      <c r="Q178" s="62"/>
    </row>
    <row r="179" spans="1:17" x14ac:dyDescent="0.3">
      <c r="A179" s="8"/>
      <c r="B179" s="8"/>
      <c r="C179" s="6"/>
      <c r="D179" s="8"/>
      <c r="E179" s="8"/>
      <c r="F179" s="8"/>
      <c r="G179" s="8"/>
      <c r="H179" s="6"/>
      <c r="I179" s="6"/>
      <c r="N179" s="99"/>
      <c r="O179" s="8"/>
      <c r="Q179" s="62"/>
    </row>
    <row r="180" spans="1:17" x14ac:dyDescent="0.3">
      <c r="A180" s="8"/>
      <c r="B180" s="8"/>
      <c r="C180" s="6"/>
      <c r="D180" s="8"/>
      <c r="E180" s="8"/>
      <c r="F180" s="8"/>
      <c r="G180" s="8"/>
      <c r="H180" s="6"/>
      <c r="I180" s="6"/>
    </row>
    <row r="181" spans="1:17" x14ac:dyDescent="0.3">
      <c r="A181" s="11"/>
      <c r="B181" s="8"/>
      <c r="C181" s="6"/>
    </row>
    <row r="182" spans="1:17" x14ac:dyDescent="0.3">
      <c r="A182" s="11"/>
      <c r="B182" s="4"/>
      <c r="C182" s="6"/>
    </row>
    <row r="183" spans="1:17" x14ac:dyDescent="0.3">
      <c r="A183" s="11"/>
      <c r="B183" s="4"/>
      <c r="C183" s="6"/>
    </row>
    <row r="184" spans="1:17" x14ac:dyDescent="0.3">
      <c r="A184" s="11"/>
      <c r="B184" s="4"/>
      <c r="C184" s="6"/>
    </row>
    <row r="185" spans="1:17" x14ac:dyDescent="0.3">
      <c r="A185" s="11"/>
      <c r="B185" s="4"/>
      <c r="C185" s="6"/>
    </row>
    <row r="186" spans="1:17" x14ac:dyDescent="0.3">
      <c r="A186" s="11"/>
      <c r="B186" s="4"/>
      <c r="C186" s="6"/>
    </row>
    <row r="187" spans="1:17" x14ac:dyDescent="0.3">
      <c r="A187" s="11"/>
      <c r="B187" s="4"/>
      <c r="C187" s="6"/>
    </row>
    <row r="188" spans="1:17" x14ac:dyDescent="0.3">
      <c r="A188" s="11"/>
      <c r="B188" s="4"/>
      <c r="C188" s="6"/>
    </row>
    <row r="189" spans="1:17" x14ac:dyDescent="0.3">
      <c r="A189" s="11"/>
      <c r="B189" s="4"/>
      <c r="C189" s="6"/>
    </row>
    <row r="190" spans="1:17" x14ac:dyDescent="0.3">
      <c r="A190" s="11"/>
      <c r="B190" s="4"/>
      <c r="C190" s="6"/>
    </row>
    <row r="191" spans="1:17" x14ac:dyDescent="0.3">
      <c r="A191" s="11"/>
      <c r="B191" s="4"/>
      <c r="C191" s="6"/>
    </row>
    <row r="192" spans="1:17" x14ac:dyDescent="0.3">
      <c r="A192" s="11"/>
      <c r="B192" s="4"/>
      <c r="C192" s="6"/>
    </row>
    <row r="193" spans="1:3" x14ac:dyDescent="0.3">
      <c r="A193" s="11"/>
      <c r="B193" s="4"/>
      <c r="C193" s="6"/>
    </row>
    <row r="194" spans="1:3" x14ac:dyDescent="0.3">
      <c r="B194" s="4"/>
      <c r="C194" s="6"/>
    </row>
    <row r="196" spans="1:3" x14ac:dyDescent="0.3">
      <c r="B196" s="12"/>
    </row>
    <row r="197" spans="1:3" x14ac:dyDescent="0.3">
      <c r="B197" s="12"/>
    </row>
    <row r="198" spans="1:3" x14ac:dyDescent="0.3">
      <c r="B198" s="12"/>
    </row>
    <row r="199" spans="1:3" x14ac:dyDescent="0.3">
      <c r="B199" s="12"/>
    </row>
    <row r="200" spans="1:3" x14ac:dyDescent="0.3">
      <c r="B200" s="12"/>
    </row>
    <row r="201" spans="1:3" x14ac:dyDescent="0.3">
      <c r="B201" s="12"/>
    </row>
    <row r="202" spans="1:3" x14ac:dyDescent="0.3">
      <c r="B202" s="12"/>
    </row>
    <row r="203" spans="1:3" x14ac:dyDescent="0.3">
      <c r="B203" s="12"/>
    </row>
    <row r="204" spans="1:3" x14ac:dyDescent="0.3">
      <c r="B204" s="12"/>
    </row>
    <row r="205" spans="1:3" x14ac:dyDescent="0.3">
      <c r="B205" s="12"/>
    </row>
    <row r="206" spans="1:3" x14ac:dyDescent="0.3">
      <c r="B206" s="12"/>
    </row>
    <row r="207" spans="1:3" x14ac:dyDescent="0.3">
      <c r="B207" s="12"/>
    </row>
    <row r="208" spans="1:3" x14ac:dyDescent="0.3">
      <c r="B208" s="12"/>
    </row>
    <row r="209" spans="2:2" x14ac:dyDescent="0.3">
      <c r="B209" s="12"/>
    </row>
    <row r="210" spans="2:2" x14ac:dyDescent="0.3">
      <c r="B210" s="12"/>
    </row>
    <row r="211" spans="2:2" x14ac:dyDescent="0.3">
      <c r="B211" s="12"/>
    </row>
    <row r="212" spans="2:2" x14ac:dyDescent="0.3">
      <c r="B212" s="12"/>
    </row>
    <row r="213" spans="2:2" x14ac:dyDescent="0.3">
      <c r="B213" s="12"/>
    </row>
    <row r="214" spans="2:2" x14ac:dyDescent="0.3">
      <c r="B214" s="12"/>
    </row>
    <row r="215" spans="2:2" x14ac:dyDescent="0.3">
      <c r="B215" s="12"/>
    </row>
    <row r="216" spans="2:2" x14ac:dyDescent="0.3">
      <c r="B216" s="12"/>
    </row>
    <row r="217" spans="2:2" x14ac:dyDescent="0.3">
      <c r="B217" s="12"/>
    </row>
    <row r="218" spans="2:2" x14ac:dyDescent="0.3">
      <c r="B218" s="12"/>
    </row>
    <row r="219" spans="2:2" x14ac:dyDescent="0.3">
      <c r="B219" s="12"/>
    </row>
    <row r="220" spans="2:2" x14ac:dyDescent="0.3">
      <c r="B220" s="12"/>
    </row>
    <row r="221" spans="2:2" x14ac:dyDescent="0.3">
      <c r="B221" s="12"/>
    </row>
    <row r="222" spans="2:2" x14ac:dyDescent="0.3">
      <c r="B222" s="12"/>
    </row>
    <row r="223" spans="2:2" x14ac:dyDescent="0.3">
      <c r="B223" s="12"/>
    </row>
    <row r="224" spans="2:2" x14ac:dyDescent="0.3">
      <c r="B224" s="12"/>
    </row>
    <row r="225" spans="2:2" x14ac:dyDescent="0.3">
      <c r="B225" s="12"/>
    </row>
    <row r="226" spans="2:2" x14ac:dyDescent="0.3">
      <c r="B226" s="12"/>
    </row>
    <row r="227" spans="2:2" x14ac:dyDescent="0.3">
      <c r="B227" s="12"/>
    </row>
    <row r="228" spans="2:2" x14ac:dyDescent="0.3">
      <c r="B228" s="12"/>
    </row>
    <row r="229" spans="2:2" x14ac:dyDescent="0.3">
      <c r="B229" s="12"/>
    </row>
    <row r="230" spans="2:2" x14ac:dyDescent="0.3">
      <c r="B230" s="12"/>
    </row>
    <row r="231" spans="2:2" x14ac:dyDescent="0.3">
      <c r="B231" s="12"/>
    </row>
    <row r="232" spans="2:2" x14ac:dyDescent="0.3">
      <c r="B232" s="12"/>
    </row>
    <row r="233" spans="2:2" x14ac:dyDescent="0.3">
      <c r="B233" s="12"/>
    </row>
    <row r="234" spans="2:2" x14ac:dyDescent="0.3">
      <c r="B234" s="12"/>
    </row>
    <row r="235" spans="2:2" x14ac:dyDescent="0.3">
      <c r="B235" s="12"/>
    </row>
    <row r="236" spans="2:2" x14ac:dyDescent="0.3">
      <c r="B236" s="12"/>
    </row>
    <row r="237" spans="2:2" x14ac:dyDescent="0.3">
      <c r="B237" s="12"/>
    </row>
    <row r="238" spans="2:2" x14ac:dyDescent="0.3">
      <c r="B238" s="12"/>
    </row>
    <row r="239" spans="2:2" x14ac:dyDescent="0.3">
      <c r="B239" s="12"/>
    </row>
    <row r="240" spans="2:2" x14ac:dyDescent="0.3">
      <c r="B240" s="12"/>
    </row>
    <row r="241" spans="2:2" x14ac:dyDescent="0.3">
      <c r="B241" s="12"/>
    </row>
    <row r="242" spans="2:2" x14ac:dyDescent="0.3">
      <c r="B242" s="12"/>
    </row>
    <row r="243" spans="2:2" x14ac:dyDescent="0.3">
      <c r="B243" s="12"/>
    </row>
    <row r="244" spans="2:2" x14ac:dyDescent="0.3">
      <c r="B244" s="12"/>
    </row>
    <row r="245" spans="2:2" x14ac:dyDescent="0.3">
      <c r="B245" s="12"/>
    </row>
    <row r="246" spans="2:2" x14ac:dyDescent="0.3">
      <c r="B246" s="12"/>
    </row>
    <row r="247" spans="2:2" x14ac:dyDescent="0.3">
      <c r="B247" s="13"/>
    </row>
    <row r="248" spans="2:2" x14ac:dyDescent="0.3">
      <c r="B248" s="13"/>
    </row>
    <row r="249" spans="2:2" x14ac:dyDescent="0.3">
      <c r="B249" s="13"/>
    </row>
    <row r="250" spans="2:2" x14ac:dyDescent="0.3">
      <c r="B250" s="13"/>
    </row>
    <row r="251" spans="2:2" x14ac:dyDescent="0.3">
      <c r="B251" s="13"/>
    </row>
    <row r="252" spans="2:2" x14ac:dyDescent="0.3">
      <c r="B252" s="13"/>
    </row>
    <row r="253" spans="2:2" x14ac:dyDescent="0.3">
      <c r="B253" s="13"/>
    </row>
    <row r="254" spans="2:2" x14ac:dyDescent="0.3">
      <c r="B254" s="13"/>
    </row>
    <row r="255" spans="2:2" x14ac:dyDescent="0.3">
      <c r="B255" s="13"/>
    </row>
  </sheetData>
  <customSheetViews>
    <customSheetView guid="{377A32C9-D8CF-4808-9C50-3AB68474CE61}" showGridLines="0">
      <selection activeCell="I46" sqref="I46"/>
      <pageMargins left="0.75" right="0.75" top="1" bottom="1" header="0" footer="0"/>
      <pageSetup paperSize="9" firstPageNumber="0" fitToWidth="0" fitToHeight="0" orientation="landscape" r:id="rId1"/>
      <headerFooter alignWithMargins="0"/>
    </customSheetView>
  </customSheetViews>
  <mergeCells count="7">
    <mergeCell ref="AB4:AC4"/>
    <mergeCell ref="V4:W4"/>
    <mergeCell ref="K1:L1"/>
    <mergeCell ref="A1:C1"/>
    <mergeCell ref="F1:H1"/>
    <mergeCell ref="T4:U4"/>
    <mergeCell ref="Z4:AA4"/>
  </mergeCells>
  <phoneticPr fontId="0" type="noConversion"/>
  <pageMargins left="0.75" right="0.75" top="1" bottom="1" header="0" footer="0"/>
  <pageSetup paperSize="9" firstPageNumber="0" fitToWidth="0" fitToHeight="0" orientation="landscape"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F20FD244-33A3-4241-B9D5-7EA56562C5EC}">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Guidance</vt:lpstr>
      <vt:lpstr>KS1 Data Input</vt:lpstr>
      <vt:lpstr>KS2 Data Input</vt:lpstr>
      <vt:lpstr>Single Measure Ready Reckoner</vt:lpstr>
      <vt:lpstr>All Measures Ready Reckoner</vt:lpstr>
      <vt:lpstr>PAG Limits </vt:lpstr>
      <vt:lpstr>Prior Attainment Groups (PAGs)</vt:lpstr>
      <vt:lpstr>PAG Limits (data)</vt:lpstr>
      <vt:lpstr>KS2 Fine grades lookup</vt:lpstr>
      <vt:lpstr>mathsfinegrades</vt:lpstr>
      <vt:lpstr>'All Measures Ready Reckoner'!Print_Area</vt:lpstr>
      <vt:lpstr>'KS1 Data Input'!Print_Area</vt:lpstr>
      <vt:lpstr>'KS2 Data Input'!Print_Area</vt:lpstr>
      <vt:lpstr>'Single Measure Ready Reckoner'!Print_Area</vt:lpstr>
      <vt:lpstr>readingfinegrades</vt:lpstr>
      <vt:lpstr>THR</vt:lpstr>
      <vt:lpstr>thresholds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BAKER, Richard</dc:creator>
  <cp:lastModifiedBy>MANCHESTER, Simon</cp:lastModifiedBy>
  <cp:lastPrinted>2011-07-29T13:46:08Z</cp:lastPrinted>
  <dcterms:created xsi:type="dcterms:W3CDTF">2011-06-16T12:50:47Z</dcterms:created>
  <dcterms:modified xsi:type="dcterms:W3CDTF">2019-12-13T11:40:56Z</dcterms:modified>
</cp:coreProperties>
</file>