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FA51F93E-F761-49F7-8A48-8D58C153EDD2}" xr6:coauthVersionLast="31" xr6:coauthVersionMax="41" xr10:uidLastSave="{00000000-0000-0000-0000-000000000000}"/>
  <workbookProtection workbookAlgorithmName="SHA-512" workbookHashValue="vZHWV7vhIk7wEgI7NTK/xk/8WFGeBN4xdCYpXoA+Y23Knz9+dlkK9SYTzqm088JFFiezmGTtomAdszjcPJLmWg==" workbookSaltValue="R8eIgEEBHUX6xSwzHXMzSg==" workbookSpinCount="100000" lockStructure="1"/>
  <bookViews>
    <workbookView xWindow="-120" yWindow="-120" windowWidth="25440" windowHeight="15390" firstSheet="8" activeTab="8" xr2:uid="{00000000-000D-0000-FFFF-FFFF00000000}"/>
  </bookViews>
  <sheets>
    <sheet name="(2016-17)" sheetId="1" state="hidden" r:id="rId1"/>
    <sheet name="(2017-18)" sheetId="2" state="hidden" r:id="rId2"/>
    <sheet name="(2018-19)" sheetId="8" state="hidden" r:id="rId3"/>
    <sheet name="FIRE1120_raw" sheetId="3" state="hidden" r:id="rId4"/>
    <sheet name="QA" sheetId="9" state="hidden" r:id="rId5"/>
    <sheet name="macro" sheetId="6" state="hidden" r:id="rId6"/>
    <sheet name="raw" sheetId="7" state="hidden" r:id="rId7"/>
    <sheet name="stats release" sheetId="5" state="hidden" r:id="rId8"/>
    <sheet name="FIRE1120" sheetId="4" r:id="rId9"/>
  </sheets>
  <definedNames>
    <definedName name="_xlnm._FilterDatabase" localSheetId="6" hidden="1">raw!$A$1:$G$369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9" l="1"/>
  <c r="E6" i="9"/>
  <c r="E7" i="9"/>
  <c r="E8" i="9"/>
  <c r="E9" i="9"/>
  <c r="E10" i="9"/>
  <c r="E11" i="9"/>
  <c r="E12" i="9"/>
  <c r="E13" i="9"/>
  <c r="E14" i="9"/>
  <c r="E15" i="9"/>
  <c r="E16" i="9"/>
  <c r="E17" i="9"/>
  <c r="E18" i="9"/>
  <c r="E19" i="9"/>
  <c r="E20" i="9"/>
  <c r="E4" i="9" l="1"/>
  <c r="C22" i="9" s="1"/>
  <c r="S56" i="8" l="1"/>
  <c r="R56" i="8"/>
  <c r="S55" i="8"/>
  <c r="R55" i="8"/>
  <c r="S54" i="8"/>
  <c r="R54" i="8"/>
  <c r="S53" i="8"/>
  <c r="R53" i="8"/>
  <c r="S52" i="8"/>
  <c r="R52" i="8"/>
  <c r="S51" i="8"/>
  <c r="R51" i="8"/>
  <c r="S50" i="8"/>
  <c r="R50" i="8"/>
  <c r="R11" i="8"/>
  <c r="S11" i="8"/>
  <c r="R12" i="8"/>
  <c r="S12" i="8"/>
  <c r="R13" i="8"/>
  <c r="S13" i="8"/>
  <c r="R14" i="8"/>
  <c r="S14" i="8"/>
  <c r="R15" i="8"/>
  <c r="S15" i="8"/>
  <c r="R16" i="8"/>
  <c r="S16" i="8"/>
  <c r="R17" i="8"/>
  <c r="S17" i="8"/>
  <c r="R18" i="8"/>
  <c r="S18" i="8"/>
  <c r="R19" i="8"/>
  <c r="S19" i="8"/>
  <c r="R20" i="8"/>
  <c r="S20" i="8"/>
  <c r="R21" i="8"/>
  <c r="S21" i="8"/>
  <c r="R22" i="8"/>
  <c r="S22" i="8"/>
  <c r="R23" i="8"/>
  <c r="S23" i="8"/>
  <c r="R24" i="8"/>
  <c r="S24" i="8"/>
  <c r="R25" i="8"/>
  <c r="S25" i="8"/>
  <c r="R26" i="8"/>
  <c r="S26" i="8"/>
  <c r="R27" i="8"/>
  <c r="S27" i="8"/>
  <c r="R28" i="8"/>
  <c r="S28" i="8"/>
  <c r="R29" i="8"/>
  <c r="S29" i="8"/>
  <c r="R30" i="8"/>
  <c r="S30" i="8"/>
  <c r="R31" i="8"/>
  <c r="S31" i="8"/>
  <c r="R32" i="8"/>
  <c r="S32" i="8"/>
  <c r="R33" i="8"/>
  <c r="S33" i="8"/>
  <c r="R34" i="8"/>
  <c r="S34" i="8"/>
  <c r="R35" i="8"/>
  <c r="S35" i="8"/>
  <c r="R36" i="8"/>
  <c r="S36" i="8"/>
  <c r="R37" i="8"/>
  <c r="S37" i="8"/>
  <c r="R38" i="8"/>
  <c r="S38" i="8"/>
  <c r="R39" i="8"/>
  <c r="S39" i="8"/>
  <c r="R40" i="8"/>
  <c r="S40" i="8"/>
  <c r="R41" i="8"/>
  <c r="S41" i="8"/>
  <c r="R42" i="8"/>
  <c r="S42" i="8"/>
  <c r="R43" i="8"/>
  <c r="S43" i="8"/>
  <c r="R44" i="8"/>
  <c r="S44" i="8"/>
  <c r="R45" i="8"/>
  <c r="S45" i="8"/>
  <c r="R46" i="8"/>
  <c r="S46" i="8"/>
  <c r="R47" i="8"/>
  <c r="S47" i="8"/>
  <c r="R48" i="8"/>
  <c r="S48" i="8"/>
  <c r="S10" i="8"/>
  <c r="R10" i="8"/>
  <c r="O56" i="8"/>
  <c r="N56" i="8"/>
  <c r="O55" i="8"/>
  <c r="N55" i="8"/>
  <c r="O54" i="8"/>
  <c r="N54" i="8"/>
  <c r="O53" i="8"/>
  <c r="N53" i="8"/>
  <c r="O52" i="8"/>
  <c r="N52" i="8"/>
  <c r="O51" i="8"/>
  <c r="N51" i="8"/>
  <c r="O50" i="8"/>
  <c r="N50" i="8"/>
  <c r="N11" i="8"/>
  <c r="O11" i="8"/>
  <c r="N12" i="8"/>
  <c r="O12" i="8"/>
  <c r="N13" i="8"/>
  <c r="O13" i="8"/>
  <c r="N14" i="8"/>
  <c r="O14" i="8"/>
  <c r="N15" i="8"/>
  <c r="O15" i="8"/>
  <c r="N16" i="8"/>
  <c r="O16" i="8"/>
  <c r="N17" i="8"/>
  <c r="O17" i="8"/>
  <c r="N18" i="8"/>
  <c r="O18" i="8"/>
  <c r="N19" i="8"/>
  <c r="O19" i="8"/>
  <c r="N20" i="8"/>
  <c r="O20" i="8"/>
  <c r="N21" i="8"/>
  <c r="O21" i="8"/>
  <c r="N22" i="8"/>
  <c r="O22" i="8"/>
  <c r="N23" i="8"/>
  <c r="O23" i="8"/>
  <c r="N24" i="8"/>
  <c r="O24" i="8"/>
  <c r="N25" i="8"/>
  <c r="O25" i="8"/>
  <c r="N26" i="8"/>
  <c r="O26" i="8"/>
  <c r="N27" i="8"/>
  <c r="O27" i="8"/>
  <c r="N28" i="8"/>
  <c r="O28" i="8"/>
  <c r="N29" i="8"/>
  <c r="O29" i="8"/>
  <c r="N30" i="8"/>
  <c r="O30" i="8"/>
  <c r="N31" i="8"/>
  <c r="O31" i="8"/>
  <c r="N32" i="8"/>
  <c r="O32" i="8"/>
  <c r="N33" i="8"/>
  <c r="O33" i="8"/>
  <c r="N34" i="8"/>
  <c r="O34" i="8"/>
  <c r="N35" i="8"/>
  <c r="O35" i="8"/>
  <c r="N36" i="8"/>
  <c r="O36" i="8"/>
  <c r="N37" i="8"/>
  <c r="O37" i="8"/>
  <c r="N38" i="8"/>
  <c r="O38" i="8"/>
  <c r="N39" i="8"/>
  <c r="O39" i="8"/>
  <c r="N40" i="8"/>
  <c r="O40" i="8"/>
  <c r="N41" i="8"/>
  <c r="O41" i="8"/>
  <c r="N42" i="8"/>
  <c r="O42" i="8"/>
  <c r="N43" i="8"/>
  <c r="O43" i="8"/>
  <c r="N44" i="8"/>
  <c r="O44" i="8"/>
  <c r="N45" i="8"/>
  <c r="O45" i="8"/>
  <c r="N46" i="8"/>
  <c r="O46" i="8"/>
  <c r="N47" i="8"/>
  <c r="O47" i="8"/>
  <c r="N48" i="8"/>
  <c r="O48" i="8"/>
  <c r="O10" i="8"/>
  <c r="N10" i="8"/>
  <c r="G56" i="8"/>
  <c r="F56" i="8"/>
  <c r="G55" i="8"/>
  <c r="F55" i="8"/>
  <c r="G54" i="8"/>
  <c r="F54" i="8"/>
  <c r="G53" i="8"/>
  <c r="F53" i="8"/>
  <c r="G52" i="8"/>
  <c r="F52" i="8"/>
  <c r="G51" i="8"/>
  <c r="F51" i="8"/>
  <c r="G50" i="8"/>
  <c r="F50" i="8"/>
  <c r="F11" i="8"/>
  <c r="G11" i="8"/>
  <c r="F12" i="8"/>
  <c r="G12" i="8"/>
  <c r="F13" i="8"/>
  <c r="G13" i="8"/>
  <c r="F14" i="8"/>
  <c r="G14" i="8"/>
  <c r="F15" i="8"/>
  <c r="G15" i="8"/>
  <c r="F16" i="8"/>
  <c r="G16" i="8"/>
  <c r="F17" i="8"/>
  <c r="G17" i="8"/>
  <c r="F18" i="8"/>
  <c r="G18" i="8"/>
  <c r="F19" i="8"/>
  <c r="G19" i="8"/>
  <c r="F20" i="8"/>
  <c r="G20" i="8"/>
  <c r="F21" i="8"/>
  <c r="G21" i="8"/>
  <c r="F22" i="8"/>
  <c r="G22" i="8"/>
  <c r="F23" i="8"/>
  <c r="G23" i="8"/>
  <c r="F24" i="8"/>
  <c r="G24" i="8"/>
  <c r="F25" i="8"/>
  <c r="G25" i="8"/>
  <c r="F26" i="8"/>
  <c r="G26" i="8"/>
  <c r="F27" i="8"/>
  <c r="G27" i="8"/>
  <c r="F28" i="8"/>
  <c r="G28" i="8"/>
  <c r="F29" i="8"/>
  <c r="G29" i="8"/>
  <c r="F30" i="8"/>
  <c r="G30" i="8"/>
  <c r="F31" i="8"/>
  <c r="G31" i="8"/>
  <c r="F32" i="8"/>
  <c r="G32" i="8"/>
  <c r="F33" i="8"/>
  <c r="G33" i="8"/>
  <c r="F34" i="8"/>
  <c r="G34" i="8"/>
  <c r="F35" i="8"/>
  <c r="G35" i="8"/>
  <c r="F36" i="8"/>
  <c r="G36" i="8"/>
  <c r="F37" i="8"/>
  <c r="G37" i="8"/>
  <c r="F38" i="8"/>
  <c r="G38" i="8"/>
  <c r="F39" i="8"/>
  <c r="G39" i="8"/>
  <c r="F40" i="8"/>
  <c r="G40" i="8"/>
  <c r="F41" i="8"/>
  <c r="G41" i="8"/>
  <c r="F42" i="8"/>
  <c r="G42" i="8"/>
  <c r="F43" i="8"/>
  <c r="G43" i="8"/>
  <c r="F44" i="8"/>
  <c r="G44" i="8"/>
  <c r="F45" i="8"/>
  <c r="G45" i="8"/>
  <c r="F46" i="8"/>
  <c r="G46" i="8"/>
  <c r="F47" i="8"/>
  <c r="G47" i="8"/>
  <c r="F48" i="8"/>
  <c r="G48" i="8"/>
  <c r="G10" i="8"/>
  <c r="F10" i="8"/>
  <c r="C56" i="8"/>
  <c r="D56" i="8" s="1"/>
  <c r="B56" i="8"/>
  <c r="C55" i="8"/>
  <c r="K55" i="8" s="1"/>
  <c r="W55" i="8" s="1"/>
  <c r="B55" i="8"/>
  <c r="C54" i="8"/>
  <c r="D54" i="8" s="1"/>
  <c r="B54" i="8"/>
  <c r="C53" i="8"/>
  <c r="B53" i="8"/>
  <c r="C52" i="8"/>
  <c r="K52" i="8" s="1"/>
  <c r="B52" i="8"/>
  <c r="C51" i="8"/>
  <c r="B51" i="8"/>
  <c r="C50" i="8"/>
  <c r="B50" i="8"/>
  <c r="B11" i="8"/>
  <c r="C11" i="8"/>
  <c r="B12" i="8"/>
  <c r="C12" i="8"/>
  <c r="B13" i="8"/>
  <c r="C13" i="8"/>
  <c r="B14" i="8"/>
  <c r="C14" i="8"/>
  <c r="B15" i="8"/>
  <c r="C15" i="8"/>
  <c r="K15" i="8" s="1"/>
  <c r="B16" i="8"/>
  <c r="C16" i="8"/>
  <c r="B17" i="8"/>
  <c r="C17" i="8"/>
  <c r="B18" i="8"/>
  <c r="C18" i="8"/>
  <c r="B19" i="8"/>
  <c r="C19" i="8"/>
  <c r="K19" i="8" s="1"/>
  <c r="B20" i="8"/>
  <c r="C20" i="8"/>
  <c r="B21" i="8"/>
  <c r="J21" i="8" s="1"/>
  <c r="C21" i="8"/>
  <c r="B22" i="8"/>
  <c r="C22" i="8"/>
  <c r="B23" i="8"/>
  <c r="J23" i="8" s="1"/>
  <c r="C23" i="8"/>
  <c r="B24" i="8"/>
  <c r="C24" i="8"/>
  <c r="B25" i="8"/>
  <c r="C25" i="8"/>
  <c r="K25" i="8" s="1"/>
  <c r="W25" i="8" s="1"/>
  <c r="B26" i="8"/>
  <c r="J26" i="8" s="1"/>
  <c r="C26" i="8"/>
  <c r="B27" i="8"/>
  <c r="C27" i="8"/>
  <c r="K27" i="8" s="1"/>
  <c r="W27" i="8" s="1"/>
  <c r="B28" i="8"/>
  <c r="C28" i="8"/>
  <c r="B29" i="8"/>
  <c r="C29" i="8"/>
  <c r="K29" i="8" s="1"/>
  <c r="W29" i="8" s="1"/>
  <c r="B30" i="8"/>
  <c r="J30" i="8" s="1"/>
  <c r="C30" i="8"/>
  <c r="B31" i="8"/>
  <c r="C31" i="8"/>
  <c r="K31" i="8" s="1"/>
  <c r="W31" i="8" s="1"/>
  <c r="B32" i="8"/>
  <c r="J32" i="8" s="1"/>
  <c r="C32" i="8"/>
  <c r="B33" i="8"/>
  <c r="C33" i="8"/>
  <c r="K33" i="8" s="1"/>
  <c r="W33" i="8" s="1"/>
  <c r="B34" i="8"/>
  <c r="D34" i="8" s="1"/>
  <c r="C34" i="8"/>
  <c r="B35" i="8"/>
  <c r="C35" i="8"/>
  <c r="K35" i="8" s="1"/>
  <c r="W35" i="8" s="1"/>
  <c r="B36" i="8"/>
  <c r="C36" i="8"/>
  <c r="B37" i="8"/>
  <c r="C37" i="8"/>
  <c r="K37" i="8" s="1"/>
  <c r="W37" i="8" s="1"/>
  <c r="B38" i="8"/>
  <c r="C38" i="8"/>
  <c r="B39" i="8"/>
  <c r="C39" i="8"/>
  <c r="K39" i="8" s="1"/>
  <c r="W39" i="8" s="1"/>
  <c r="B40" i="8"/>
  <c r="C40" i="8"/>
  <c r="K40" i="8" s="1"/>
  <c r="B41" i="8"/>
  <c r="C41" i="8"/>
  <c r="K41" i="8" s="1"/>
  <c r="W41" i="8" s="1"/>
  <c r="B42" i="8"/>
  <c r="J42" i="8" s="1"/>
  <c r="C42" i="8"/>
  <c r="B43" i="8"/>
  <c r="C43" i="8"/>
  <c r="K43" i="8" s="1"/>
  <c r="W43" i="8" s="1"/>
  <c r="B44" i="8"/>
  <c r="J44" i="8" s="1"/>
  <c r="C44" i="8"/>
  <c r="B45" i="8"/>
  <c r="C45" i="8"/>
  <c r="K45" i="8" s="1"/>
  <c r="W45" i="8" s="1"/>
  <c r="B46" i="8"/>
  <c r="C46" i="8"/>
  <c r="B47" i="8"/>
  <c r="C47" i="8"/>
  <c r="K47" i="8" s="1"/>
  <c r="W47" i="8" s="1"/>
  <c r="B48" i="8"/>
  <c r="J48" i="8" s="1"/>
  <c r="C48" i="8"/>
  <c r="C10" i="8"/>
  <c r="B10" i="8"/>
  <c r="T56" i="8"/>
  <c r="J56" i="8"/>
  <c r="H56" i="8"/>
  <c r="K56" i="8"/>
  <c r="T54" i="8"/>
  <c r="P54" i="8"/>
  <c r="J54" i="8"/>
  <c r="H54" i="8"/>
  <c r="K54" i="8"/>
  <c r="T52" i="8"/>
  <c r="P52" i="8"/>
  <c r="H52" i="8"/>
  <c r="D52" i="8"/>
  <c r="J50" i="8"/>
  <c r="T40" i="8"/>
  <c r="H38" i="8"/>
  <c r="P36" i="8"/>
  <c r="K36" i="8"/>
  <c r="T34" i="8"/>
  <c r="H32" i="8"/>
  <c r="K30" i="8"/>
  <c r="P28" i="8"/>
  <c r="H28" i="8"/>
  <c r="H26" i="8"/>
  <c r="T24" i="8"/>
  <c r="H24" i="8"/>
  <c r="T22" i="8"/>
  <c r="P22" i="8"/>
  <c r="J17" i="8"/>
  <c r="K16" i="8"/>
  <c r="H14" i="8"/>
  <c r="J13" i="8"/>
  <c r="H12" i="8"/>
  <c r="T11" i="8"/>
  <c r="D30" i="8" l="1"/>
  <c r="T19" i="8"/>
  <c r="T13" i="8"/>
  <c r="D23" i="8"/>
  <c r="D21" i="8"/>
  <c r="D17" i="8"/>
  <c r="D13" i="8"/>
  <c r="D11" i="8"/>
  <c r="H45" i="8"/>
  <c r="H43" i="8"/>
  <c r="H39" i="8"/>
  <c r="H37" i="8"/>
  <c r="H35" i="8"/>
  <c r="H31" i="8"/>
  <c r="H29" i="8"/>
  <c r="H25" i="8"/>
  <c r="H23" i="8"/>
  <c r="H21" i="8"/>
  <c r="H19" i="8"/>
  <c r="H17" i="8"/>
  <c r="H15" i="8"/>
  <c r="H13" i="8"/>
  <c r="H11" i="8"/>
  <c r="H53" i="8"/>
  <c r="P47" i="8"/>
  <c r="T55" i="8"/>
  <c r="B49" i="8"/>
  <c r="D46" i="8"/>
  <c r="D42" i="8"/>
  <c r="D40" i="8"/>
  <c r="D38" i="8"/>
  <c r="D36" i="8"/>
  <c r="D28" i="8"/>
  <c r="D50" i="8"/>
  <c r="H48" i="8"/>
  <c r="H42" i="8"/>
  <c r="H36" i="8"/>
  <c r="P45" i="8"/>
  <c r="P43" i="8"/>
  <c r="P41" i="8"/>
  <c r="P39" i="8"/>
  <c r="P37" i="8"/>
  <c r="P35" i="8"/>
  <c r="P33" i="8"/>
  <c r="P31" i="8"/>
  <c r="P29" i="8"/>
  <c r="P27" i="8"/>
  <c r="P25" i="8"/>
  <c r="P23" i="8"/>
  <c r="P21" i="8"/>
  <c r="P19" i="8"/>
  <c r="P17" i="8"/>
  <c r="P15" i="8"/>
  <c r="P13" i="8"/>
  <c r="P11" i="8"/>
  <c r="P51" i="8"/>
  <c r="P53" i="8"/>
  <c r="P55" i="8"/>
  <c r="T43" i="8"/>
  <c r="T41" i="8"/>
  <c r="T39" i="8"/>
  <c r="T37" i="8"/>
  <c r="T35" i="8"/>
  <c r="T33" i="8"/>
  <c r="T31" i="8"/>
  <c r="T29" i="8"/>
  <c r="T27" i="8"/>
  <c r="T25" i="8"/>
  <c r="T23" i="8"/>
  <c r="T21" i="8"/>
  <c r="T17" i="8"/>
  <c r="T15" i="8"/>
  <c r="T51" i="8"/>
  <c r="T53" i="8"/>
  <c r="J28" i="8"/>
  <c r="V28" i="8" s="1"/>
  <c r="D32" i="8"/>
  <c r="J38" i="8"/>
  <c r="V38" i="8" s="1"/>
  <c r="D44" i="8"/>
  <c r="J36" i="8"/>
  <c r="V36" i="8" s="1"/>
  <c r="F49" i="8"/>
  <c r="D48" i="8"/>
  <c r="T14" i="8"/>
  <c r="D15" i="8"/>
  <c r="K21" i="8"/>
  <c r="W21" i="8" s="1"/>
  <c r="K23" i="8"/>
  <c r="L23" i="8" s="1"/>
  <c r="K13" i="8"/>
  <c r="W13" i="8" s="1"/>
  <c r="D19" i="8"/>
  <c r="H22" i="8"/>
  <c r="H20" i="8"/>
  <c r="H18" i="8"/>
  <c r="H16" i="8"/>
  <c r="H50" i="8"/>
  <c r="P48" i="8"/>
  <c r="P44" i="8"/>
  <c r="P40" i="8"/>
  <c r="P38" i="8"/>
  <c r="P32" i="8"/>
  <c r="P30" i="8"/>
  <c r="P24" i="8"/>
  <c r="P20" i="8"/>
  <c r="P18" i="8"/>
  <c r="P16" i="8"/>
  <c r="P14" i="8"/>
  <c r="P12" i="8"/>
  <c r="T48" i="8"/>
  <c r="T46" i="8"/>
  <c r="T44" i="8"/>
  <c r="T38" i="8"/>
  <c r="T30" i="8"/>
  <c r="T28" i="8"/>
  <c r="T26" i="8"/>
  <c r="K11" i="8"/>
  <c r="W11" i="8" s="1"/>
  <c r="K17" i="8"/>
  <c r="W17" i="8" s="1"/>
  <c r="H47" i="8"/>
  <c r="K51" i="8"/>
  <c r="K53" i="8"/>
  <c r="W53" i="8" s="1"/>
  <c r="T47" i="8"/>
  <c r="T45" i="8"/>
  <c r="K48" i="8"/>
  <c r="L48" i="8" s="1"/>
  <c r="K46" i="8"/>
  <c r="W46" i="8" s="1"/>
  <c r="H44" i="8"/>
  <c r="K42" i="8"/>
  <c r="L42" i="8" s="1"/>
  <c r="K38" i="8"/>
  <c r="K34" i="8"/>
  <c r="W34" i="8" s="1"/>
  <c r="K32" i="8"/>
  <c r="L32" i="8" s="1"/>
  <c r="H30" i="8"/>
  <c r="K28" i="8"/>
  <c r="L28" i="8" s="1"/>
  <c r="K26" i="8"/>
  <c r="L26" i="8" s="1"/>
  <c r="K24" i="8"/>
  <c r="W24" i="8" s="1"/>
  <c r="K12" i="8"/>
  <c r="W12" i="8" s="1"/>
  <c r="J52" i="8"/>
  <c r="L52" i="8" s="1"/>
  <c r="T42" i="8"/>
  <c r="T36" i="8"/>
  <c r="T32" i="8"/>
  <c r="T18" i="8"/>
  <c r="J46" i="8"/>
  <c r="L46" i="8" s="1"/>
  <c r="J40" i="8"/>
  <c r="L40" i="8" s="1"/>
  <c r="J34" i="8"/>
  <c r="V34" i="8" s="1"/>
  <c r="P46" i="8"/>
  <c r="P50" i="8"/>
  <c r="T50" i="8"/>
  <c r="S49" i="8"/>
  <c r="W51" i="8"/>
  <c r="R49" i="8"/>
  <c r="W16" i="8"/>
  <c r="W36" i="8"/>
  <c r="H51" i="8"/>
  <c r="K20" i="8"/>
  <c r="W20" i="8" s="1"/>
  <c r="H34" i="8"/>
  <c r="H40" i="8"/>
  <c r="K44" i="8"/>
  <c r="W44" i="8" s="1"/>
  <c r="H46" i="8"/>
  <c r="G9" i="8"/>
  <c r="K50" i="8"/>
  <c r="W50" i="8" s="1"/>
  <c r="V13" i="8"/>
  <c r="V17" i="8"/>
  <c r="V21" i="8"/>
  <c r="H10" i="8"/>
  <c r="J18" i="8"/>
  <c r="D18" i="8"/>
  <c r="V23" i="8"/>
  <c r="J24" i="8"/>
  <c r="D24" i="8"/>
  <c r="J35" i="8"/>
  <c r="D35" i="8"/>
  <c r="O9" i="8"/>
  <c r="T10" i="8"/>
  <c r="R9" i="8"/>
  <c r="J14" i="8"/>
  <c r="D14" i="8"/>
  <c r="J22" i="8"/>
  <c r="D22" i="8"/>
  <c r="F9" i="8"/>
  <c r="K10" i="8"/>
  <c r="C9" i="8"/>
  <c r="S9" i="8"/>
  <c r="J11" i="8"/>
  <c r="K14" i="8"/>
  <c r="W14" i="8" s="1"/>
  <c r="J15" i="8"/>
  <c r="K18" i="8"/>
  <c r="W18" i="8" s="1"/>
  <c r="J19" i="8"/>
  <c r="K22" i="8"/>
  <c r="W22" i="8" s="1"/>
  <c r="J43" i="8"/>
  <c r="D43" i="8"/>
  <c r="J10" i="8"/>
  <c r="D10" i="8"/>
  <c r="B9" i="8"/>
  <c r="P10" i="8"/>
  <c r="N9" i="8"/>
  <c r="J12" i="8"/>
  <c r="D12" i="8"/>
  <c r="T12" i="8"/>
  <c r="W15" i="8"/>
  <c r="J16" i="8"/>
  <c r="D16" i="8"/>
  <c r="T16" i="8"/>
  <c r="W19" i="8"/>
  <c r="J20" i="8"/>
  <c r="D20" i="8"/>
  <c r="T20" i="8"/>
  <c r="L30" i="8"/>
  <c r="V30" i="8"/>
  <c r="V50" i="8"/>
  <c r="J55" i="8"/>
  <c r="D55" i="8"/>
  <c r="W56" i="8"/>
  <c r="D26" i="8"/>
  <c r="V26" i="8"/>
  <c r="J31" i="8"/>
  <c r="D31" i="8"/>
  <c r="J39" i="8"/>
  <c r="D39" i="8"/>
  <c r="W40" i="8"/>
  <c r="V42" i="8"/>
  <c r="J47" i="8"/>
  <c r="D47" i="8"/>
  <c r="J53" i="8"/>
  <c r="D53" i="8"/>
  <c r="W54" i="8"/>
  <c r="L56" i="8"/>
  <c r="V56" i="8"/>
  <c r="J27" i="8"/>
  <c r="D27" i="8"/>
  <c r="J33" i="8"/>
  <c r="D33" i="8"/>
  <c r="J41" i="8"/>
  <c r="D41" i="8"/>
  <c r="V44" i="8"/>
  <c r="J25" i="8"/>
  <c r="D25" i="8"/>
  <c r="P26" i="8"/>
  <c r="H27" i="8"/>
  <c r="J29" i="8"/>
  <c r="D29" i="8"/>
  <c r="W30" i="8"/>
  <c r="V32" i="8"/>
  <c r="H33" i="8"/>
  <c r="P34" i="8"/>
  <c r="J37" i="8"/>
  <c r="D37" i="8"/>
  <c r="H41" i="8"/>
  <c r="P42" i="8"/>
  <c r="J45" i="8"/>
  <c r="D45" i="8"/>
  <c r="V48" i="8"/>
  <c r="G49" i="8"/>
  <c r="O49" i="8"/>
  <c r="J51" i="8"/>
  <c r="D51" i="8"/>
  <c r="W52" i="8"/>
  <c r="L54" i="8"/>
  <c r="V54" i="8"/>
  <c r="H55" i="8"/>
  <c r="P56" i="8"/>
  <c r="C49" i="8"/>
  <c r="N49" i="8"/>
  <c r="P25" i="6"/>
  <c r="Q25" i="6" s="1"/>
  <c r="R25" i="6" s="1"/>
  <c r="O24" i="6"/>
  <c r="P14" i="6"/>
  <c r="Q14" i="6" s="1"/>
  <c r="R14" i="6" s="1"/>
  <c r="O13" i="6"/>
  <c r="D9" i="6"/>
  <c r="D8" i="6"/>
  <c r="K7" i="6"/>
  <c r="I7" i="6"/>
  <c r="H6" i="6"/>
  <c r="W26" i="8" l="1"/>
  <c r="J49" i="8"/>
  <c r="D49" i="8"/>
  <c r="L36" i="8"/>
  <c r="W32" i="8"/>
  <c r="X26" i="8"/>
  <c r="V46" i="8"/>
  <c r="X46" i="8" s="1"/>
  <c r="X21" i="8"/>
  <c r="L21" i="8"/>
  <c r="L50" i="8"/>
  <c r="L34" i="8"/>
  <c r="L44" i="8"/>
  <c r="L38" i="8"/>
  <c r="W48" i="8"/>
  <c r="X48" i="8" s="1"/>
  <c r="W42" i="8"/>
  <c r="X42" i="8" s="1"/>
  <c r="X13" i="8"/>
  <c r="S8" i="8"/>
  <c r="L13" i="8"/>
  <c r="V40" i="8"/>
  <c r="X40" i="8" s="1"/>
  <c r="W23" i="8"/>
  <c r="X23" i="8" s="1"/>
  <c r="L17" i="8"/>
  <c r="G8" i="8"/>
  <c r="X36" i="8"/>
  <c r="X17" i="8"/>
  <c r="W28" i="8"/>
  <c r="X28" i="8" s="1"/>
  <c r="T49" i="8"/>
  <c r="V52" i="8"/>
  <c r="X52" i="8" s="1"/>
  <c r="W38" i="8"/>
  <c r="P49" i="8"/>
  <c r="X44" i="8"/>
  <c r="X56" i="8"/>
  <c r="X50" i="8"/>
  <c r="C8" i="8"/>
  <c r="X32" i="8"/>
  <c r="X54" i="8"/>
  <c r="V37" i="8"/>
  <c r="X37" i="8" s="1"/>
  <c r="L37" i="8"/>
  <c r="V25" i="8"/>
  <c r="X25" i="8" s="1"/>
  <c r="L25" i="8"/>
  <c r="V45" i="8"/>
  <c r="X45" i="8" s="1"/>
  <c r="L45" i="8"/>
  <c r="X34" i="8"/>
  <c r="V31" i="8"/>
  <c r="X31" i="8" s="1"/>
  <c r="L31" i="8"/>
  <c r="X30" i="8"/>
  <c r="V20" i="8"/>
  <c r="X20" i="8" s="1"/>
  <c r="L20" i="8"/>
  <c r="V16" i="8"/>
  <c r="X16" i="8" s="1"/>
  <c r="L16" i="8"/>
  <c r="V12" i="8"/>
  <c r="X12" i="8" s="1"/>
  <c r="L12" i="8"/>
  <c r="B8" i="8"/>
  <c r="D9" i="8"/>
  <c r="V43" i="8"/>
  <c r="X43" i="8" s="1"/>
  <c r="L43" i="8"/>
  <c r="W10" i="8"/>
  <c r="K9" i="8"/>
  <c r="O8" i="8"/>
  <c r="V24" i="8"/>
  <c r="X24" i="8" s="1"/>
  <c r="L24" i="8"/>
  <c r="V33" i="8"/>
  <c r="X33" i="8" s="1"/>
  <c r="L33" i="8"/>
  <c r="H49" i="8"/>
  <c r="V22" i="8"/>
  <c r="X22" i="8" s="1"/>
  <c r="L22" i="8"/>
  <c r="V51" i="8"/>
  <c r="X51" i="8" s="1"/>
  <c r="L51" i="8"/>
  <c r="V49" i="8"/>
  <c r="L27" i="8"/>
  <c r="V27" i="8"/>
  <c r="X27" i="8" s="1"/>
  <c r="L19" i="8"/>
  <c r="V19" i="8"/>
  <c r="X19" i="8" s="1"/>
  <c r="L11" i="8"/>
  <c r="V11" i="8"/>
  <c r="X11" i="8" s="1"/>
  <c r="H9" i="8"/>
  <c r="F8" i="8"/>
  <c r="V14" i="8"/>
  <c r="X14" i="8" s="1"/>
  <c r="L14" i="8"/>
  <c r="V18" i="8"/>
  <c r="X18" i="8" s="1"/>
  <c r="L18" i="8"/>
  <c r="V39" i="8"/>
  <c r="X39" i="8" s="1"/>
  <c r="L39" i="8"/>
  <c r="L15" i="8"/>
  <c r="V15" i="8"/>
  <c r="X15" i="8" s="1"/>
  <c r="K49" i="8"/>
  <c r="W49" i="8" s="1"/>
  <c r="V29" i="8"/>
  <c r="X29" i="8" s="1"/>
  <c r="L29" i="8"/>
  <c r="V41" i="8"/>
  <c r="X41" i="8" s="1"/>
  <c r="L41" i="8"/>
  <c r="V53" i="8"/>
  <c r="X53" i="8" s="1"/>
  <c r="L53" i="8"/>
  <c r="V47" i="8"/>
  <c r="X47" i="8" s="1"/>
  <c r="L47" i="8"/>
  <c r="V55" i="8"/>
  <c r="X55" i="8" s="1"/>
  <c r="L55" i="8"/>
  <c r="X38" i="8"/>
  <c r="P9" i="8"/>
  <c r="N8" i="8"/>
  <c r="V10" i="8"/>
  <c r="J9" i="8"/>
  <c r="L10" i="8"/>
  <c r="T9" i="8"/>
  <c r="R8" i="8"/>
  <c r="V35" i="8"/>
  <c r="X35" i="8" s="1"/>
  <c r="L35" i="8"/>
  <c r="T8" i="8" l="1"/>
  <c r="H8" i="8"/>
  <c r="W9" i="8"/>
  <c r="W8" i="8" s="1"/>
  <c r="D8" i="8"/>
  <c r="L49" i="8"/>
  <c r="X49" i="8"/>
  <c r="X10" i="8"/>
  <c r="V9" i="8"/>
  <c r="P8" i="8"/>
  <c r="K8" i="8"/>
  <c r="J8" i="8"/>
  <c r="L9" i="8"/>
  <c r="X9" i="8" l="1"/>
  <c r="V8" i="8"/>
  <c r="X8" i="8" s="1"/>
  <c r="L8" i="8"/>
  <c r="P10" i="1"/>
  <c r="K10" i="1"/>
  <c r="T56" i="1"/>
  <c r="P56" i="1"/>
  <c r="J56" i="1"/>
  <c r="H56" i="1"/>
  <c r="K56" i="1"/>
  <c r="W56" i="1" s="1"/>
  <c r="T55" i="1"/>
  <c r="P55" i="1"/>
  <c r="K55" i="1"/>
  <c r="W55" i="1" s="1"/>
  <c r="H55" i="1"/>
  <c r="J55" i="1"/>
  <c r="T54" i="1"/>
  <c r="P54" i="1"/>
  <c r="J54" i="1"/>
  <c r="H54" i="1"/>
  <c r="K54" i="1"/>
  <c r="W54" i="1" s="1"/>
  <c r="T53" i="1"/>
  <c r="P53" i="1"/>
  <c r="K53" i="1"/>
  <c r="W53" i="1" s="1"/>
  <c r="H53" i="1"/>
  <c r="J53" i="1"/>
  <c r="T52" i="1"/>
  <c r="P52" i="1"/>
  <c r="J52" i="1"/>
  <c r="H52" i="1"/>
  <c r="K52" i="1"/>
  <c r="W52" i="1" s="1"/>
  <c r="T51" i="1"/>
  <c r="P51" i="1"/>
  <c r="K51" i="1"/>
  <c r="W51" i="1" s="1"/>
  <c r="H51" i="1"/>
  <c r="J51" i="1"/>
  <c r="S49" i="1"/>
  <c r="O49" i="1"/>
  <c r="P50" i="1"/>
  <c r="J50" i="1"/>
  <c r="H50" i="1"/>
  <c r="K50" i="1"/>
  <c r="W50" i="1" s="1"/>
  <c r="R49" i="1"/>
  <c r="G49" i="1"/>
  <c r="F49" i="1"/>
  <c r="B49" i="1"/>
  <c r="T48" i="1"/>
  <c r="P48" i="1"/>
  <c r="J48" i="1"/>
  <c r="H48" i="1"/>
  <c r="K48" i="1"/>
  <c r="W48" i="1" s="1"/>
  <c r="T47" i="1"/>
  <c r="P47" i="1"/>
  <c r="K47" i="1"/>
  <c r="W47" i="1" s="1"/>
  <c r="H47" i="1"/>
  <c r="J47" i="1"/>
  <c r="T46" i="1"/>
  <c r="P46" i="1"/>
  <c r="J46" i="1"/>
  <c r="H46" i="1"/>
  <c r="K46" i="1"/>
  <c r="W46" i="1" s="1"/>
  <c r="T45" i="1"/>
  <c r="P45" i="1"/>
  <c r="K45" i="1"/>
  <c r="W45" i="1" s="1"/>
  <c r="H45" i="1"/>
  <c r="J45" i="1"/>
  <c r="T44" i="1"/>
  <c r="P44" i="1"/>
  <c r="J44" i="1"/>
  <c r="H44" i="1"/>
  <c r="K44" i="1"/>
  <c r="W44" i="1" s="1"/>
  <c r="T43" i="1"/>
  <c r="P43" i="1"/>
  <c r="K43" i="1"/>
  <c r="W43" i="1" s="1"/>
  <c r="H43" i="1"/>
  <c r="J43" i="1"/>
  <c r="T42" i="1"/>
  <c r="P42" i="1"/>
  <c r="H42" i="1"/>
  <c r="K42" i="1"/>
  <c r="W42" i="1" s="1"/>
  <c r="J42" i="1"/>
  <c r="T41" i="1"/>
  <c r="P41" i="1"/>
  <c r="K41" i="1"/>
  <c r="W41" i="1" s="1"/>
  <c r="H41" i="1"/>
  <c r="D41" i="1"/>
  <c r="P40" i="1"/>
  <c r="H40" i="1"/>
  <c r="K40" i="1"/>
  <c r="J40" i="1"/>
  <c r="T39" i="1"/>
  <c r="P39" i="1"/>
  <c r="K39" i="1"/>
  <c r="W39" i="1" s="1"/>
  <c r="D39" i="1"/>
  <c r="T38" i="1"/>
  <c r="P38" i="1"/>
  <c r="H38" i="1"/>
  <c r="K38" i="1"/>
  <c r="J38" i="1"/>
  <c r="T37" i="1"/>
  <c r="P37" i="1"/>
  <c r="K37" i="1"/>
  <c r="W37" i="1" s="1"/>
  <c r="D37" i="1"/>
  <c r="T36" i="1"/>
  <c r="P36" i="1"/>
  <c r="H36" i="1"/>
  <c r="K36" i="1"/>
  <c r="W36" i="1" s="1"/>
  <c r="J36" i="1"/>
  <c r="T35" i="1"/>
  <c r="P35" i="1"/>
  <c r="K35" i="1"/>
  <c r="W35" i="1" s="1"/>
  <c r="D35" i="1"/>
  <c r="P34" i="1"/>
  <c r="H34" i="1"/>
  <c r="K34" i="1"/>
  <c r="J34" i="1"/>
  <c r="T33" i="1"/>
  <c r="P33" i="1"/>
  <c r="K33" i="1"/>
  <c r="W33" i="1" s="1"/>
  <c r="H33" i="1"/>
  <c r="J33" i="1"/>
  <c r="P32" i="1"/>
  <c r="H32" i="1"/>
  <c r="K32" i="1"/>
  <c r="W32" i="1" s="1"/>
  <c r="J32" i="1"/>
  <c r="T31" i="1"/>
  <c r="P31" i="1"/>
  <c r="K31" i="1"/>
  <c r="W31" i="1" s="1"/>
  <c r="H31" i="1"/>
  <c r="J31" i="1"/>
  <c r="T30" i="1"/>
  <c r="P30" i="1"/>
  <c r="H30" i="1"/>
  <c r="K30" i="1"/>
  <c r="W30" i="1" s="1"/>
  <c r="J30" i="1"/>
  <c r="T29" i="1"/>
  <c r="P29" i="1"/>
  <c r="K29" i="1"/>
  <c r="W29" i="1" s="1"/>
  <c r="H29" i="1"/>
  <c r="J29" i="1"/>
  <c r="T28" i="1"/>
  <c r="P28" i="1"/>
  <c r="H28" i="1"/>
  <c r="K28" i="1"/>
  <c r="J28" i="1"/>
  <c r="T27" i="1"/>
  <c r="P27" i="1"/>
  <c r="K27" i="1"/>
  <c r="W27" i="1" s="1"/>
  <c r="H27" i="1"/>
  <c r="P26" i="1"/>
  <c r="H26" i="1"/>
  <c r="K26" i="1"/>
  <c r="J26" i="1"/>
  <c r="T25" i="1"/>
  <c r="P25" i="1"/>
  <c r="K25" i="1"/>
  <c r="W25" i="1" s="1"/>
  <c r="H25" i="1"/>
  <c r="J25" i="1"/>
  <c r="P24" i="1"/>
  <c r="H24" i="1"/>
  <c r="K24" i="1"/>
  <c r="W24" i="1" s="1"/>
  <c r="J24" i="1"/>
  <c r="T23" i="1"/>
  <c r="P23" i="1"/>
  <c r="K23" i="1"/>
  <c r="W23" i="1" s="1"/>
  <c r="H23" i="1"/>
  <c r="J23" i="1"/>
  <c r="T22" i="1"/>
  <c r="P22" i="1"/>
  <c r="H22" i="1"/>
  <c r="K22" i="1"/>
  <c r="W22" i="1" s="1"/>
  <c r="J22" i="1"/>
  <c r="T21" i="1"/>
  <c r="P21" i="1"/>
  <c r="K21" i="1"/>
  <c r="W21" i="1" s="1"/>
  <c r="H21" i="1"/>
  <c r="J21" i="1"/>
  <c r="T20" i="1"/>
  <c r="P20" i="1"/>
  <c r="H20" i="1"/>
  <c r="K20" i="1"/>
  <c r="W20" i="1" s="1"/>
  <c r="J20" i="1"/>
  <c r="T19" i="1"/>
  <c r="P19" i="1"/>
  <c r="K19" i="1"/>
  <c r="W19" i="1" s="1"/>
  <c r="H19" i="1"/>
  <c r="J19" i="1"/>
  <c r="T18" i="1"/>
  <c r="P18" i="1"/>
  <c r="H18" i="1"/>
  <c r="K18" i="1"/>
  <c r="W18" i="1" s="1"/>
  <c r="J18" i="1"/>
  <c r="T17" i="1"/>
  <c r="P17" i="1"/>
  <c r="K17" i="1"/>
  <c r="W17" i="1" s="1"/>
  <c r="H17" i="1"/>
  <c r="J17" i="1"/>
  <c r="T16" i="1"/>
  <c r="P16" i="1"/>
  <c r="H16" i="1"/>
  <c r="K16" i="1"/>
  <c r="W16" i="1" s="1"/>
  <c r="J16" i="1"/>
  <c r="T15" i="1"/>
  <c r="P15" i="1"/>
  <c r="K15" i="1"/>
  <c r="W15" i="1" s="1"/>
  <c r="J15" i="1"/>
  <c r="D15" i="1"/>
  <c r="T14" i="1"/>
  <c r="P14" i="1"/>
  <c r="H14" i="1"/>
  <c r="K14" i="1"/>
  <c r="W14" i="1" s="1"/>
  <c r="J14" i="1"/>
  <c r="T13" i="1"/>
  <c r="P13" i="1"/>
  <c r="K13" i="1"/>
  <c r="W13" i="1" s="1"/>
  <c r="J13" i="1"/>
  <c r="D13" i="1"/>
  <c r="T12" i="1"/>
  <c r="P12" i="1"/>
  <c r="H12" i="1"/>
  <c r="K12" i="1"/>
  <c r="W12" i="1" s="1"/>
  <c r="J12" i="1"/>
  <c r="T11" i="1"/>
  <c r="P11" i="1"/>
  <c r="K11" i="1"/>
  <c r="W11" i="1" s="1"/>
  <c r="J11" i="1"/>
  <c r="D11" i="1"/>
  <c r="S9" i="1"/>
  <c r="S8" i="1" s="1"/>
  <c r="T10" i="1"/>
  <c r="H10" i="1"/>
  <c r="J10" i="1"/>
  <c r="R9" i="1"/>
  <c r="G9" i="1"/>
  <c r="F9" i="1"/>
  <c r="B9" i="1"/>
  <c r="L31" i="1" l="1"/>
  <c r="J49" i="1"/>
  <c r="G8" i="1"/>
  <c r="H49" i="1"/>
  <c r="T9" i="1"/>
  <c r="R8" i="1"/>
  <c r="T8" i="1" s="1"/>
  <c r="H9" i="1"/>
  <c r="L25" i="1"/>
  <c r="B8" i="1"/>
  <c r="L33" i="1"/>
  <c r="O9" i="1"/>
  <c r="O8" i="1" s="1"/>
  <c r="L29" i="1"/>
  <c r="V15" i="1"/>
  <c r="L15" i="1"/>
  <c r="V21" i="1"/>
  <c r="L21" i="1"/>
  <c r="L16" i="1"/>
  <c r="V16" i="1"/>
  <c r="V19" i="1"/>
  <c r="L19" i="1"/>
  <c r="V24" i="1"/>
  <c r="L24" i="1"/>
  <c r="L14" i="1"/>
  <c r="V14" i="1"/>
  <c r="L18" i="1"/>
  <c r="V18" i="1"/>
  <c r="L10" i="1"/>
  <c r="V10" i="1"/>
  <c r="L11" i="1"/>
  <c r="V11" i="1"/>
  <c r="V17" i="1"/>
  <c r="L17" i="1"/>
  <c r="L22" i="1"/>
  <c r="V22" i="1"/>
  <c r="W10" i="1"/>
  <c r="K9" i="1"/>
  <c r="L12" i="1"/>
  <c r="V12" i="1"/>
  <c r="V13" i="1"/>
  <c r="L13" i="1"/>
  <c r="L20" i="1"/>
  <c r="V20" i="1"/>
  <c r="V23" i="1"/>
  <c r="L23" i="1"/>
  <c r="D10" i="1"/>
  <c r="D12" i="1"/>
  <c r="D14" i="1"/>
  <c r="D16" i="1"/>
  <c r="D18" i="1"/>
  <c r="D20" i="1"/>
  <c r="D22" i="1"/>
  <c r="D24" i="1"/>
  <c r="W26" i="1"/>
  <c r="L28" i="1"/>
  <c r="V28" i="1"/>
  <c r="V29" i="1"/>
  <c r="W34" i="1"/>
  <c r="J35" i="1"/>
  <c r="H35" i="1"/>
  <c r="L38" i="1"/>
  <c r="V38" i="1"/>
  <c r="W40" i="1"/>
  <c r="V51" i="1"/>
  <c r="L51" i="1"/>
  <c r="V53" i="1"/>
  <c r="L53" i="1"/>
  <c r="V55" i="1"/>
  <c r="L55" i="1"/>
  <c r="F8" i="1"/>
  <c r="C9" i="1"/>
  <c r="D9" i="1" s="1"/>
  <c r="N9" i="1"/>
  <c r="H11" i="1"/>
  <c r="H13" i="1"/>
  <c r="H15" i="1"/>
  <c r="T24" i="1"/>
  <c r="J27" i="1"/>
  <c r="W28" i="1"/>
  <c r="L30" i="1"/>
  <c r="V30" i="1"/>
  <c r="V31" i="1"/>
  <c r="T32" i="1"/>
  <c r="L36" i="1"/>
  <c r="V36" i="1"/>
  <c r="W38" i="1"/>
  <c r="J39" i="1"/>
  <c r="H39" i="1"/>
  <c r="J41" i="1"/>
  <c r="L42" i="1"/>
  <c r="V42" i="1"/>
  <c r="L44" i="1"/>
  <c r="L46" i="1"/>
  <c r="L48" i="1"/>
  <c r="T49" i="1"/>
  <c r="D17" i="1"/>
  <c r="D19" i="1"/>
  <c r="D21" i="1"/>
  <c r="D23" i="1"/>
  <c r="V25" i="1"/>
  <c r="T26" i="1"/>
  <c r="L32" i="1"/>
  <c r="V32" i="1"/>
  <c r="V33" i="1"/>
  <c r="T34" i="1"/>
  <c r="J37" i="1"/>
  <c r="H37" i="1"/>
  <c r="T40" i="1"/>
  <c r="V43" i="1"/>
  <c r="L43" i="1"/>
  <c r="V45" i="1"/>
  <c r="L45" i="1"/>
  <c r="V47" i="1"/>
  <c r="L47" i="1"/>
  <c r="L26" i="1"/>
  <c r="V26" i="1"/>
  <c r="L34" i="1"/>
  <c r="V34" i="1"/>
  <c r="L40" i="1"/>
  <c r="V40" i="1"/>
  <c r="L50" i="1"/>
  <c r="L52" i="1"/>
  <c r="L54" i="1"/>
  <c r="L56" i="1"/>
  <c r="D26" i="1"/>
  <c r="D28" i="1"/>
  <c r="D30" i="1"/>
  <c r="D32" i="1"/>
  <c r="D34" i="1"/>
  <c r="D36" i="1"/>
  <c r="D38" i="1"/>
  <c r="D40" i="1"/>
  <c r="D42" i="1"/>
  <c r="D44" i="1"/>
  <c r="D46" i="1"/>
  <c r="D48" i="1"/>
  <c r="D50" i="1"/>
  <c r="T50" i="1"/>
  <c r="D52" i="1"/>
  <c r="D54" i="1"/>
  <c r="D56" i="1"/>
  <c r="V44" i="1"/>
  <c r="V46" i="1"/>
  <c r="V48" i="1"/>
  <c r="C49" i="1"/>
  <c r="K49" i="1" s="1"/>
  <c r="W49" i="1" s="1"/>
  <c r="N49" i="1"/>
  <c r="P49" i="1" s="1"/>
  <c r="V50" i="1"/>
  <c r="V52" i="1"/>
  <c r="V54" i="1"/>
  <c r="V56" i="1"/>
  <c r="D25" i="1"/>
  <c r="D27" i="1"/>
  <c r="D29" i="1"/>
  <c r="D31" i="1"/>
  <c r="D33" i="1"/>
  <c r="D43" i="1"/>
  <c r="D45" i="1"/>
  <c r="D47" i="1"/>
  <c r="D51" i="1"/>
  <c r="D53" i="1"/>
  <c r="D55" i="1"/>
  <c r="X29" i="1" l="1"/>
  <c r="X14" i="1"/>
  <c r="X51" i="1"/>
  <c r="X19" i="1"/>
  <c r="X50" i="1"/>
  <c r="X46" i="1"/>
  <c r="X33" i="1"/>
  <c r="X25" i="1"/>
  <c r="X20" i="1"/>
  <c r="X12" i="1"/>
  <c r="X22" i="1"/>
  <c r="X11" i="1"/>
  <c r="X18" i="1"/>
  <c r="X16" i="1"/>
  <c r="X54" i="1"/>
  <c r="X52" i="1"/>
  <c r="X48" i="1"/>
  <c r="X47" i="1"/>
  <c r="X43" i="1"/>
  <c r="X36" i="1"/>
  <c r="X30" i="1"/>
  <c r="X55" i="1"/>
  <c r="X23" i="1"/>
  <c r="X13" i="1"/>
  <c r="X17" i="1"/>
  <c r="X21" i="1"/>
  <c r="X56" i="1"/>
  <c r="X44" i="1"/>
  <c r="X34" i="1"/>
  <c r="L49" i="1"/>
  <c r="X45" i="1"/>
  <c r="X32" i="1"/>
  <c r="X42" i="1"/>
  <c r="H8" i="1"/>
  <c r="X53" i="1"/>
  <c r="X38" i="1"/>
  <c r="X24" i="1"/>
  <c r="X15" i="1"/>
  <c r="X31" i="1"/>
  <c r="D49" i="1"/>
  <c r="X26" i="1"/>
  <c r="V49" i="1"/>
  <c r="L39" i="1"/>
  <c r="V39" i="1"/>
  <c r="X40" i="1"/>
  <c r="L37" i="1"/>
  <c r="V37" i="1"/>
  <c r="L27" i="1"/>
  <c r="V27" i="1"/>
  <c r="K8" i="1"/>
  <c r="L41" i="1"/>
  <c r="V41" i="1"/>
  <c r="P9" i="1"/>
  <c r="N8" i="1"/>
  <c r="P8" i="1" s="1"/>
  <c r="X28" i="1"/>
  <c r="W9" i="1"/>
  <c r="W8" i="1" s="1"/>
  <c r="X10" i="1"/>
  <c r="C8" i="1"/>
  <c r="D8" i="1" s="1"/>
  <c r="L35" i="1"/>
  <c r="V35" i="1"/>
  <c r="J9" i="1"/>
  <c r="X35" i="1" l="1"/>
  <c r="X37" i="1"/>
  <c r="X49" i="1"/>
  <c r="X41" i="1"/>
  <c r="X39" i="1"/>
  <c r="X27" i="1"/>
  <c r="V9" i="1"/>
  <c r="J8" i="1"/>
  <c r="L8" i="1" s="1"/>
  <c r="L9" i="1"/>
  <c r="X9" i="1" l="1"/>
  <c r="V8" i="1"/>
  <c r="X8" i="1" l="1"/>
  <c r="A4" i="3" l="1"/>
  <c r="O10" i="3"/>
  <c r="T45" i="2" l="1"/>
  <c r="T41" i="2"/>
  <c r="H46" i="2"/>
  <c r="T48" i="2"/>
  <c r="T24" i="2"/>
  <c r="H39" i="2"/>
  <c r="T40" i="2" l="1"/>
  <c r="H41" i="2"/>
  <c r="T53" i="2"/>
  <c r="H54" i="2"/>
  <c r="T43" i="2"/>
  <c r="H45" i="2"/>
  <c r="H48" i="2"/>
  <c r="H55" i="2"/>
  <c r="H25" i="2"/>
  <c r="T31" i="2"/>
  <c r="H50" i="2"/>
  <c r="H52" i="2"/>
  <c r="T55" i="2"/>
  <c r="T12" i="2"/>
  <c r="T13" i="2"/>
  <c r="T14" i="2"/>
  <c r="T15" i="2"/>
  <c r="H16" i="2"/>
  <c r="T19" i="2"/>
  <c r="H21" i="2"/>
  <c r="T22" i="2"/>
  <c r="T23" i="2"/>
  <c r="H24" i="2"/>
  <c r="H27" i="2"/>
  <c r="T27" i="2"/>
  <c r="H28" i="2"/>
  <c r="H32" i="2"/>
  <c r="T33" i="2"/>
  <c r="T34" i="2"/>
  <c r="H38" i="2"/>
  <c r="P29" i="2"/>
  <c r="H15" i="2"/>
  <c r="T16" i="2"/>
  <c r="H22" i="2"/>
  <c r="H23" i="2"/>
  <c r="T26" i="2"/>
  <c r="T28" i="2"/>
  <c r="T32" i="2"/>
  <c r="T36" i="2"/>
  <c r="H37" i="2"/>
  <c r="T37" i="2"/>
  <c r="T39" i="2"/>
  <c r="H31" i="2"/>
  <c r="H40" i="2"/>
  <c r="H42" i="2"/>
  <c r="T42" i="2"/>
  <c r="H43" i="2"/>
  <c r="H44" i="2"/>
  <c r="T44" i="2"/>
  <c r="T46" i="2"/>
  <c r="T50" i="2"/>
  <c r="H51" i="2"/>
  <c r="T51" i="2"/>
  <c r="H36" i="2"/>
  <c r="H47" i="2"/>
  <c r="T47" i="2"/>
  <c r="P12" i="2"/>
  <c r="P13" i="2"/>
  <c r="J14" i="2"/>
  <c r="V14" i="2" s="1"/>
  <c r="P14" i="2"/>
  <c r="J15" i="2"/>
  <c r="V15" i="2" s="1"/>
  <c r="P15" i="2"/>
  <c r="P16" i="2"/>
  <c r="P17" i="2"/>
  <c r="P18" i="2"/>
  <c r="P19" i="2"/>
  <c r="P20" i="2"/>
  <c r="P21" i="2"/>
  <c r="P22" i="2"/>
  <c r="P23" i="2"/>
  <c r="P24" i="2"/>
  <c r="P25" i="2"/>
  <c r="P26" i="2"/>
  <c r="P27" i="2"/>
  <c r="P28" i="2"/>
  <c r="P30" i="2"/>
  <c r="P31" i="2"/>
  <c r="P32" i="2"/>
  <c r="P33" i="2"/>
  <c r="P34" i="2"/>
  <c r="P35" i="2"/>
  <c r="P36" i="2"/>
  <c r="P37" i="2"/>
  <c r="P38" i="2"/>
  <c r="P39" i="2"/>
  <c r="J40" i="2"/>
  <c r="V40" i="2" s="1"/>
  <c r="P40" i="2"/>
  <c r="P41" i="2"/>
  <c r="P42" i="2"/>
  <c r="P43" i="2"/>
  <c r="P44" i="2"/>
  <c r="P45" i="2"/>
  <c r="P46" i="2"/>
  <c r="P47" i="2"/>
  <c r="P51" i="2"/>
  <c r="P52" i="2"/>
  <c r="P53" i="2"/>
  <c r="P54" i="2"/>
  <c r="P55" i="2"/>
  <c r="P56" i="2"/>
  <c r="K14" i="2"/>
  <c r="W14" i="2" s="1"/>
  <c r="K15" i="2"/>
  <c r="W15" i="2" s="1"/>
  <c r="K16" i="2"/>
  <c r="W16" i="2" s="1"/>
  <c r="K17" i="2"/>
  <c r="W17" i="2" s="1"/>
  <c r="K19" i="2"/>
  <c r="W19" i="2" s="1"/>
  <c r="K20" i="2"/>
  <c r="W20" i="2" s="1"/>
  <c r="K21" i="2"/>
  <c r="W21" i="2" s="1"/>
  <c r="K22" i="2"/>
  <c r="W22" i="2" s="1"/>
  <c r="K26" i="2"/>
  <c r="W26" i="2" s="1"/>
  <c r="K29" i="2"/>
  <c r="W29" i="2" s="1"/>
  <c r="K31" i="2"/>
  <c r="W31" i="2" s="1"/>
  <c r="K32" i="2"/>
  <c r="W32" i="2" s="1"/>
  <c r="K33" i="2"/>
  <c r="W33" i="2" s="1"/>
  <c r="K34" i="2"/>
  <c r="W34" i="2" s="1"/>
  <c r="K37" i="2"/>
  <c r="W37" i="2" s="1"/>
  <c r="K39" i="2"/>
  <c r="W39" i="2" s="1"/>
  <c r="K42" i="2"/>
  <c r="W42" i="2" s="1"/>
  <c r="K44" i="2"/>
  <c r="W44" i="2" s="1"/>
  <c r="K45" i="2"/>
  <c r="W45" i="2" s="1"/>
  <c r="K52" i="2"/>
  <c r="W52" i="2" s="1"/>
  <c r="K53" i="2"/>
  <c r="W53" i="2" s="1"/>
  <c r="K54" i="2"/>
  <c r="W54" i="2" s="1"/>
  <c r="K55" i="2"/>
  <c r="W55" i="2" s="1"/>
  <c r="K56" i="2"/>
  <c r="W56" i="2" s="1"/>
  <c r="T11" i="2"/>
  <c r="H12" i="2"/>
  <c r="P48" i="2"/>
  <c r="K48" i="2"/>
  <c r="W48" i="2" s="1"/>
  <c r="P10" i="2"/>
  <c r="N9" i="2"/>
  <c r="T10" i="2"/>
  <c r="D10" i="2"/>
  <c r="J10" i="2"/>
  <c r="D22" i="2"/>
  <c r="J22" i="2"/>
  <c r="D29" i="2"/>
  <c r="J29" i="2"/>
  <c r="D33" i="2"/>
  <c r="J33" i="2"/>
  <c r="D36" i="2"/>
  <c r="J36" i="2"/>
  <c r="D44" i="2"/>
  <c r="J44" i="2"/>
  <c r="D45" i="2"/>
  <c r="J45" i="2"/>
  <c r="D46" i="2"/>
  <c r="J46" i="2"/>
  <c r="D47" i="2"/>
  <c r="J47" i="2"/>
  <c r="D48" i="2"/>
  <c r="J48" i="2"/>
  <c r="D51" i="2"/>
  <c r="J51" i="2"/>
  <c r="D52" i="2"/>
  <c r="J52" i="2"/>
  <c r="D53" i="2"/>
  <c r="J53" i="2"/>
  <c r="D54" i="2"/>
  <c r="J54" i="2"/>
  <c r="D55" i="2"/>
  <c r="J55" i="2"/>
  <c r="D11" i="2"/>
  <c r="J11" i="2"/>
  <c r="D12" i="2"/>
  <c r="J12" i="2"/>
  <c r="D13" i="2"/>
  <c r="J13" i="2"/>
  <c r="D20" i="2"/>
  <c r="J20" i="2"/>
  <c r="D24" i="2"/>
  <c r="J24" i="2"/>
  <c r="D30" i="2"/>
  <c r="J30" i="2"/>
  <c r="D34" i="2"/>
  <c r="J34" i="2"/>
  <c r="D38" i="2"/>
  <c r="J38" i="2"/>
  <c r="D39" i="2"/>
  <c r="J39" i="2"/>
  <c r="D42" i="2"/>
  <c r="J42" i="2"/>
  <c r="D56" i="2"/>
  <c r="J56" i="2"/>
  <c r="K10" i="2"/>
  <c r="D15" i="2"/>
  <c r="K11" i="2"/>
  <c r="W11" i="2" s="1"/>
  <c r="K12" i="2"/>
  <c r="W12" i="2" s="1"/>
  <c r="K13" i="2"/>
  <c r="W13" i="2" s="1"/>
  <c r="K18" i="2"/>
  <c r="W18" i="2" s="1"/>
  <c r="K23" i="2"/>
  <c r="W23" i="2" s="1"/>
  <c r="K24" i="2"/>
  <c r="W24" i="2" s="1"/>
  <c r="K25" i="2"/>
  <c r="W25" i="2" s="1"/>
  <c r="K27" i="2"/>
  <c r="W27" i="2" s="1"/>
  <c r="K28" i="2"/>
  <c r="W28" i="2" s="1"/>
  <c r="K30" i="2"/>
  <c r="W30" i="2" s="1"/>
  <c r="K35" i="2"/>
  <c r="W35" i="2" s="1"/>
  <c r="K36" i="2"/>
  <c r="W36" i="2" s="1"/>
  <c r="K38" i="2"/>
  <c r="W38" i="2" s="1"/>
  <c r="K40" i="2"/>
  <c r="K41" i="2"/>
  <c r="W41" i="2" s="1"/>
  <c r="K43" i="2"/>
  <c r="W43" i="2" s="1"/>
  <c r="K46" i="2"/>
  <c r="W46" i="2" s="1"/>
  <c r="K47" i="2"/>
  <c r="W47" i="2" s="1"/>
  <c r="K50" i="2"/>
  <c r="W50" i="2" s="1"/>
  <c r="K51" i="2"/>
  <c r="W51" i="2" s="1"/>
  <c r="D16" i="2"/>
  <c r="J16" i="2"/>
  <c r="D17" i="2"/>
  <c r="J17" i="2"/>
  <c r="D18" i="2"/>
  <c r="J18" i="2"/>
  <c r="D21" i="2"/>
  <c r="J21" i="2"/>
  <c r="D23" i="2"/>
  <c r="J23" i="2"/>
  <c r="D26" i="2"/>
  <c r="J26" i="2"/>
  <c r="D27" i="2"/>
  <c r="J27" i="2"/>
  <c r="D28" i="2"/>
  <c r="J28" i="2"/>
  <c r="D31" i="2"/>
  <c r="J31" i="2"/>
  <c r="D41" i="2"/>
  <c r="J41" i="2"/>
  <c r="D43" i="2"/>
  <c r="J43" i="2"/>
  <c r="D50" i="2"/>
  <c r="J50" i="2"/>
  <c r="D19" i="2"/>
  <c r="J19" i="2"/>
  <c r="D25" i="2"/>
  <c r="J25" i="2"/>
  <c r="D32" i="2"/>
  <c r="J32" i="2"/>
  <c r="D35" i="2"/>
  <c r="J35" i="2"/>
  <c r="D37" i="2"/>
  <c r="J37" i="2"/>
  <c r="H10" i="2"/>
  <c r="D40" i="2"/>
  <c r="H11" i="2"/>
  <c r="H13" i="2"/>
  <c r="H14" i="2"/>
  <c r="H20" i="2"/>
  <c r="T21" i="2"/>
  <c r="T25" i="2"/>
  <c r="H26" i="2"/>
  <c r="P11" i="2"/>
  <c r="O49" i="2"/>
  <c r="F9" i="2"/>
  <c r="T17" i="2"/>
  <c r="H18" i="2"/>
  <c r="T18" i="2"/>
  <c r="H19" i="2"/>
  <c r="R9" i="2"/>
  <c r="H29" i="2"/>
  <c r="T29" i="2"/>
  <c r="H30" i="2"/>
  <c r="T30" i="2"/>
  <c r="H33" i="2"/>
  <c r="H35" i="2"/>
  <c r="T35" i="2"/>
  <c r="T38" i="2"/>
  <c r="F49" i="2"/>
  <c r="T52" i="2"/>
  <c r="H53" i="2"/>
  <c r="T54" i="2"/>
  <c r="H56" i="2"/>
  <c r="T56" i="2"/>
  <c r="D14" i="2"/>
  <c r="S9" i="2"/>
  <c r="G9" i="2"/>
  <c r="S49" i="2"/>
  <c r="G49" i="2"/>
  <c r="R49" i="2"/>
  <c r="N49" i="2"/>
  <c r="P50" i="2"/>
  <c r="B49" i="2"/>
  <c r="T20" i="2"/>
  <c r="H17" i="2"/>
  <c r="O9" i="2"/>
  <c r="B9" i="2"/>
  <c r="H34" i="2"/>
  <c r="C49" i="2"/>
  <c r="C9" i="2"/>
  <c r="X15" i="2" l="1"/>
  <c r="L15" i="2"/>
  <c r="L14" i="2"/>
  <c r="S8" i="2"/>
  <c r="X14" i="2"/>
  <c r="F8" i="2"/>
  <c r="P9" i="2"/>
  <c r="N8" i="2"/>
  <c r="K49" i="2"/>
  <c r="W49" i="2" s="1"/>
  <c r="T9" i="2"/>
  <c r="G8" i="2"/>
  <c r="T49" i="2"/>
  <c r="H9" i="2"/>
  <c r="J49" i="2"/>
  <c r="H49" i="2"/>
  <c r="V35" i="2"/>
  <c r="L35" i="2"/>
  <c r="V25" i="2"/>
  <c r="L25" i="2"/>
  <c r="V50" i="2"/>
  <c r="L50" i="2"/>
  <c r="V41" i="2"/>
  <c r="L41" i="2"/>
  <c r="V28" i="2"/>
  <c r="L28" i="2"/>
  <c r="V26" i="2"/>
  <c r="L26" i="2"/>
  <c r="V21" i="2"/>
  <c r="L21" i="2"/>
  <c r="V17" i="2"/>
  <c r="L17" i="2"/>
  <c r="V42" i="2"/>
  <c r="L42" i="2"/>
  <c r="V38" i="2"/>
  <c r="L38" i="2"/>
  <c r="V30" i="2"/>
  <c r="L30" i="2"/>
  <c r="V20" i="2"/>
  <c r="L20" i="2"/>
  <c r="V12" i="2"/>
  <c r="L12" i="2"/>
  <c r="V55" i="2"/>
  <c r="L55" i="2"/>
  <c r="V53" i="2"/>
  <c r="L53" i="2"/>
  <c r="V51" i="2"/>
  <c r="L51" i="2"/>
  <c r="V47" i="2"/>
  <c r="L47" i="2"/>
  <c r="V45" i="2"/>
  <c r="L45" i="2"/>
  <c r="V36" i="2"/>
  <c r="L36" i="2"/>
  <c r="V29" i="2"/>
  <c r="L29" i="2"/>
  <c r="V10" i="2"/>
  <c r="J9" i="2"/>
  <c r="L10" i="2"/>
  <c r="W10" i="2"/>
  <c r="K9" i="2"/>
  <c r="V37" i="2"/>
  <c r="L37" i="2"/>
  <c r="V32" i="2"/>
  <c r="L32" i="2"/>
  <c r="V19" i="2"/>
  <c r="L19" i="2"/>
  <c r="V43" i="2"/>
  <c r="L43" i="2"/>
  <c r="V31" i="2"/>
  <c r="L31" i="2"/>
  <c r="V27" i="2"/>
  <c r="L27" i="2"/>
  <c r="V23" i="2"/>
  <c r="L23" i="2"/>
  <c r="V18" i="2"/>
  <c r="L18" i="2"/>
  <c r="V16" i="2"/>
  <c r="L16" i="2"/>
  <c r="W40" i="2"/>
  <c r="X40" i="2" s="1"/>
  <c r="L40" i="2"/>
  <c r="V56" i="2"/>
  <c r="L56" i="2"/>
  <c r="V39" i="2"/>
  <c r="L39" i="2"/>
  <c r="V34" i="2"/>
  <c r="L34" i="2"/>
  <c r="V24" i="2"/>
  <c r="L24" i="2"/>
  <c r="V13" i="2"/>
  <c r="L13" i="2"/>
  <c r="V11" i="2"/>
  <c r="L11" i="2"/>
  <c r="V54" i="2"/>
  <c r="L54" i="2"/>
  <c r="V52" i="2"/>
  <c r="L52" i="2"/>
  <c r="V48" i="2"/>
  <c r="L48" i="2"/>
  <c r="V46" i="2"/>
  <c r="L46" i="2"/>
  <c r="V44" i="2"/>
  <c r="L44" i="2"/>
  <c r="V33" i="2"/>
  <c r="L33" i="2"/>
  <c r="V22" i="2"/>
  <c r="L22" i="2"/>
  <c r="R8" i="2"/>
  <c r="D49" i="2"/>
  <c r="B8" i="2"/>
  <c r="P49" i="2"/>
  <c r="O8" i="2"/>
  <c r="D9" i="2"/>
  <c r="C8" i="2"/>
  <c r="O10" i="4" l="1"/>
  <c r="H8" i="2"/>
  <c r="T8" i="2"/>
  <c r="X45" i="2"/>
  <c r="K8" i="2"/>
  <c r="X36" i="2"/>
  <c r="X12" i="2"/>
  <c r="X30" i="2"/>
  <c r="X28" i="2"/>
  <c r="X22" i="2"/>
  <c r="X44" i="2"/>
  <c r="X48" i="2"/>
  <c r="X54" i="2"/>
  <c r="X13" i="2"/>
  <c r="X34" i="2"/>
  <c r="X56" i="2"/>
  <c r="X16" i="2"/>
  <c r="X23" i="2"/>
  <c r="X19" i="2"/>
  <c r="X37" i="2"/>
  <c r="X47" i="2"/>
  <c r="X35" i="2"/>
  <c r="X53" i="2"/>
  <c r="X21" i="2"/>
  <c r="X50" i="2"/>
  <c r="X33" i="2"/>
  <c r="X46" i="2"/>
  <c r="X52" i="2"/>
  <c r="X11" i="2"/>
  <c r="X39" i="2"/>
  <c r="X18" i="2"/>
  <c r="X27" i="2"/>
  <c r="X43" i="2"/>
  <c r="X32" i="2"/>
  <c r="X42" i="2"/>
  <c r="X29" i="2"/>
  <c r="X51" i="2"/>
  <c r="X55" i="2"/>
  <c r="X20" i="2"/>
  <c r="X38" i="2"/>
  <c r="X17" i="2"/>
  <c r="X26" i="2"/>
  <c r="X41" i="2"/>
  <c r="X25" i="2"/>
  <c r="X31" i="2"/>
  <c r="X24" i="2"/>
  <c r="P8" i="2"/>
  <c r="V49" i="2"/>
  <c r="L49" i="2"/>
  <c r="J8" i="2"/>
  <c r="L9" i="2"/>
  <c r="V9" i="2"/>
  <c r="X10" i="2"/>
  <c r="W9" i="2"/>
  <c r="W8" i="2" s="1"/>
  <c r="D8" i="2"/>
  <c r="L8" i="2" l="1"/>
  <c r="X49" i="2"/>
  <c r="V8" i="2"/>
  <c r="X9" i="2"/>
  <c r="X8" i="2" l="1"/>
  <c r="F26" i="3"/>
  <c r="F54" i="3"/>
  <c r="C45" i="3"/>
  <c r="F18" i="3"/>
  <c r="F20" i="3"/>
  <c r="N39" i="3"/>
  <c r="B17" i="3"/>
  <c r="G11" i="3"/>
  <c r="R14" i="3"/>
  <c r="R10" i="3"/>
  <c r="G20" i="3"/>
  <c r="R39" i="3"/>
  <c r="G36" i="3"/>
  <c r="F14" i="3"/>
  <c r="F55" i="3"/>
  <c r="G28" i="3"/>
  <c r="B14" i="3"/>
  <c r="O47" i="3"/>
  <c r="C23" i="3"/>
  <c r="S10" i="3"/>
  <c r="N56" i="3"/>
  <c r="F28" i="3"/>
  <c r="O53" i="3"/>
  <c r="N14" i="3"/>
  <c r="B35" i="3"/>
  <c r="G43" i="3"/>
  <c r="G16" i="3"/>
  <c r="R26" i="3"/>
  <c r="C11" i="3"/>
  <c r="R12" i="3"/>
  <c r="O24" i="3"/>
  <c r="C52" i="3"/>
  <c r="O45" i="3"/>
  <c r="O16" i="3"/>
  <c r="G52" i="3"/>
  <c r="O33" i="3"/>
  <c r="R25" i="3"/>
  <c r="C22" i="3"/>
  <c r="N46" i="3"/>
  <c r="O11" i="3"/>
  <c r="F47" i="3"/>
  <c r="R41" i="3"/>
  <c r="N35" i="3"/>
  <c r="N15" i="3"/>
  <c r="R13" i="3"/>
  <c r="N23" i="3"/>
  <c r="N12" i="3"/>
  <c r="R18" i="3"/>
  <c r="C46" i="3"/>
  <c r="G56" i="3"/>
  <c r="S31" i="3"/>
  <c r="B45" i="3"/>
  <c r="O20" i="3"/>
  <c r="R30" i="3"/>
  <c r="R53" i="3"/>
  <c r="G15" i="3"/>
  <c r="N29" i="3"/>
  <c r="O18" i="3"/>
  <c r="S47" i="3"/>
  <c r="F40" i="3"/>
  <c r="N25" i="3"/>
  <c r="R35" i="3"/>
  <c r="C50" i="3"/>
  <c r="O25" i="3"/>
  <c r="R16" i="3"/>
  <c r="S34" i="3"/>
  <c r="C37" i="3"/>
  <c r="B27" i="3"/>
  <c r="F52" i="3"/>
  <c r="R45" i="3"/>
  <c r="B55" i="3"/>
  <c r="B13" i="3"/>
  <c r="B47" i="3"/>
  <c r="F37" i="3"/>
  <c r="G55" i="3"/>
  <c r="S51" i="3"/>
  <c r="F13" i="3"/>
  <c r="G13" i="3"/>
  <c r="F43" i="3"/>
  <c r="G51" i="3"/>
  <c r="C28" i="3"/>
  <c r="C48" i="3"/>
  <c r="S12" i="3"/>
  <c r="R40" i="3"/>
  <c r="O36" i="3"/>
  <c r="G34" i="3"/>
  <c r="G14" i="3"/>
  <c r="B43" i="3"/>
  <c r="B56" i="3"/>
  <c r="S50" i="3"/>
  <c r="R34" i="3"/>
  <c r="B33" i="3"/>
  <c r="G42" i="3"/>
  <c r="F42" i="3"/>
  <c r="C14" i="3"/>
  <c r="N16" i="3"/>
  <c r="S13" i="3"/>
  <c r="B40" i="3"/>
  <c r="G23" i="3"/>
  <c r="C15" i="3"/>
  <c r="C21" i="3"/>
  <c r="N27" i="3"/>
  <c r="B25" i="3"/>
  <c r="S26" i="3"/>
  <c r="N38" i="3"/>
  <c r="N32" i="3"/>
  <c r="C13" i="3"/>
  <c r="B15" i="3"/>
  <c r="F15" i="3"/>
  <c r="O50" i="3"/>
  <c r="R44" i="3"/>
  <c r="O17" i="3"/>
  <c r="S33" i="3"/>
  <c r="C32" i="3"/>
  <c r="F11" i="3"/>
  <c r="G27" i="3"/>
  <c r="O32" i="3"/>
  <c r="G29" i="3"/>
  <c r="N45" i="3"/>
  <c r="S29" i="3"/>
  <c r="N54" i="3"/>
  <c r="G48" i="3"/>
  <c r="C17" i="3"/>
  <c r="R28" i="3"/>
  <c r="B38" i="3"/>
  <c r="N48" i="3"/>
  <c r="B24" i="3"/>
  <c r="G53" i="3"/>
  <c r="N34" i="3"/>
  <c r="S42" i="3"/>
  <c r="F24" i="3"/>
  <c r="R15" i="3"/>
  <c r="B22" i="3"/>
  <c r="F50" i="3"/>
  <c r="S25" i="3"/>
  <c r="S54" i="3"/>
  <c r="B10" i="3"/>
  <c r="F27" i="3"/>
  <c r="F30" i="3"/>
  <c r="S39" i="3"/>
  <c r="F16" i="3"/>
  <c r="C16" i="3"/>
  <c r="G30" i="3"/>
  <c r="S19" i="3"/>
  <c r="G21" i="3"/>
  <c r="G25" i="3"/>
  <c r="R23" i="3"/>
  <c r="S11" i="3"/>
  <c r="F38" i="3"/>
  <c r="F17" i="3"/>
  <c r="N26" i="3"/>
  <c r="N11" i="3"/>
  <c r="O38" i="3"/>
  <c r="S14" i="3"/>
  <c r="C27" i="3"/>
  <c r="G18" i="3"/>
  <c r="F12" i="3"/>
  <c r="R27" i="3"/>
  <c r="G22" i="3"/>
  <c r="N40" i="3"/>
  <c r="N20" i="3"/>
  <c r="O29" i="3"/>
  <c r="N33" i="3"/>
  <c r="G32" i="3"/>
  <c r="G40" i="3"/>
  <c r="F41" i="3"/>
  <c r="F33" i="3"/>
  <c r="R24" i="3"/>
  <c r="C56" i="3"/>
  <c r="F45" i="3"/>
  <c r="S41" i="3"/>
  <c r="S48" i="3"/>
  <c r="C31" i="3"/>
  <c r="F48" i="3"/>
  <c r="N37" i="3"/>
  <c r="C41" i="3"/>
  <c r="B50" i="3"/>
  <c r="O42" i="3"/>
  <c r="O40" i="3"/>
  <c r="C36" i="3"/>
  <c r="B12" i="3"/>
  <c r="N10" i="3"/>
  <c r="N47" i="3"/>
  <c r="O21" i="3"/>
  <c r="R22" i="3"/>
  <c r="C34" i="3"/>
  <c r="S24" i="3"/>
  <c r="C10" i="3"/>
  <c r="B53" i="3"/>
  <c r="N24" i="3"/>
  <c r="R37" i="3"/>
  <c r="O51" i="3"/>
  <c r="F10" i="3"/>
  <c r="S16" i="3"/>
  <c r="B46" i="3"/>
  <c r="S21" i="3"/>
  <c r="C18" i="3"/>
  <c r="F39" i="3"/>
  <c r="N19" i="3"/>
  <c r="S40" i="3"/>
  <c r="C39" i="3"/>
  <c r="B26" i="3"/>
  <c r="B44" i="3"/>
  <c r="S43" i="3"/>
  <c r="F53" i="3"/>
  <c r="S22" i="3"/>
  <c r="C30" i="3"/>
  <c r="G24" i="3"/>
  <c r="S55" i="3"/>
  <c r="C51" i="3"/>
  <c r="O41" i="3"/>
  <c r="R47" i="3"/>
  <c r="R43" i="3"/>
  <c r="C20" i="3"/>
  <c r="B39" i="3"/>
  <c r="R56" i="3"/>
  <c r="N31" i="3"/>
  <c r="O43" i="3"/>
  <c r="B16" i="3"/>
  <c r="R21" i="3"/>
  <c r="R48" i="3"/>
  <c r="F25" i="3"/>
  <c r="C26" i="3"/>
  <c r="B32" i="3"/>
  <c r="R33" i="3"/>
  <c r="F22" i="3"/>
  <c r="F46" i="3"/>
  <c r="F56" i="3"/>
  <c r="B42" i="3"/>
  <c r="S44" i="3"/>
  <c r="N52" i="3"/>
  <c r="N30" i="3"/>
  <c r="S15" i="3"/>
  <c r="O54" i="3"/>
  <c r="S32" i="3"/>
  <c r="B21" i="3"/>
  <c r="F31" i="3"/>
  <c r="F44" i="3"/>
  <c r="S56" i="3"/>
  <c r="O35" i="3"/>
  <c r="S35" i="3"/>
  <c r="C29" i="3"/>
  <c r="B41" i="3"/>
  <c r="N51" i="3"/>
  <c r="N44" i="3"/>
  <c r="G44" i="3"/>
  <c r="B11" i="3"/>
  <c r="N17" i="3"/>
  <c r="G38" i="3"/>
  <c r="B54" i="3"/>
  <c r="B29" i="3"/>
  <c r="G37" i="3"/>
  <c r="S18" i="3"/>
  <c r="C12" i="3"/>
  <c r="N42" i="3"/>
  <c r="O48" i="3"/>
  <c r="S17" i="3"/>
  <c r="R54" i="3"/>
  <c r="B19" i="3"/>
  <c r="O28" i="3"/>
  <c r="R11" i="3"/>
  <c r="O46" i="3"/>
  <c r="O52" i="3"/>
  <c r="N36" i="3"/>
  <c r="G54" i="3"/>
  <c r="C33" i="3"/>
  <c r="R36" i="3"/>
  <c r="G35" i="3"/>
  <c r="F36" i="3"/>
  <c r="G17" i="3"/>
  <c r="G41" i="3"/>
  <c r="S53" i="3"/>
  <c r="N18" i="3"/>
  <c r="R29" i="3"/>
  <c r="N55" i="3"/>
  <c r="O13" i="3"/>
  <c r="N28" i="3"/>
  <c r="N43" i="3"/>
  <c r="G33" i="3"/>
  <c r="O56" i="3"/>
  <c r="F19" i="3"/>
  <c r="C54" i="3"/>
  <c r="R31" i="3"/>
  <c r="O37" i="3"/>
  <c r="O55" i="3"/>
  <c r="C19" i="3"/>
  <c r="C53" i="3"/>
  <c r="C40" i="3"/>
  <c r="G39" i="3"/>
  <c r="O34" i="3"/>
  <c r="O44" i="3"/>
  <c r="B52" i="3"/>
  <c r="R55" i="3"/>
  <c r="O14" i="3"/>
  <c r="F23" i="3"/>
  <c r="R19" i="3"/>
  <c r="G46" i="3"/>
  <c r="S23" i="3"/>
  <c r="R46" i="3"/>
  <c r="F35" i="3"/>
  <c r="N50" i="3"/>
  <c r="B20" i="3"/>
  <c r="S36" i="3"/>
  <c r="R17" i="3"/>
  <c r="B30" i="3"/>
  <c r="F32" i="3"/>
  <c r="C35" i="3"/>
  <c r="B37" i="3"/>
  <c r="O23" i="3"/>
  <c r="S37" i="3"/>
  <c r="C47" i="3"/>
  <c r="S28" i="3"/>
  <c r="C44" i="3"/>
  <c r="S46" i="3"/>
  <c r="F51" i="3"/>
  <c r="O27" i="3"/>
  <c r="C38" i="3"/>
  <c r="B23" i="3"/>
  <c r="B28" i="3"/>
  <c r="B34" i="3"/>
  <c r="O15" i="3"/>
  <c r="R52" i="3"/>
  <c r="S52" i="3"/>
  <c r="R50" i="3"/>
  <c r="F34" i="3"/>
  <c r="N41" i="3"/>
  <c r="O19" i="3"/>
  <c r="O30" i="3"/>
  <c r="G50" i="3"/>
  <c r="O12" i="3"/>
  <c r="O26" i="3"/>
  <c r="O31" i="3"/>
  <c r="C24" i="3"/>
  <c r="C43" i="3"/>
  <c r="G10" i="3"/>
  <c r="F21" i="3"/>
  <c r="S20" i="3"/>
  <c r="R51" i="3"/>
  <c r="O39" i="3"/>
  <c r="N13" i="3"/>
  <c r="B31" i="3"/>
  <c r="R20" i="3"/>
  <c r="S30" i="3"/>
  <c r="G31" i="3"/>
  <c r="S45" i="3"/>
  <c r="G19" i="3"/>
  <c r="G12" i="3"/>
  <c r="R42" i="3"/>
  <c r="N21" i="3"/>
  <c r="R38" i="3"/>
  <c r="S27" i="3"/>
  <c r="O22" i="3"/>
  <c r="B18" i="3"/>
  <c r="B51" i="3"/>
  <c r="N53" i="3"/>
  <c r="N22" i="3"/>
  <c r="C42" i="3"/>
  <c r="R32" i="3"/>
  <c r="B36" i="3"/>
  <c r="G45" i="3"/>
  <c r="C55" i="3"/>
  <c r="C25" i="3"/>
  <c r="F29" i="3"/>
  <c r="B48" i="3"/>
  <c r="G47" i="3"/>
  <c r="G26" i="3"/>
  <c r="S38" i="3"/>
  <c r="S38" i="4" l="1"/>
  <c r="G26" i="4"/>
  <c r="G47" i="4"/>
  <c r="B48" i="4"/>
  <c r="D48" i="3"/>
  <c r="J48" i="3"/>
  <c r="H29" i="3"/>
  <c r="F29" i="4"/>
  <c r="C25" i="4"/>
  <c r="K25" i="3"/>
  <c r="W25" i="3" s="1"/>
  <c r="C55" i="4"/>
  <c r="K55" i="3"/>
  <c r="W55" i="3" s="1"/>
  <c r="G45" i="4"/>
  <c r="D36" i="3"/>
  <c r="B36" i="4"/>
  <c r="J36" i="3"/>
  <c r="R32" i="4"/>
  <c r="T32" i="3"/>
  <c r="K42" i="3"/>
  <c r="W42" i="3" s="1"/>
  <c r="C42" i="4"/>
  <c r="N22" i="4"/>
  <c r="P22" i="3"/>
  <c r="P53" i="3"/>
  <c r="N53" i="4"/>
  <c r="B51" i="4"/>
  <c r="D51" i="3"/>
  <c r="J51" i="3"/>
  <c r="J18" i="3"/>
  <c r="D18" i="3"/>
  <c r="B18" i="4"/>
  <c r="O22" i="4"/>
  <c r="S27" i="4"/>
  <c r="R38" i="4"/>
  <c r="T38" i="4" s="1"/>
  <c r="T38" i="3"/>
  <c r="P21" i="3"/>
  <c r="N21" i="4"/>
  <c r="T42" i="3"/>
  <c r="R42" i="4"/>
  <c r="G12" i="4"/>
  <c r="G19" i="4"/>
  <c r="S45" i="4"/>
  <c r="G31" i="4"/>
  <c r="S30" i="4"/>
  <c r="R20" i="4"/>
  <c r="T20" i="3"/>
  <c r="D31" i="3"/>
  <c r="B31" i="4"/>
  <c r="J31" i="3"/>
  <c r="P13" i="3"/>
  <c r="N13" i="4"/>
  <c r="O39" i="4"/>
  <c r="T51" i="3"/>
  <c r="R51" i="4"/>
  <c r="S20" i="4"/>
  <c r="F21" i="4"/>
  <c r="H21" i="3"/>
  <c r="G9" i="3"/>
  <c r="G8" i="3" s="1"/>
  <c r="G10" i="4"/>
  <c r="C43" i="4"/>
  <c r="K43" i="3"/>
  <c r="W43" i="3" s="1"/>
  <c r="C24" i="4"/>
  <c r="K24" i="3"/>
  <c r="W24" i="3" s="1"/>
  <c r="O31" i="4"/>
  <c r="O26" i="4"/>
  <c r="O12" i="4"/>
  <c r="G49" i="3"/>
  <c r="G50" i="4"/>
  <c r="O30" i="4"/>
  <c r="O19" i="4"/>
  <c r="N41" i="4"/>
  <c r="P41" i="3"/>
  <c r="H34" i="3"/>
  <c r="F34" i="4"/>
  <c r="T50" i="3"/>
  <c r="R49" i="3"/>
  <c r="R50" i="4"/>
  <c r="S52" i="4"/>
  <c r="R52" i="4"/>
  <c r="T52" i="3"/>
  <c r="O15" i="4"/>
  <c r="D34" i="3"/>
  <c r="J34" i="3"/>
  <c r="B34" i="4"/>
  <c r="D28" i="3"/>
  <c r="J28" i="3"/>
  <c r="B28" i="4"/>
  <c r="J23" i="3"/>
  <c r="B23" i="4"/>
  <c r="D23" i="3"/>
  <c r="C38" i="4"/>
  <c r="K38" i="3"/>
  <c r="W38" i="3" s="1"/>
  <c r="O27" i="4"/>
  <c r="F51" i="4"/>
  <c r="H51" i="3"/>
  <c r="S46" i="4"/>
  <c r="T46" i="4" s="1"/>
  <c r="K44" i="3"/>
  <c r="W44" i="3" s="1"/>
  <c r="C44" i="4"/>
  <c r="S28" i="4"/>
  <c r="C47" i="4"/>
  <c r="K47" i="4" s="1"/>
  <c r="K47" i="3"/>
  <c r="W47" i="3" s="1"/>
  <c r="S37" i="4"/>
  <c r="O23" i="4"/>
  <c r="B37" i="4"/>
  <c r="J37" i="3"/>
  <c r="D37" i="3"/>
  <c r="K35" i="3"/>
  <c r="W35" i="3" s="1"/>
  <c r="C35" i="4"/>
  <c r="K35" i="4" s="1"/>
  <c r="F32" i="4"/>
  <c r="H32" i="3"/>
  <c r="B30" i="4"/>
  <c r="D30" i="3"/>
  <c r="J30" i="3"/>
  <c r="R17" i="4"/>
  <c r="T17" i="3"/>
  <c r="S36" i="4"/>
  <c r="B20" i="4"/>
  <c r="D20" i="3"/>
  <c r="J20" i="3"/>
  <c r="P50" i="3"/>
  <c r="N49" i="3"/>
  <c r="N50" i="4"/>
  <c r="H35" i="3"/>
  <c r="F35" i="4"/>
  <c r="H35" i="4" s="1"/>
  <c r="R46" i="4"/>
  <c r="T46" i="3"/>
  <c r="S23" i="4"/>
  <c r="G46" i="4"/>
  <c r="R19" i="4"/>
  <c r="T19" i="3"/>
  <c r="H23" i="3"/>
  <c r="F23" i="4"/>
  <c r="O14" i="4"/>
  <c r="R55" i="4"/>
  <c r="T55" i="3"/>
  <c r="D52" i="3"/>
  <c r="J52" i="3"/>
  <c r="B52" i="4"/>
  <c r="O44" i="4"/>
  <c r="O34" i="4"/>
  <c r="G39" i="4"/>
  <c r="K40" i="3"/>
  <c r="W40" i="3" s="1"/>
  <c r="C40" i="4"/>
  <c r="C53" i="4"/>
  <c r="K53" i="3"/>
  <c r="W53" i="3" s="1"/>
  <c r="C19" i="4"/>
  <c r="K19" i="4" s="1"/>
  <c r="K19" i="3"/>
  <c r="W19" i="3" s="1"/>
  <c r="O55" i="4"/>
  <c r="O37" i="4"/>
  <c r="R31" i="4"/>
  <c r="T31" i="3"/>
  <c r="K54" i="3"/>
  <c r="W54" i="3" s="1"/>
  <c r="C54" i="4"/>
  <c r="H19" i="3"/>
  <c r="F19" i="4"/>
  <c r="H19" i="4" s="1"/>
  <c r="O56" i="4"/>
  <c r="G33" i="4"/>
  <c r="P43" i="3"/>
  <c r="N43" i="4"/>
  <c r="N28" i="4"/>
  <c r="P28" i="4" s="1"/>
  <c r="P28" i="3"/>
  <c r="O13" i="4"/>
  <c r="N55" i="4"/>
  <c r="P55" i="3"/>
  <c r="R29" i="4"/>
  <c r="T29" i="3"/>
  <c r="N18" i="4"/>
  <c r="P18" i="3"/>
  <c r="S53" i="4"/>
  <c r="G41" i="4"/>
  <c r="G17" i="4"/>
  <c r="H36" i="3"/>
  <c r="F36" i="4"/>
  <c r="G35" i="4"/>
  <c r="T36" i="3"/>
  <c r="R36" i="4"/>
  <c r="T36" i="4" s="1"/>
  <c r="K33" i="3"/>
  <c r="W33" i="3" s="1"/>
  <c r="C33" i="4"/>
  <c r="G54" i="4"/>
  <c r="P36" i="3"/>
  <c r="N36" i="4"/>
  <c r="O52" i="4"/>
  <c r="O46" i="4"/>
  <c r="R11" i="4"/>
  <c r="T11" i="3"/>
  <c r="O28" i="4"/>
  <c r="B19" i="4"/>
  <c r="J19" i="3"/>
  <c r="D19" i="3"/>
  <c r="T54" i="3"/>
  <c r="R54" i="4"/>
  <c r="S17" i="4"/>
  <c r="T17" i="4" s="1"/>
  <c r="O48" i="4"/>
  <c r="P42" i="3"/>
  <c r="N42" i="4"/>
  <c r="K12" i="3"/>
  <c r="W12" i="3" s="1"/>
  <c r="C12" i="4"/>
  <c r="K12" i="4" s="1"/>
  <c r="S18" i="4"/>
  <c r="G37" i="4"/>
  <c r="J29" i="3"/>
  <c r="D29" i="3"/>
  <c r="B29" i="4"/>
  <c r="D29" i="4" s="1"/>
  <c r="J54" i="3"/>
  <c r="D54" i="3"/>
  <c r="B54" i="4"/>
  <c r="G38" i="4"/>
  <c r="N17" i="4"/>
  <c r="P17" i="3"/>
  <c r="D11" i="3"/>
  <c r="B11" i="4"/>
  <c r="J11" i="3"/>
  <c r="G44" i="4"/>
  <c r="N44" i="4"/>
  <c r="P44" i="4" s="1"/>
  <c r="P44" i="3"/>
  <c r="N51" i="4"/>
  <c r="P51" i="3"/>
  <c r="B41" i="4"/>
  <c r="J41" i="3"/>
  <c r="D41" i="3"/>
  <c r="K29" i="3"/>
  <c r="W29" i="3" s="1"/>
  <c r="C29" i="4"/>
  <c r="S35" i="4"/>
  <c r="O35" i="4"/>
  <c r="S56" i="4"/>
  <c r="F44" i="4"/>
  <c r="H44" i="3"/>
  <c r="F31" i="4"/>
  <c r="H31" i="3"/>
  <c r="J21" i="3"/>
  <c r="D21" i="3"/>
  <c r="B21" i="4"/>
  <c r="S32" i="4"/>
  <c r="O54" i="4"/>
  <c r="S15" i="4"/>
  <c r="P30" i="3"/>
  <c r="N30" i="4"/>
  <c r="P30" i="4" s="1"/>
  <c r="P52" i="3"/>
  <c r="N52" i="4"/>
  <c r="P52" i="4" s="1"/>
  <c r="S44" i="4"/>
  <c r="B42" i="4"/>
  <c r="J42" i="3"/>
  <c r="D42" i="3"/>
  <c r="F56" i="4"/>
  <c r="H56" i="3"/>
  <c r="H46" i="3"/>
  <c r="F46" i="4"/>
  <c r="H46" i="4" s="1"/>
  <c r="H22" i="3"/>
  <c r="F22" i="4"/>
  <c r="R33" i="4"/>
  <c r="T33" i="3"/>
  <c r="J32" i="3"/>
  <c r="B32" i="4"/>
  <c r="D32" i="3"/>
  <c r="K26" i="3"/>
  <c r="W26" i="3" s="1"/>
  <c r="C26" i="4"/>
  <c r="K26" i="4" s="1"/>
  <c r="F25" i="4"/>
  <c r="H25" i="3"/>
  <c r="T48" i="3"/>
  <c r="R48" i="4"/>
  <c r="T21" i="3"/>
  <c r="R21" i="4"/>
  <c r="B16" i="4"/>
  <c r="J16" i="3"/>
  <c r="D16" i="3"/>
  <c r="O43" i="4"/>
  <c r="P31" i="3"/>
  <c r="N31" i="4"/>
  <c r="P31" i="4" s="1"/>
  <c r="R56" i="4"/>
  <c r="T56" i="4" s="1"/>
  <c r="T56" i="3"/>
  <c r="J39" i="3"/>
  <c r="D39" i="3"/>
  <c r="B39" i="4"/>
  <c r="C20" i="4"/>
  <c r="K20" i="3"/>
  <c r="W20" i="3" s="1"/>
  <c r="T43" i="3"/>
  <c r="R43" i="4"/>
  <c r="T43" i="4" s="1"/>
  <c r="T47" i="3"/>
  <c r="R47" i="4"/>
  <c r="O41" i="4"/>
  <c r="K51" i="3"/>
  <c r="W51" i="3" s="1"/>
  <c r="C51" i="4"/>
  <c r="S55" i="4"/>
  <c r="G24" i="4"/>
  <c r="C30" i="4"/>
  <c r="K30" i="3"/>
  <c r="W30" i="3" s="1"/>
  <c r="S22" i="4"/>
  <c r="H53" i="3"/>
  <c r="F53" i="4"/>
  <c r="S43" i="4"/>
  <c r="J44" i="3"/>
  <c r="B44" i="4"/>
  <c r="J44" i="4" s="1"/>
  <c r="D44" i="3"/>
  <c r="J26" i="3"/>
  <c r="D26" i="3"/>
  <c r="B26" i="4"/>
  <c r="C39" i="4"/>
  <c r="K39" i="4" s="1"/>
  <c r="K39" i="3"/>
  <c r="W39" i="3" s="1"/>
  <c r="S40" i="4"/>
  <c r="N19" i="4"/>
  <c r="P19" i="4" s="1"/>
  <c r="P19" i="3"/>
  <c r="F39" i="4"/>
  <c r="H39" i="4" s="1"/>
  <c r="H39" i="3"/>
  <c r="C18" i="4"/>
  <c r="K18" i="3"/>
  <c r="W18" i="3" s="1"/>
  <c r="S21" i="4"/>
  <c r="J46" i="3"/>
  <c r="B46" i="4"/>
  <c r="D46" i="3"/>
  <c r="S16" i="4"/>
  <c r="F10" i="4"/>
  <c r="F9" i="3"/>
  <c r="H10" i="3"/>
  <c r="O51" i="4"/>
  <c r="T37" i="3"/>
  <c r="R37" i="4"/>
  <c r="P24" i="3"/>
  <c r="N24" i="4"/>
  <c r="J53" i="3"/>
  <c r="B53" i="4"/>
  <c r="D53" i="3"/>
  <c r="K10" i="3"/>
  <c r="C10" i="4"/>
  <c r="C9" i="3"/>
  <c r="S24" i="4"/>
  <c r="T24" i="4" s="1"/>
  <c r="K34" i="3"/>
  <c r="W34" i="3" s="1"/>
  <c r="C34" i="4"/>
  <c r="T22" i="3"/>
  <c r="R22" i="4"/>
  <c r="T22" i="4" s="1"/>
  <c r="O21" i="4"/>
  <c r="N47" i="4"/>
  <c r="P47" i="3"/>
  <c r="N9" i="3"/>
  <c r="N8" i="3" s="1"/>
  <c r="P10" i="3"/>
  <c r="N10" i="4"/>
  <c r="D12" i="3"/>
  <c r="J12" i="3"/>
  <c r="B12" i="4"/>
  <c r="C36" i="4"/>
  <c r="K36" i="3"/>
  <c r="W36" i="3" s="1"/>
  <c r="O40" i="4"/>
  <c r="O42" i="4"/>
  <c r="J50" i="3"/>
  <c r="B50" i="4"/>
  <c r="B49" i="3"/>
  <c r="D50" i="3"/>
  <c r="C41" i="4"/>
  <c r="K41" i="3"/>
  <c r="W41" i="3" s="1"/>
  <c r="N37" i="4"/>
  <c r="P37" i="3"/>
  <c r="F48" i="4"/>
  <c r="H48" i="3"/>
  <c r="K31" i="3"/>
  <c r="W31" i="3" s="1"/>
  <c r="C31" i="4"/>
  <c r="K31" i="4" s="1"/>
  <c r="S48" i="4"/>
  <c r="S41" i="4"/>
  <c r="F45" i="4"/>
  <c r="H45" i="4" s="1"/>
  <c r="H45" i="3"/>
  <c r="C56" i="4"/>
  <c r="K56" i="3"/>
  <c r="W56" i="3" s="1"/>
  <c r="T24" i="3"/>
  <c r="R24" i="4"/>
  <c r="H33" i="3"/>
  <c r="F33" i="4"/>
  <c r="H33" i="4" s="1"/>
  <c r="F41" i="4"/>
  <c r="H41" i="4" s="1"/>
  <c r="H41" i="3"/>
  <c r="G40" i="4"/>
  <c r="G32" i="4"/>
  <c r="P33" i="3"/>
  <c r="N33" i="4"/>
  <c r="O29" i="4"/>
  <c r="P20" i="3"/>
  <c r="N20" i="4"/>
  <c r="P40" i="3"/>
  <c r="N40" i="4"/>
  <c r="G22" i="4"/>
  <c r="T27" i="3"/>
  <c r="R27" i="4"/>
  <c r="T27" i="4" s="1"/>
  <c r="F12" i="4"/>
  <c r="H12" i="4" s="1"/>
  <c r="H12" i="3"/>
  <c r="G18" i="4"/>
  <c r="K27" i="3"/>
  <c r="W27" i="3" s="1"/>
  <c r="C27" i="4"/>
  <c r="S14" i="4"/>
  <c r="O38" i="4"/>
  <c r="N11" i="4"/>
  <c r="P11" i="3"/>
  <c r="P26" i="3"/>
  <c r="N26" i="4"/>
  <c r="P26" i="4" s="1"/>
  <c r="H17" i="3"/>
  <c r="F17" i="4"/>
  <c r="F38" i="4"/>
  <c r="H38" i="4" s="1"/>
  <c r="H38" i="3"/>
  <c r="S11" i="4"/>
  <c r="R23" i="4"/>
  <c r="T23" i="4" s="1"/>
  <c r="T23" i="3"/>
  <c r="G25" i="4"/>
  <c r="G21" i="4"/>
  <c r="S19" i="4"/>
  <c r="T19" i="4" s="1"/>
  <c r="G30" i="4"/>
  <c r="K16" i="3"/>
  <c r="W16" i="3" s="1"/>
  <c r="C16" i="4"/>
  <c r="F16" i="4"/>
  <c r="H16" i="3"/>
  <c r="S39" i="4"/>
  <c r="H30" i="3"/>
  <c r="F30" i="4"/>
  <c r="F27" i="4"/>
  <c r="H27" i="3"/>
  <c r="D10" i="3"/>
  <c r="J10" i="3"/>
  <c r="B9" i="3"/>
  <c r="B10" i="4"/>
  <c r="S54" i="4"/>
  <c r="S25" i="4"/>
  <c r="H50" i="3"/>
  <c r="F50" i="4"/>
  <c r="F49" i="3"/>
  <c r="B22" i="4"/>
  <c r="D22" i="3"/>
  <c r="J22" i="3"/>
  <c r="T15" i="3"/>
  <c r="R15" i="4"/>
  <c r="F24" i="4"/>
  <c r="H24" i="4" s="1"/>
  <c r="H24" i="3"/>
  <c r="S42" i="4"/>
  <c r="N34" i="4"/>
  <c r="P34" i="4" s="1"/>
  <c r="P34" i="3"/>
  <c r="G53" i="4"/>
  <c r="K53" i="4" s="1"/>
  <c r="J24" i="3"/>
  <c r="D24" i="3"/>
  <c r="B24" i="4"/>
  <c r="P48" i="3"/>
  <c r="N48" i="4"/>
  <c r="B38" i="4"/>
  <c r="D38" i="3"/>
  <c r="J38" i="3"/>
  <c r="R28" i="4"/>
  <c r="T28" i="4" s="1"/>
  <c r="T28" i="3"/>
  <c r="K17" i="3"/>
  <c r="W17" i="3" s="1"/>
  <c r="C17" i="4"/>
  <c r="K17" i="4" s="1"/>
  <c r="W17" i="4" s="1"/>
  <c r="G48" i="4"/>
  <c r="P54" i="3"/>
  <c r="N54" i="4"/>
  <c r="P54" i="4" s="1"/>
  <c r="S29" i="4"/>
  <c r="T29" i="4" s="1"/>
  <c r="N45" i="4"/>
  <c r="P45" i="3"/>
  <c r="G29" i="4"/>
  <c r="O32" i="4"/>
  <c r="G27" i="4"/>
  <c r="H27" i="4" s="1"/>
  <c r="F11" i="4"/>
  <c r="H11" i="3"/>
  <c r="K32" i="3"/>
  <c r="W32" i="3" s="1"/>
  <c r="C32" i="4"/>
  <c r="K32" i="4" s="1"/>
  <c r="S33" i="4"/>
  <c r="O17" i="4"/>
  <c r="T44" i="3"/>
  <c r="R44" i="4"/>
  <c r="O49" i="3"/>
  <c r="P49" i="3" s="1"/>
  <c r="O50" i="4"/>
  <c r="H15" i="3"/>
  <c r="F15" i="4"/>
  <c r="J15" i="3"/>
  <c r="B15" i="4"/>
  <c r="D15" i="3"/>
  <c r="K13" i="3"/>
  <c r="W13" i="3" s="1"/>
  <c r="C13" i="4"/>
  <c r="N32" i="4"/>
  <c r="P32" i="3"/>
  <c r="P38" i="3"/>
  <c r="N38" i="4"/>
  <c r="S26" i="4"/>
  <c r="B25" i="4"/>
  <c r="D25" i="3"/>
  <c r="J25" i="3"/>
  <c r="P27" i="3"/>
  <c r="N27" i="4"/>
  <c r="K21" i="3"/>
  <c r="W21" i="3" s="1"/>
  <c r="C21" i="4"/>
  <c r="K21" i="4" s="1"/>
  <c r="W21" i="4" s="1"/>
  <c r="C15" i="4"/>
  <c r="K15" i="3"/>
  <c r="W15" i="3" s="1"/>
  <c r="G23" i="4"/>
  <c r="D40" i="3"/>
  <c r="J40" i="3"/>
  <c r="B40" i="4"/>
  <c r="S13" i="4"/>
  <c r="N16" i="4"/>
  <c r="P16" i="3"/>
  <c r="C14" i="4"/>
  <c r="K14" i="3"/>
  <c r="W14" i="3" s="1"/>
  <c r="F42" i="4"/>
  <c r="H42" i="3"/>
  <c r="G42" i="4"/>
  <c r="H42" i="4" s="1"/>
  <c r="B33" i="4"/>
  <c r="J33" i="3"/>
  <c r="D33" i="3"/>
  <c r="R34" i="4"/>
  <c r="T34" i="3"/>
  <c r="S49" i="3"/>
  <c r="S50" i="4"/>
  <c r="D56" i="3"/>
  <c r="J56" i="3"/>
  <c r="B56" i="4"/>
  <c r="B43" i="4"/>
  <c r="J43" i="3"/>
  <c r="D43" i="3"/>
  <c r="G14" i="4"/>
  <c r="G34" i="4"/>
  <c r="K34" i="4" s="1"/>
  <c r="O36" i="4"/>
  <c r="R40" i="4"/>
  <c r="T40" i="4" s="1"/>
  <c r="T40" i="3"/>
  <c r="S12" i="4"/>
  <c r="C48" i="4"/>
  <c r="D48" i="4" s="1"/>
  <c r="K48" i="3"/>
  <c r="W48" i="3" s="1"/>
  <c r="C28" i="4"/>
  <c r="K28" i="3"/>
  <c r="W28" i="3" s="1"/>
  <c r="G51" i="4"/>
  <c r="H43" i="3"/>
  <c r="F43" i="4"/>
  <c r="G13" i="4"/>
  <c r="K13" i="4" s="1"/>
  <c r="W13" i="4" s="1"/>
  <c r="F13" i="4"/>
  <c r="H13" i="4" s="1"/>
  <c r="H13" i="3"/>
  <c r="S51" i="4"/>
  <c r="G55" i="4"/>
  <c r="H37" i="3"/>
  <c r="F37" i="4"/>
  <c r="B47" i="4"/>
  <c r="J47" i="3"/>
  <c r="D47" i="3"/>
  <c r="B13" i="4"/>
  <c r="J13" i="3"/>
  <c r="D13" i="3"/>
  <c r="B55" i="4"/>
  <c r="J55" i="3"/>
  <c r="D55" i="3"/>
  <c r="R45" i="4"/>
  <c r="T45" i="4" s="1"/>
  <c r="T45" i="3"/>
  <c r="H52" i="3"/>
  <c r="F52" i="4"/>
  <c r="J27" i="3"/>
  <c r="B27" i="4"/>
  <c r="J27" i="4" s="1"/>
  <c r="D27" i="3"/>
  <c r="C37" i="4"/>
  <c r="K37" i="4" s="1"/>
  <c r="W37" i="4" s="1"/>
  <c r="K37" i="3"/>
  <c r="W37" i="3" s="1"/>
  <c r="S34" i="4"/>
  <c r="R16" i="4"/>
  <c r="T16" i="4" s="1"/>
  <c r="T16" i="3"/>
  <c r="O25" i="4"/>
  <c r="C50" i="4"/>
  <c r="K50" i="3"/>
  <c r="W50" i="3" s="1"/>
  <c r="C49" i="3"/>
  <c r="K49" i="3" s="1"/>
  <c r="R35" i="4"/>
  <c r="T35" i="4" s="1"/>
  <c r="T35" i="3"/>
  <c r="N25" i="4"/>
  <c r="P25" i="4" s="1"/>
  <c r="P25" i="3"/>
  <c r="F40" i="4"/>
  <c r="H40" i="4" s="1"/>
  <c r="H40" i="3"/>
  <c r="S47" i="4"/>
  <c r="O18" i="4"/>
  <c r="P18" i="4" s="1"/>
  <c r="P29" i="3"/>
  <c r="N29" i="4"/>
  <c r="P29" i="4" s="1"/>
  <c r="G15" i="4"/>
  <c r="R53" i="4"/>
  <c r="T53" i="4" s="1"/>
  <c r="T53" i="3"/>
  <c r="R30" i="4"/>
  <c r="T30" i="4" s="1"/>
  <c r="T30" i="3"/>
  <c r="O20" i="4"/>
  <c r="J45" i="3"/>
  <c r="B45" i="4"/>
  <c r="D45" i="3"/>
  <c r="S31" i="4"/>
  <c r="T31" i="4" s="1"/>
  <c r="G56" i="4"/>
  <c r="C46" i="4"/>
  <c r="K46" i="4" s="1"/>
  <c r="W46" i="4" s="1"/>
  <c r="K46" i="3"/>
  <c r="W46" i="3" s="1"/>
  <c r="T18" i="3"/>
  <c r="R18" i="4"/>
  <c r="T18" i="4" s="1"/>
  <c r="N12" i="4"/>
  <c r="P12" i="4" s="1"/>
  <c r="P12" i="3"/>
  <c r="N23" i="4"/>
  <c r="P23" i="4" s="1"/>
  <c r="P23" i="3"/>
  <c r="T13" i="3"/>
  <c r="R13" i="4"/>
  <c r="T13" i="4" s="1"/>
  <c r="P15" i="3"/>
  <c r="N15" i="4"/>
  <c r="P15" i="4" s="1"/>
  <c r="N35" i="4"/>
  <c r="P35" i="4" s="1"/>
  <c r="P35" i="3"/>
  <c r="T41" i="3"/>
  <c r="R41" i="4"/>
  <c r="T41" i="4" s="1"/>
  <c r="F47" i="4"/>
  <c r="H47" i="4" s="1"/>
  <c r="H47" i="3"/>
  <c r="O11" i="4"/>
  <c r="O9" i="3"/>
  <c r="N46" i="4"/>
  <c r="P46" i="4" s="1"/>
  <c r="P46" i="3"/>
  <c r="C22" i="4"/>
  <c r="K22" i="4" s="1"/>
  <c r="W22" i="4" s="1"/>
  <c r="K22" i="3"/>
  <c r="W22" i="3" s="1"/>
  <c r="R25" i="4"/>
  <c r="T25" i="4" s="1"/>
  <c r="T25" i="3"/>
  <c r="O33" i="4"/>
  <c r="G52" i="4"/>
  <c r="O16" i="4"/>
  <c r="O45" i="4"/>
  <c r="K52" i="3"/>
  <c r="W52" i="3" s="1"/>
  <c r="C52" i="4"/>
  <c r="K52" i="4" s="1"/>
  <c r="W52" i="4" s="1"/>
  <c r="O24" i="4"/>
  <c r="T12" i="3"/>
  <c r="R12" i="4"/>
  <c r="T12" i="4" s="1"/>
  <c r="C11" i="4"/>
  <c r="K11" i="3"/>
  <c r="W11" i="3" s="1"/>
  <c r="T26" i="3"/>
  <c r="R26" i="4"/>
  <c r="G16" i="4"/>
  <c r="G43" i="4"/>
  <c r="K43" i="4" s="1"/>
  <c r="W43" i="4" s="1"/>
  <c r="D35" i="3"/>
  <c r="B35" i="4"/>
  <c r="J35" i="3"/>
  <c r="N14" i="4"/>
  <c r="P14" i="4" s="1"/>
  <c r="P14" i="3"/>
  <c r="O53" i="4"/>
  <c r="H28" i="3"/>
  <c r="F28" i="4"/>
  <c r="H28" i="4" s="1"/>
  <c r="P56" i="3"/>
  <c r="N56" i="4"/>
  <c r="P56" i="4" s="1"/>
  <c r="S9" i="3"/>
  <c r="S8" i="3" s="1"/>
  <c r="S10" i="4"/>
  <c r="S9" i="4" s="1"/>
  <c r="C23" i="4"/>
  <c r="K23" i="3"/>
  <c r="W23" i="3" s="1"/>
  <c r="O47" i="4"/>
  <c r="P47" i="4" s="1"/>
  <c r="D14" i="3"/>
  <c r="B14" i="4"/>
  <c r="J14" i="3"/>
  <c r="G28" i="4"/>
  <c r="H55" i="3"/>
  <c r="F55" i="4"/>
  <c r="H55" i="4" s="1"/>
  <c r="F14" i="4"/>
  <c r="H14" i="4" s="1"/>
  <c r="H14" i="3"/>
  <c r="G36" i="4"/>
  <c r="T39" i="3"/>
  <c r="R39" i="4"/>
  <c r="T39" i="4" s="1"/>
  <c r="G20" i="4"/>
  <c r="T10" i="3"/>
  <c r="R10" i="4"/>
  <c r="R9" i="3"/>
  <c r="R14" i="4"/>
  <c r="T14" i="4" s="1"/>
  <c r="T14" i="3"/>
  <c r="G11" i="4"/>
  <c r="J17" i="3"/>
  <c r="B17" i="4"/>
  <c r="D17" i="3"/>
  <c r="N39" i="4"/>
  <c r="P39" i="4" s="1"/>
  <c r="P39" i="3"/>
  <c r="F20" i="4"/>
  <c r="H20" i="3"/>
  <c r="F18" i="4"/>
  <c r="H18" i="4" s="1"/>
  <c r="H18" i="3"/>
  <c r="K45" i="3"/>
  <c r="W45" i="3" s="1"/>
  <c r="C45" i="4"/>
  <c r="K45" i="4" s="1"/>
  <c r="W45" i="4" s="1"/>
  <c r="H54" i="3"/>
  <c r="F54" i="4"/>
  <c r="H54" i="4" s="1"/>
  <c r="F26" i="4"/>
  <c r="H26" i="4" s="1"/>
  <c r="H26" i="3"/>
  <c r="G9" i="4" l="1"/>
  <c r="T10" i="4"/>
  <c r="R9" i="4"/>
  <c r="J14" i="4"/>
  <c r="D23" i="4"/>
  <c r="K23" i="4"/>
  <c r="W23" i="4" s="1"/>
  <c r="V55" i="3"/>
  <c r="X55" i="3" s="1"/>
  <c r="L55" i="3"/>
  <c r="J13" i="4"/>
  <c r="D13" i="4"/>
  <c r="J37" i="4"/>
  <c r="H37" i="4"/>
  <c r="V56" i="3"/>
  <c r="X56" i="3" s="1"/>
  <c r="L56" i="3"/>
  <c r="J33" i="4"/>
  <c r="D33" i="4"/>
  <c r="H15" i="4"/>
  <c r="W32" i="4"/>
  <c r="P45" i="4"/>
  <c r="K48" i="4"/>
  <c r="W48" i="4" s="1"/>
  <c r="V24" i="3"/>
  <c r="X24" i="3" s="1"/>
  <c r="L24" i="3"/>
  <c r="K16" i="4"/>
  <c r="W16" i="4" s="1"/>
  <c r="P11" i="4"/>
  <c r="P33" i="4"/>
  <c r="W31" i="4"/>
  <c r="D12" i="4"/>
  <c r="J12" i="4"/>
  <c r="W10" i="3"/>
  <c r="K9" i="3"/>
  <c r="K8" i="3" s="1"/>
  <c r="P24" i="4"/>
  <c r="V26" i="3"/>
  <c r="L26" i="3"/>
  <c r="K51" i="4"/>
  <c r="W51" i="4" s="1"/>
  <c r="D20" i="4"/>
  <c r="K20" i="4"/>
  <c r="W20" i="4" s="1"/>
  <c r="T21" i="4"/>
  <c r="T33" i="4"/>
  <c r="V42" i="3"/>
  <c r="X42" i="3" s="1"/>
  <c r="L42" i="3"/>
  <c r="V21" i="3"/>
  <c r="X21" i="3" s="1"/>
  <c r="L21" i="3"/>
  <c r="H44" i="4"/>
  <c r="K29" i="4"/>
  <c r="W29" i="4" s="1"/>
  <c r="D41" i="4"/>
  <c r="J41" i="4"/>
  <c r="D54" i="4"/>
  <c r="J54" i="4"/>
  <c r="W12" i="4"/>
  <c r="P48" i="4"/>
  <c r="P36" i="4"/>
  <c r="H36" i="4"/>
  <c r="K33" i="4"/>
  <c r="W33" i="4" s="1"/>
  <c r="K54" i="4"/>
  <c r="W54" i="4" s="1"/>
  <c r="P37" i="4"/>
  <c r="W49" i="3"/>
  <c r="V52" i="3"/>
  <c r="X52" i="3" s="1"/>
  <c r="L52" i="3"/>
  <c r="V30" i="3"/>
  <c r="X30" i="3" s="1"/>
  <c r="L30" i="3"/>
  <c r="H32" i="4"/>
  <c r="V37" i="3"/>
  <c r="X37" i="3" s="1"/>
  <c r="L37" i="3"/>
  <c r="P27" i="4"/>
  <c r="T50" i="4"/>
  <c r="R49" i="4"/>
  <c r="V31" i="3"/>
  <c r="X31" i="3" s="1"/>
  <c r="L31" i="3"/>
  <c r="T20" i="4"/>
  <c r="P21" i="4"/>
  <c r="V18" i="3"/>
  <c r="L18" i="3"/>
  <c r="P53" i="4"/>
  <c r="K42" i="4"/>
  <c r="W42" i="4" s="1"/>
  <c r="L36" i="3"/>
  <c r="V36" i="3"/>
  <c r="X36" i="3" s="1"/>
  <c r="J29" i="4"/>
  <c r="H29" i="4"/>
  <c r="J48" i="4"/>
  <c r="C49" i="4"/>
  <c r="K50" i="4"/>
  <c r="V27" i="4"/>
  <c r="D55" i="4"/>
  <c r="J55" i="4"/>
  <c r="V43" i="3"/>
  <c r="X43" i="3" s="1"/>
  <c r="L43" i="3"/>
  <c r="T34" i="4"/>
  <c r="D14" i="4"/>
  <c r="K14" i="4"/>
  <c r="W14" i="4" s="1"/>
  <c r="J40" i="4"/>
  <c r="D40" i="4"/>
  <c r="D25" i="4"/>
  <c r="J25" i="4"/>
  <c r="V38" i="3"/>
  <c r="X38" i="3" s="1"/>
  <c r="L38" i="3"/>
  <c r="W53" i="4"/>
  <c r="V22" i="3"/>
  <c r="L22" i="3"/>
  <c r="H50" i="4"/>
  <c r="F49" i="4"/>
  <c r="J10" i="4"/>
  <c r="B9" i="4"/>
  <c r="D10" i="4"/>
  <c r="P20" i="4"/>
  <c r="D49" i="3"/>
  <c r="J49" i="3"/>
  <c r="L49" i="3" s="1"/>
  <c r="V12" i="3"/>
  <c r="X12" i="3" s="1"/>
  <c r="L12" i="3"/>
  <c r="X18" i="3"/>
  <c r="W39" i="4"/>
  <c r="H53" i="4"/>
  <c r="K30" i="4"/>
  <c r="W30" i="4" s="1"/>
  <c r="D39" i="4"/>
  <c r="J39" i="4"/>
  <c r="H25" i="4"/>
  <c r="J32" i="4"/>
  <c r="D32" i="4"/>
  <c r="H22" i="4"/>
  <c r="D42" i="4"/>
  <c r="J42" i="4"/>
  <c r="V29" i="3"/>
  <c r="X29" i="3" s="1"/>
  <c r="L29" i="3"/>
  <c r="V19" i="3"/>
  <c r="X19" i="3" s="1"/>
  <c r="L19" i="3"/>
  <c r="T11" i="4"/>
  <c r="J23" i="4"/>
  <c r="H23" i="4"/>
  <c r="W35" i="4"/>
  <c r="D37" i="4"/>
  <c r="W47" i="4"/>
  <c r="L23" i="3"/>
  <c r="V23" i="3"/>
  <c r="X23" i="3" s="1"/>
  <c r="D34" i="4"/>
  <c r="J34" i="4"/>
  <c r="T49" i="3"/>
  <c r="H21" i="4"/>
  <c r="J31" i="4"/>
  <c r="D31" i="4"/>
  <c r="V51" i="3"/>
  <c r="X51" i="3" s="1"/>
  <c r="L51" i="3"/>
  <c r="J36" i="4"/>
  <c r="D36" i="4"/>
  <c r="K55" i="4"/>
  <c r="W55" i="4" s="1"/>
  <c r="J45" i="4"/>
  <c r="D45" i="4"/>
  <c r="J20" i="4"/>
  <c r="L20" i="4" s="1"/>
  <c r="H20" i="4"/>
  <c r="J17" i="4"/>
  <c r="D17" i="4"/>
  <c r="V35" i="3"/>
  <c r="X35" i="3" s="1"/>
  <c r="L35" i="3"/>
  <c r="K11" i="4"/>
  <c r="W11" i="4" s="1"/>
  <c r="X22" i="3"/>
  <c r="P9" i="3"/>
  <c r="O8" i="3"/>
  <c r="P8" i="3" s="1"/>
  <c r="G49" i="4"/>
  <c r="V45" i="3"/>
  <c r="X45" i="3" s="1"/>
  <c r="L45" i="3"/>
  <c r="V27" i="3"/>
  <c r="X27" i="3" s="1"/>
  <c r="L27" i="3"/>
  <c r="V47" i="3"/>
  <c r="X47" i="3" s="1"/>
  <c r="L47" i="3"/>
  <c r="W34" i="4"/>
  <c r="D43" i="4"/>
  <c r="J43" i="4"/>
  <c r="S49" i="4"/>
  <c r="L40" i="3"/>
  <c r="V40" i="3"/>
  <c r="X40" i="3" s="1"/>
  <c r="K15" i="4"/>
  <c r="W15" i="4" s="1"/>
  <c r="T26" i="4"/>
  <c r="P32" i="4"/>
  <c r="D15" i="4"/>
  <c r="J15" i="4"/>
  <c r="O49" i="4"/>
  <c r="J24" i="4"/>
  <c r="D24" i="4"/>
  <c r="B8" i="3"/>
  <c r="D8" i="3" s="1"/>
  <c r="D9" i="3"/>
  <c r="B49" i="4"/>
  <c r="D50" i="4"/>
  <c r="J50" i="4"/>
  <c r="C8" i="3"/>
  <c r="D53" i="4"/>
  <c r="J53" i="4"/>
  <c r="F8" i="3"/>
  <c r="H8" i="3" s="1"/>
  <c r="H9" i="3"/>
  <c r="D46" i="4"/>
  <c r="J46" i="4"/>
  <c r="K18" i="4"/>
  <c r="W18" i="4" s="1"/>
  <c r="D26" i="4"/>
  <c r="J26" i="4"/>
  <c r="V44" i="4"/>
  <c r="V16" i="3"/>
  <c r="X16" i="3" s="1"/>
  <c r="L16" i="3"/>
  <c r="T48" i="4"/>
  <c r="W26" i="4"/>
  <c r="V32" i="3"/>
  <c r="X32" i="3" s="1"/>
  <c r="L32" i="3"/>
  <c r="H56" i="4"/>
  <c r="T44" i="4"/>
  <c r="D21" i="4"/>
  <c r="J21" i="4"/>
  <c r="P51" i="4"/>
  <c r="V11" i="3"/>
  <c r="X11" i="3" s="1"/>
  <c r="L11" i="3"/>
  <c r="P17" i="4"/>
  <c r="V54" i="3"/>
  <c r="X54" i="3" s="1"/>
  <c r="L54" i="3"/>
  <c r="P42" i="4"/>
  <c r="T54" i="4"/>
  <c r="D19" i="4"/>
  <c r="J19" i="4"/>
  <c r="H17" i="4"/>
  <c r="P55" i="4"/>
  <c r="P43" i="4"/>
  <c r="K40" i="4"/>
  <c r="W40" i="4" s="1"/>
  <c r="V20" i="3"/>
  <c r="X20" i="3" s="1"/>
  <c r="L20" i="3"/>
  <c r="D30" i="4"/>
  <c r="J30" i="4"/>
  <c r="K38" i="4"/>
  <c r="W38" i="4" s="1"/>
  <c r="J28" i="4"/>
  <c r="D28" i="4"/>
  <c r="L34" i="3"/>
  <c r="V34" i="3"/>
  <c r="X34" i="3" s="1"/>
  <c r="T52" i="4"/>
  <c r="P41" i="4"/>
  <c r="H49" i="3"/>
  <c r="P13" i="4"/>
  <c r="H31" i="4"/>
  <c r="T42" i="4"/>
  <c r="D18" i="4"/>
  <c r="J18" i="4"/>
  <c r="V48" i="3"/>
  <c r="X48" i="3" s="1"/>
  <c r="L48" i="3"/>
  <c r="V17" i="3"/>
  <c r="X17" i="3" s="1"/>
  <c r="L17" i="3"/>
  <c r="R8" i="3"/>
  <c r="T8" i="3" s="1"/>
  <c r="T9" i="3"/>
  <c r="V14" i="3"/>
  <c r="X14" i="3" s="1"/>
  <c r="L14" i="3"/>
  <c r="D35" i="4"/>
  <c r="J35" i="4"/>
  <c r="O9" i="4"/>
  <c r="O8" i="4" s="1"/>
  <c r="H52" i="4"/>
  <c r="V13" i="3"/>
  <c r="X13" i="3" s="1"/>
  <c r="L13" i="3"/>
  <c r="J47" i="4"/>
  <c r="D47" i="4"/>
  <c r="H43" i="4"/>
  <c r="K28" i="4"/>
  <c r="W28" i="4" s="1"/>
  <c r="J56" i="4"/>
  <c r="V56" i="4" s="1"/>
  <c r="D56" i="4"/>
  <c r="V33" i="3"/>
  <c r="X33" i="3" s="1"/>
  <c r="L33" i="3"/>
  <c r="P16" i="4"/>
  <c r="V25" i="3"/>
  <c r="X25" i="3" s="1"/>
  <c r="L25" i="3"/>
  <c r="P38" i="4"/>
  <c r="V15" i="3"/>
  <c r="X15" i="3" s="1"/>
  <c r="L15" i="3"/>
  <c r="H11" i="4"/>
  <c r="J38" i="4"/>
  <c r="D38" i="4"/>
  <c r="D22" i="4"/>
  <c r="J22" i="4"/>
  <c r="V10" i="3"/>
  <c r="L10" i="3"/>
  <c r="J9" i="3"/>
  <c r="H30" i="4"/>
  <c r="H16" i="4"/>
  <c r="D27" i="4"/>
  <c r="K27" i="4"/>
  <c r="W27" i="4" s="1"/>
  <c r="X27" i="4" s="1"/>
  <c r="P40" i="4"/>
  <c r="K56" i="4"/>
  <c r="H48" i="4"/>
  <c r="V50" i="3"/>
  <c r="V49" i="3" s="1"/>
  <c r="X49" i="3" s="1"/>
  <c r="L50" i="3"/>
  <c r="K36" i="4"/>
  <c r="W36" i="4" s="1"/>
  <c r="P10" i="4"/>
  <c r="N9" i="4"/>
  <c r="K10" i="4"/>
  <c r="C9" i="4"/>
  <c r="C8" i="4" s="1"/>
  <c r="V53" i="3"/>
  <c r="X53" i="3" s="1"/>
  <c r="L53" i="3"/>
  <c r="H10" i="4"/>
  <c r="F9" i="4"/>
  <c r="V46" i="3"/>
  <c r="X46" i="3" s="1"/>
  <c r="L46" i="3"/>
  <c r="L44" i="3"/>
  <c r="V44" i="3"/>
  <c r="X44" i="3" s="1"/>
  <c r="T47" i="4"/>
  <c r="L39" i="3"/>
  <c r="V39" i="3"/>
  <c r="X39" i="3" s="1"/>
  <c r="D16" i="4"/>
  <c r="J16" i="4"/>
  <c r="X26" i="3"/>
  <c r="T15" i="4"/>
  <c r="V41" i="3"/>
  <c r="X41" i="3" s="1"/>
  <c r="L41" i="3"/>
  <c r="J11" i="4"/>
  <c r="D11" i="4"/>
  <c r="K41" i="4"/>
  <c r="W41" i="4" s="1"/>
  <c r="W19" i="4"/>
  <c r="D52" i="4"/>
  <c r="J52" i="4"/>
  <c r="T55" i="4"/>
  <c r="N49" i="4"/>
  <c r="P49" i="4" s="1"/>
  <c r="P50" i="4"/>
  <c r="T37" i="4"/>
  <c r="D44" i="4"/>
  <c r="K44" i="4"/>
  <c r="W44" i="4" s="1"/>
  <c r="H51" i="4"/>
  <c r="V28" i="3"/>
  <c r="X28" i="3" s="1"/>
  <c r="L28" i="3"/>
  <c r="H34" i="4"/>
  <c r="K24" i="4"/>
  <c r="W24" i="4" s="1"/>
  <c r="T51" i="4"/>
  <c r="D51" i="4"/>
  <c r="J51" i="4"/>
  <c r="P22" i="4"/>
  <c r="T32" i="4"/>
  <c r="K25" i="4"/>
  <c r="W25" i="4" s="1"/>
  <c r="V21" i="4" l="1"/>
  <c r="X21" i="4" s="1"/>
  <c r="L21" i="4"/>
  <c r="W50" i="4"/>
  <c r="K49" i="4"/>
  <c r="V51" i="4"/>
  <c r="X51" i="4" s="1"/>
  <c r="L51" i="4"/>
  <c r="V16" i="4"/>
  <c r="X16" i="4" s="1"/>
  <c r="L16" i="4"/>
  <c r="V47" i="4"/>
  <c r="X47" i="4" s="1"/>
  <c r="L47" i="4"/>
  <c r="L18" i="4"/>
  <c r="V18" i="4"/>
  <c r="X18" i="4" s="1"/>
  <c r="V24" i="4"/>
  <c r="X24" i="4" s="1"/>
  <c r="L24" i="4"/>
  <c r="V17" i="4"/>
  <c r="X17" i="4" s="1"/>
  <c r="L17" i="4"/>
  <c r="V36" i="4"/>
  <c r="X36" i="4" s="1"/>
  <c r="L36" i="4"/>
  <c r="V31" i="4"/>
  <c r="L31" i="4"/>
  <c r="D9" i="4"/>
  <c r="V29" i="4"/>
  <c r="X29" i="4" s="1"/>
  <c r="L29" i="4"/>
  <c r="L41" i="4"/>
  <c r="V41" i="4"/>
  <c r="X41" i="4" s="1"/>
  <c r="X31" i="4"/>
  <c r="X50" i="3"/>
  <c r="R8" i="4"/>
  <c r="T9" i="4"/>
  <c r="L11" i="4"/>
  <c r="V11" i="4"/>
  <c r="X11" i="4" s="1"/>
  <c r="N8" i="4"/>
  <c r="P8" i="4" s="1"/>
  <c r="P9" i="4"/>
  <c r="V28" i="4"/>
  <c r="X28" i="4" s="1"/>
  <c r="L28" i="4"/>
  <c r="V23" i="4"/>
  <c r="X23" i="4" s="1"/>
  <c r="L23" i="4"/>
  <c r="V39" i="4"/>
  <c r="X39" i="4" s="1"/>
  <c r="L39" i="4"/>
  <c r="V55" i="4"/>
  <c r="X55" i="4" s="1"/>
  <c r="L55" i="4"/>
  <c r="V33" i="4"/>
  <c r="X33" i="4" s="1"/>
  <c r="L33" i="4"/>
  <c r="V14" i="4"/>
  <c r="X14" i="4" s="1"/>
  <c r="L14" i="4"/>
  <c r="H9" i="4"/>
  <c r="F8" i="4"/>
  <c r="L56" i="4"/>
  <c r="W56" i="4"/>
  <c r="X56" i="4" s="1"/>
  <c r="V9" i="3"/>
  <c r="V38" i="4"/>
  <c r="X38" i="4" s="1"/>
  <c r="L38" i="4"/>
  <c r="V30" i="4"/>
  <c r="L30" i="4"/>
  <c r="L19" i="4"/>
  <c r="V19" i="4"/>
  <c r="X19" i="4" s="1"/>
  <c r="L44" i="4"/>
  <c r="L50" i="4"/>
  <c r="V50" i="4"/>
  <c r="J49" i="4"/>
  <c r="L49" i="4" s="1"/>
  <c r="T49" i="4"/>
  <c r="V45" i="4"/>
  <c r="X45" i="4" s="1"/>
  <c r="L45" i="4"/>
  <c r="V42" i="4"/>
  <c r="X42" i="4" s="1"/>
  <c r="L42" i="4"/>
  <c r="L32" i="4"/>
  <c r="V32" i="4"/>
  <c r="X32" i="4" s="1"/>
  <c r="X30" i="4"/>
  <c r="L10" i="4"/>
  <c r="J9" i="4"/>
  <c r="V10" i="4"/>
  <c r="V40" i="4"/>
  <c r="X40" i="4" s="1"/>
  <c r="L40" i="4"/>
  <c r="L27" i="4"/>
  <c r="S8" i="4"/>
  <c r="T8" i="4" s="1"/>
  <c r="X10" i="3"/>
  <c r="W9" i="3"/>
  <c r="W8" i="3" s="1"/>
  <c r="L13" i="4"/>
  <c r="V13" i="4"/>
  <c r="X13" i="4" s="1"/>
  <c r="L9" i="3"/>
  <c r="J8" i="3"/>
  <c r="L8" i="3" s="1"/>
  <c r="V26" i="4"/>
  <c r="X26" i="4" s="1"/>
  <c r="L26" i="4"/>
  <c r="B8" i="4"/>
  <c r="D8" i="4" s="1"/>
  <c r="D49" i="4"/>
  <c r="V34" i="4"/>
  <c r="X34" i="4" s="1"/>
  <c r="L34" i="4"/>
  <c r="V37" i="4"/>
  <c r="X37" i="4" s="1"/>
  <c r="L37" i="4"/>
  <c r="V52" i="4"/>
  <c r="X52" i="4" s="1"/>
  <c r="L52" i="4"/>
  <c r="W10" i="4"/>
  <c r="W9" i="4" s="1"/>
  <c r="K9" i="4"/>
  <c r="K8" i="4" s="1"/>
  <c r="V22" i="4"/>
  <c r="X22" i="4" s="1"/>
  <c r="L22" i="4"/>
  <c r="V35" i="4"/>
  <c r="X35" i="4" s="1"/>
  <c r="L35" i="4"/>
  <c r="X44" i="4"/>
  <c r="V46" i="4"/>
  <c r="X46" i="4" s="1"/>
  <c r="L46" i="4"/>
  <c r="V53" i="4"/>
  <c r="X53" i="4" s="1"/>
  <c r="L53" i="4"/>
  <c r="L15" i="4"/>
  <c r="V15" i="4"/>
  <c r="X15" i="4" s="1"/>
  <c r="V43" i="4"/>
  <c r="X43" i="4" s="1"/>
  <c r="L43" i="4"/>
  <c r="V20" i="4"/>
  <c r="H49" i="4"/>
  <c r="V25" i="4"/>
  <c r="X25" i="4" s="1"/>
  <c r="L25" i="4"/>
  <c r="V48" i="4"/>
  <c r="X48" i="4" s="1"/>
  <c r="L48" i="4"/>
  <c r="V54" i="4"/>
  <c r="X54" i="4" s="1"/>
  <c r="L54" i="4"/>
  <c r="X20" i="4"/>
  <c r="V12" i="4"/>
  <c r="X12" i="4" s="1"/>
  <c r="L12" i="4"/>
  <c r="G8" i="4"/>
  <c r="X10" i="4" l="1"/>
  <c r="V9" i="4"/>
  <c r="X50" i="4"/>
  <c r="V49" i="4"/>
  <c r="W49" i="4"/>
  <c r="W8" i="4" s="1"/>
  <c r="J8" i="4"/>
  <c r="L9" i="4"/>
  <c r="X9" i="3"/>
  <c r="V8" i="3"/>
  <c r="X8" i="3" s="1"/>
  <c r="H8" i="4"/>
  <c r="X9" i="4" l="1"/>
  <c r="V8" i="4"/>
  <c r="X8" i="4" s="1"/>
  <c r="B2" i="5"/>
  <c r="D2" i="5" s="1"/>
  <c r="L8" i="4"/>
  <c r="X49" i="4"/>
</calcChain>
</file>

<file path=xl/sharedStrings.xml><?xml version="1.0" encoding="utf-8"?>
<sst xmlns="http://schemas.openxmlformats.org/spreadsheetml/2006/main" count="2441" uniqueCount="157">
  <si>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 in 2016/17</t>
    </r>
  </si>
  <si>
    <t>Wholetime</t>
  </si>
  <si>
    <t>Total Firefighters</t>
  </si>
  <si>
    <t>Fire Control</t>
  </si>
  <si>
    <t>Support Staff</t>
  </si>
  <si>
    <t>Total Staff</t>
  </si>
  <si>
    <t>FRA</t>
  </si>
  <si>
    <t>Men</t>
  </si>
  <si>
    <t>Women</t>
  </si>
  <si>
    <t>Percentage that are women</t>
  </si>
  <si>
    <t>England</t>
  </si>
  <si>
    <t>Non Metropolitan fire and rescue authorities</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</si>
  <si>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</si>
  <si>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</si>
  <si>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</si>
  <si>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</si>
  <si>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</si>
  <si>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</si>
  <si>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</si>
  <si>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</si>
  <si>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</si>
  <si>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</si>
  <si>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</si>
  <si>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</si>
  <si>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</si>
  <si>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</si>
  <si>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</si>
  <si>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</si>
  <si>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Hampshire</t>
  </si>
  <si>
    <t>Hereford and Worcester</t>
  </si>
  <si>
    <t>Hertfordshire</t>
  </si>
  <si>
    <t>Humberside</t>
  </si>
  <si>
    <t>Isle Of Wight</t>
  </si>
  <si>
    <t>Kent</t>
  </si>
  <si>
    <t>Lancashire</t>
  </si>
  <si>
    <t>Leicestershire</t>
  </si>
  <si>
    <t>Lincolnshire</t>
  </si>
  <si>
    <t>Norfolk</t>
  </si>
  <si>
    <t>North West Fire Control</t>
  </si>
  <si>
    <t>North Yorkshire</t>
  </si>
  <si>
    <t>Northamptonshire</t>
  </si>
  <si>
    <t>Northumberland</t>
  </si>
  <si>
    <t>Nottinghamshire</t>
  </si>
  <si>
    <t>Oxfordshire</t>
  </si>
  <si>
    <t>Shropshire</t>
  </si>
  <si>
    <t>Staffordshire</t>
  </si>
  <si>
    <t>Suffolk</t>
  </si>
  <si>
    <t>Surrey</t>
  </si>
  <si>
    <t>Warwickshire</t>
  </si>
  <si>
    <t>West Sussex</t>
  </si>
  <si>
    <t>Isles of Scilly</t>
  </si>
  <si>
    <t>Metropolitan fire and rescue authorities</t>
  </si>
  <si>
    <t>Greater Manchester</t>
  </si>
  <si>
    <t>Merseyside</t>
  </si>
  <si>
    <t>South Yorkshire</t>
  </si>
  <si>
    <t>Tyne and Wear</t>
  </si>
  <si>
    <t>West Midlands</t>
  </si>
  <si>
    <t>West Yorkshire</t>
  </si>
  <si>
    <t>Greater London</t>
  </si>
  <si>
    <t>1 The total number of employees</t>
  </si>
  <si>
    <t>Notes</t>
  </si>
  <si>
    <t>The figures for 2016/17 were collected on a voluntary basis. Those eight FRSs with 0 new staff could be due to 0 new staff being recruited or due to the data being unavailable.</t>
  </si>
  <si>
    <t>The full set of fire statistics releases, tables and guidance can be found on our landing page, here-</t>
  </si>
  <si>
    <t>https://www.gov.uk/government/collections/fire-statistics</t>
  </si>
  <si>
    <t>The statistics in this table are Official Statistics.</t>
  </si>
  <si>
    <t>Source: Home Office Operational Statistics Data Collection, figures supplied by Fire Authorities.</t>
  </si>
  <si>
    <t>Updated alongside Fire and rescue workforce and pensions statistics</t>
  </si>
  <si>
    <t>Contact: FireStatistics@homeoffice.gsi.gov.uk</t>
  </si>
  <si>
    <t>Next Update: Autumn 2018</t>
  </si>
  <si>
    <t>2 Also known as "On-call firefighters"</t>
  </si>
  <si>
    <r>
      <t xml:space="preserve">Retained Duty System </t>
    </r>
    <r>
      <rPr>
        <vertAlign val="superscript"/>
        <sz val="11"/>
        <color theme="1"/>
        <rFont val="Calibri"/>
        <family val="2"/>
        <scheme val="minor"/>
      </rPr>
      <t>2</t>
    </r>
  </si>
  <si>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 in 2017/18</t>
    </r>
  </si>
  <si>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t>
    </r>
  </si>
  <si>
    <t>2017-18</t>
  </si>
  <si>
    <t>2016-17</t>
  </si>
  <si>
    <t>Select a year from the drop-down list in the orange box below:</t>
  </si>
  <si>
    <t>Year</t>
  </si>
  <si>
    <t>FRA_code</t>
  </si>
  <si>
    <t>Pink cells</t>
  </si>
  <si>
    <t>are the ones picked up in the macro</t>
  </si>
  <si>
    <t>red font</t>
  </si>
  <si>
    <t>are the cells you need to check are still correct</t>
  </si>
  <si>
    <t>Link_Start</t>
  </si>
  <si>
    <t>Return_Name</t>
  </si>
  <si>
    <t>FRS_Loop</t>
  </si>
  <si>
    <t>Link_End</t>
  </si>
  <si>
    <t>\\Poise.Homeoffice.Local\Home\RQG\Users\BeevorE\My Documents\003 Fire Operational Statistics\</t>
  </si>
  <si>
    <t>2018_19</t>
  </si>
  <si>
    <t>\data supplied\HR\HR_</t>
  </si>
  <si>
    <t>Wholetime firefighters</t>
  </si>
  <si>
    <t>Fire control</t>
  </si>
  <si>
    <t>Support staff</t>
  </si>
  <si>
    <t>Sheet_Name_HR6</t>
  </si>
  <si>
    <t>Cell_Loop_HR6</t>
  </si>
  <si>
    <t>Cell_Loop_Desc_HR6</t>
  </si>
  <si>
    <t>Cell_Loop_Desc2_HR6</t>
  </si>
  <si>
    <t>On-call firefighters</t>
  </si>
  <si>
    <t>HR6</t>
  </si>
  <si>
    <t>Cell_Loop2_HR6</t>
  </si>
  <si>
    <t>Cell_Loop2_Desc_HR6</t>
  </si>
  <si>
    <t>Cell_Loop2_Desc2_HR6</t>
  </si>
  <si>
    <t>FRS_Name</t>
  </si>
  <si>
    <t>FRA_type</t>
  </si>
  <si>
    <t>Count</t>
  </si>
  <si>
    <t>Role</t>
  </si>
  <si>
    <t>Gender</t>
  </si>
  <si>
    <t>B12</t>
  </si>
  <si>
    <t>B13</t>
  </si>
  <si>
    <t>B14</t>
  </si>
  <si>
    <t>B15</t>
  </si>
  <si>
    <t>C12</t>
  </si>
  <si>
    <t>C13</t>
  </si>
  <si>
    <t>C14</t>
  </si>
  <si>
    <t>C15</t>
  </si>
  <si>
    <t>2018-19</t>
  </si>
  <si>
    <t>No</t>
  </si>
  <si>
    <t>Yes</t>
  </si>
  <si>
    <t>Checklist</t>
  </si>
  <si>
    <t>Checker</t>
  </si>
  <si>
    <t>Error?</t>
  </si>
  <si>
    <t>Eliot</t>
  </si>
  <si>
    <t>Comments</t>
  </si>
  <si>
    <t>Victoria</t>
  </si>
  <si>
    <t>Deborah</t>
  </si>
  <si>
    <t>drop down menu works</t>
  </si>
  <si>
    <t>Molly</t>
  </si>
  <si>
    <t>Colleen</t>
  </si>
  <si>
    <t>spot check some figures from the raw sheet</t>
  </si>
  <si>
    <t>London is one of the biggest</t>
  </si>
  <si>
    <t>Isles of Scilly and Isle of Wight one of smallest</t>
  </si>
  <si>
    <t>Paul</t>
  </si>
  <si>
    <t>Newest year has been included</t>
  </si>
  <si>
    <t>Footnotes are relevant</t>
  </si>
  <si>
    <t>Notes are correct</t>
  </si>
  <si>
    <t>Links work</t>
  </si>
  <si>
    <t>Last updated date is correct</t>
  </si>
  <si>
    <t>Checks left to do or resolve</t>
  </si>
  <si>
    <t>Check totals match 1121 and 1122 (except for dorset and wiltshire for whole time due to having one member of staff identifying as 'other' gender and isle of scilly for on call and support staff, hoping to get updated figures which will match)</t>
  </si>
  <si>
    <t>Contact: FireStatistics@homeoffice.gov.uk</t>
  </si>
  <si>
    <t>Checks for 1120</t>
  </si>
  <si>
    <t>Total firefighters is sum of on call and wholetime</t>
  </si>
  <si>
    <t>Total staff is sum of total firefighters, fire control and support staff</t>
  </si>
  <si>
    <t>Mets = Sum of Mets</t>
  </si>
  <si>
    <t>Non Mets = Sum of Non Mets</t>
  </si>
  <si>
    <t>Total = Mets + Non Mets</t>
  </si>
  <si>
    <t>Next update date is planned next release period</t>
  </si>
  <si>
    <t>Last Updated: 31 October 2019</t>
  </si>
  <si>
    <t>Next Update: Autumn 2020</t>
  </si>
  <si>
    <t>spot check some of the formula for the % woman in the raw sheet</t>
  </si>
  <si>
    <t>no</t>
  </si>
  <si>
    <t>yes</t>
  </si>
  <si>
    <t xml:space="preserve">autumn 2020 link doesn’t work </t>
  </si>
  <si>
    <r>
      <t>FRA</t>
    </r>
    <r>
      <rPr>
        <vertAlign val="superscript"/>
        <sz val="11"/>
        <color theme="1"/>
        <rFont val="Calibri"/>
        <family val="2"/>
        <scheme val="minor"/>
      </rPr>
      <t>3</t>
    </r>
  </si>
  <si>
    <t>1 The total number of employees.</t>
  </si>
  <si>
    <t>3 An FRS has one new joiner wholetime firefighter who stated their gender as "Other". As "Other" is not collected through Home Office systems the total number of wholetime firefighters, total firefighters and total staff does not match those from tables FIRE1121 and FIRE1122.</t>
  </si>
  <si>
    <t>2 Also known as "Retained duty system firefighters".</t>
  </si>
  <si>
    <r>
      <t>On-call firefighters</t>
    </r>
    <r>
      <rPr>
        <vertAlign val="superscript"/>
        <sz val="11"/>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</si>
</sst>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i/>
      <sz val="11"/>
      <color theme="1"/>
      <name val="Calibri"/>
      <family val="2"/>
      <scheme val="minor"/>
    </font>
    <font>
      <b/>
      <i/>
      <sz val="11"/>
      <color theme="1"/>
      <name val="Calibri"/>
      <family val="2"/>
      <scheme val="minor"/>
    </font>
    <font>
      <b/>
      <sz val="11"/>
      <color rgb="FF000000"/>
      <name val="Calibri"/>
      <family val="2"/>
    </font>
    <font>
      <u/>
      <sz val="11"/>
      <color rgb="FF0563C1"/>
      <name val="Calibri"/>
      <family val="2"/>
    </font>
    <font>
      <vertAlign val="superscript"/>
      <sz val="11"/>
      <color theme="1"/>
      <name val="Calibri"/>
      <family val="2"/>
      <scheme val="minor"/>
    </font>
    <font>
      <sz val="11"/>
      <color rgb="FFFF0000"/>
      <name val="Calibri"/>
      <family val="2"/>
      <scheme val="minor"/>
    </font>
    <font>
      <sz val="10"/>
      <name val="MS Sans Serif"/>
    </font>
    <font>
      <sz val="10"/>
      <color rgb="FFFF0000"/>
      <name val="Calibri"/>
      <family val="2"/>
      <scheme val="minor"/>
    </font>
    <font>
      <sz val="10"/>
      <color rgb="FFFF0000"/>
      <name val="MS Sans Serif"/>
    </font>
    <font>
      <sz val="11"/>
      <color theme="8" tint="0.59999389629810485"/>
      <name val="Calibri"/>
      <family val="2"/>
      <scheme val="minor"/>
    </font>
  </fonts>
  <fills count="10">
    <fill>
      <patternFill patternType="none"/>
    </fill>
    <fill>
      <patternFill patternType="gray125"/>
    </fill>
    <fill>
      <patternFill patternType="solid">
        <fgColor rgb="FFFF0000"/>
        <bgColor rgb="FFFF0000"/>
      </patternFill>
    </fill>
    <fill>
      <patternFill patternType="solid">
        <fgColor theme="0"/>
        <bgColor indexed="64"/>
      </patternFill>
    </fill>
    <fill>
      <patternFill patternType="solid">
        <fgColor theme="0"/>
        <bgColor rgb="FFFFFFFF"/>
      </patternFill>
    </fill>
    <fill>
      <patternFill patternType="solid">
        <fgColor rgb="FFFFC000"/>
        <bgColor rgb="FFFFFFFF"/>
      </patternFill>
    </fill>
    <fill>
      <patternFill patternType="solid">
        <fgColor theme="0"/>
        <bgColor rgb="FFFF0000"/>
      </patternFill>
    </fill>
    <fill>
      <patternFill patternType="solid">
        <fgColor rgb="FFFFC000"/>
        <bgColor indexed="64"/>
      </patternFill>
    </fill>
    <fill>
      <patternFill patternType="solid">
        <fgColor rgb="FFFFCCFF"/>
        <bgColor indexed="64"/>
      </patternFill>
    </fill>
    <fill>
      <patternFill patternType="solid">
        <fgColor rgb="FF99CCFF"/>
        <bgColor indexed="64"/>
      </patternFill>
    </fill>
  </fills>
  <borders count="3">
    <border>
      <left/>
      <right/>
      <top/>
      <bottom/>
      <diagonal/>
    </border>
    <border>
      <left/>
      <right/>
      <top/>
      <bottom style="medium">
        <color rgb="FFFF0000"/>
      </bottom>
      <diagonal/>
    </border>
    <border>
      <left/>
      <right/>
      <top style="medium">
        <color rgb="FFFF0000"/>
      </top>
      <bottom/>
      <diagonal/>
    </border>
  </borders>
  <cellStyleXfs count="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1" fillId="0" borderId="0"/>
  </cellStyleXfs>
  <cellXfs count="87">
    <xf numFmtId="0" fontId="0" fillId="0" borderId="0" xfId="0"/>
    <xf numFmtId="0" fontId="0" fillId="3" borderId="0" xfId="0" applyFill="1" applyAlignment="1">
      <alignment wrapText="1"/>
    </xf>
    <xf numFmtId="0" fontId="0" fillId="4" borderId="0" xfId="0" applyFill="1" applyBorder="1"/>
    <xf numFmtId="0" fontId="0" fillId="4" borderId="0" xfId="0" applyFill="1" applyBorder="1" applyAlignment="1">
      <alignment horizontal="center"/>
    </xf>
    <xf numFmtId="0" fontId="0" fillId="3" borderId="0" xfId="0" applyFill="1" applyBorder="1"/>
    <xf numFmtId="0" fontId="0" fillId="4" borderId="0" xfId="0" applyFill="1"/>
    <xf numFmtId="0" fontId="0" fillId="3" borderId="0" xfId="0" applyFill="1"/>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5"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4" borderId="0" xfId="0" applyFill="1" applyAlignment="1">
      <alignment horizontal="right" vertical="center" wrapText="1"/>
    </xf>
    <xf numFmtId="0" fontId="2" fillId="4" borderId="2" xfId="0" applyFont="1" applyFill="1" applyBorder="1"/>
    <xf numFmtId="3" fontId="2" fillId="3" borderId="0" xfId="0" applyNumberFormat="1" applyFont="1" applyFill="1" applyBorder="1" applyAlignment="1">
      <alignment horizontal="right"/>
    </xf>
    <xf numFmtId="9" fontId="2" fillId="3" borderId="0" xfId="1" applyFont="1" applyFill="1" applyBorder="1" applyAlignment="1">
      <alignment horizontal="right"/>
    </xf>
    <xf numFmtId="164" fontId="0" fillId="3" borderId="0" xfId="0" applyNumberFormat="1" applyFill="1"/>
    <xf numFmtId="1" fontId="0" fillId="3" borderId="0" xfId="0" applyNumberFormat="1" applyFill="1"/>
    <xf numFmtId="0" fontId="2" fillId="4" borderId="0" xfId="0" applyFont="1" applyFill="1" applyBorder="1"/>
    <xf numFmtId="3" fontId="0" fillId="3" borderId="0" xfId="0" applyNumberFormat="1" applyFont="1" applyFill="1" applyBorder="1" applyAlignment="1">
      <alignment horizontal="right"/>
    </xf>
    <xf numFmtId="9" fontId="1" fillId="3" borderId="0" xfId="1" applyFont="1" applyFill="1" applyBorder="1" applyAlignment="1">
      <alignment horizontal="right"/>
    </xf>
    <xf numFmtId="3" fontId="0" fillId="4" borderId="0" xfId="0" applyNumberFormat="1" applyFill="1"/>
    <xf numFmtId="0" fontId="2" fillId="4" borderId="0" xfId="0" applyFont="1" applyFill="1"/>
    <xf numFmtId="0" fontId="0" fillId="4" borderId="1" xfId="0" applyFill="1" applyBorder="1"/>
    <xf numFmtId="3" fontId="0" fillId="3" borderId="1" xfId="0" applyNumberFormat="1" applyFont="1" applyFill="1" applyBorder="1" applyAlignment="1">
      <alignment horizontal="right"/>
    </xf>
    <xf numFmtId="3" fontId="2" fillId="3" borderId="1" xfId="0" applyNumberFormat="1" applyFont="1" applyFill="1" applyBorder="1" applyAlignment="1">
      <alignment horizontal="right"/>
    </xf>
    <xf numFmtId="9" fontId="2" fillId="3" borderId="1" xfId="1" applyFont="1" applyFill="1" applyBorder="1" applyAlignment="1">
      <alignment horizontal="right"/>
    </xf>
    <xf numFmtId="0" fontId="0" fillId="4" borderId="0" xfId="0" applyFill="1" applyAlignment="1">
      <alignment horizontal="left" wrapText="1"/>
    </xf>
    <xf numFmtId="0" fontId="7" fillId="4" borderId="0" xfId="0" applyFont="1" applyFill="1"/>
    <xf numFmtId="0" fontId="0" fillId="4" borderId="0" xfId="0" applyFill="1" applyAlignment="1">
      <alignment wrapText="1"/>
    </xf>
    <xf numFmtId="0" fontId="8" fillId="4" borderId="0" xfId="2" applyFont="1" applyFill="1"/>
    <xf numFmtId="0" fontId="0" fillId="4" borderId="0" xfId="0" applyFill="1" applyAlignment="1">
      <alignment horizontal="right"/>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left" vertical="top"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8" fillId="4" borderId="0" xfId="2" applyFill="1" applyAlignment="1">
      <alignment horizontal="right"/>
    </xf>
    <xf numFmtId="0" fontId="3" fillId="6" borderId="0" xfId="0" applyFont="1" applyFill="1" applyAlignment="1">
      <alignment horizontal="left" wrapText="1"/>
    </xf>
    <xf numFmtId="9" fontId="1" fillId="3" borderId="1" xfId="1" applyFont="1" applyFill="1" applyBorder="1" applyAlignment="1">
      <alignment horizontal="right"/>
    </xf>
    <xf numFmtId="3" fontId="0" fillId="7" borderId="0" xfId="0" applyNumberFormat="1" applyFont="1" applyFill="1" applyBorder="1" applyAlignment="1">
      <alignment horizontal="right"/>
    </xf>
    <xf numFmtId="3" fontId="0" fillId="0" borderId="0" xfId="0" applyNumberFormat="1"/>
    <xf numFmtId="9" fontId="0" fillId="0" borderId="0" xfId="1" applyNumberFormat="1" applyFont="1"/>
    <xf numFmtId="0" fontId="11" fillId="0" borderId="0" xfId="3"/>
    <xf numFmtId="0" fontId="11" fillId="8" borderId="0" xfId="3" applyFill="1"/>
    <xf numFmtId="0" fontId="10" fillId="0" borderId="0" xfId="3" applyFont="1"/>
    <xf numFmtId="0" fontId="11" fillId="9" borderId="0" xfId="3" applyFill="1"/>
    <xf numFmtId="0" fontId="2" fillId="9" borderId="0" xfId="3" applyFont="1" applyFill="1"/>
    <xf numFmtId="0" fontId="0" fillId="0" borderId="0" xfId="0" applyFill="1"/>
    <xf numFmtId="0" fontId="11" fillId="0" borderId="0" xfId="3" applyFill="1"/>
    <xf numFmtId="0" fontId="2" fillId="0" borderId="0" xfId="3" applyFont="1" applyFill="1"/>
    <xf numFmtId="0" fontId="10" fillId="8" borderId="0" xfId="3" quotePrefix="1" applyFont="1" applyFill="1"/>
    <xf numFmtId="0" fontId="10" fillId="8" borderId="0" xfId="3" applyFont="1" applyFill="1"/>
    <xf numFmtId="0" fontId="10" fillId="0" borderId="0" xfId="0" applyFont="1" applyFill="1"/>
    <xf numFmtId="0" fontId="11" fillId="8" borderId="0" xfId="3" applyFont="1" applyFill="1"/>
    <xf numFmtId="0" fontId="10" fillId="0" borderId="0" xfId="0" applyFont="1"/>
    <xf numFmtId="0" fontId="10" fillId="0" borderId="0" xfId="3" applyFont="1" applyFill="1"/>
    <xf numFmtId="0" fontId="12" fillId="0" borderId="0" xfId="3" applyFont="1" applyFill="1"/>
    <xf numFmtId="0" fontId="12" fillId="0" borderId="0" xfId="3" applyFont="1"/>
    <xf numFmtId="0" fontId="0" fillId="9" borderId="0" xfId="0" applyFill="1"/>
    <xf numFmtId="0" fontId="10" fillId="8" borderId="0" xfId="0" applyFont="1" applyFill="1"/>
    <xf numFmtId="0" fontId="13" fillId="0" borderId="0" xfId="3" applyFont="1"/>
    <xf numFmtId="0" fontId="0" fillId="4" borderId="0" xfId="0" applyFill="1" applyAlignment="1">
      <alignment horizontal="left"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Alignment="1">
      <alignment horizontal="left" wrapText="1"/>
    </xf>
    <xf numFmtId="0" fontId="0" fillId="3" borderId="0" xfId="0" applyFill="1" applyAlignment="1">
      <alignment horizontal="left"/>
    </xf>
    <xf numFmtId="0" fontId="7" fillId="3" borderId="0" xfId="0" applyFont="1" applyFill="1"/>
    <xf numFmtId="0" fontId="0" fillId="3" borderId="0" xfId="0" applyFill="1" applyAlignment="1">
      <alignment horizontal="left" vertical="top" wrapText="1"/>
    </xf>
    <xf numFmtId="0" fontId="8" fillId="3" borderId="0" xfId="2" applyFont="1" applyFill="1"/>
    <xf numFmtId="0" fontId="14" fillId="0" borderId="0" xfId="0" applyFont="1"/>
    <xf numFmtId="0" fontId="2" fillId="0" borderId="0" xfId="0" applyFont="1"/>
    <xf numFmtId="0" fontId="0" fillId="0" borderId="0" xfId="0" applyAlignment="1">
      <alignment wrapText="1"/>
    </xf>
    <xf numFmtId="0" fontId="2" fillId="0" borderId="0" xfId="0" applyFont="1" applyAlignment="1">
      <alignment horizontal="center"/>
    </xf>
    <xf numFmtId="0" fontId="0" fillId="3" borderId="0" xfId="0" applyFill="1" applyAlignment="1">
      <alignment horizontal="left" vertical="top"/>
    </xf>
    <xf numFmtId="9" fontId="2" fillId="3" borderId="0" xfId="1" applyNumberFormat="1" applyFont="1" applyFill="1" applyBorder="1" applyAlignment="1">
      <alignment horizontal="right"/>
    </xf>
    <xf numFmtId="0" fontId="8" fillId="3" borderId="0" xfId="2" applyFill="1"/>
    <xf numFmtId="4" fontId="0" fillId="3" borderId="1" xfId="0" applyNumberFormat="1" applyFont="1" applyFill="1" applyBorder="1" applyAlignment="1">
      <alignment horizontal="right"/>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left" vertical="top" wrapText="1"/>
    </xf>
    <xf numFmtId="0" fontId="3" fillId="2" borderId="0" xfId="0" applyFont="1" applyFill="1" applyAlignment="1">
      <alignment horizontal="left"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0" xfId="0" applyFont="1" applyFill="1" applyBorder="1" applyAlignment="1">
      <alignment horizontal="center"/>
    </xf>
    <xf numFmtId="0" fontId="8" fillId="3" borderId="0" xfId="2" applyFill="1" applyAlignment="1">
      <alignment horizontal="right"/>
    </xf>
    <xf numFmtId="0" fontId="8" fillId="3" borderId="0" xfId="2" applyFill="1" applyAlignment="1">
      <alignment horizontal="right" wrapText="1"/>
    </xf>
  </cellXfs>
  <cellStyles count="4">
    <cellStyle name="Hyperlink" xfId="2" xr:uid="{00000000-0005-0000-0000-000000000000}"/>
    <cellStyle name="Normal" xfId="0" builtinId="0"/>
    <cellStyle name="Normal 3" xfId="3" xr:uid="{33A66B2D-46A7-4644-BF8E-1DFBC47902BC}"/>
    <cellStyle name="Percent" xfId="1" builtinId="5"/>
  </cellStyles>
  <dxfs count="15">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 textlink="">
      <xdr:nvSpPr>
        <xdr:cNvPr id="2" name="Star: 5 Points 1">
          <a:extLst>
            <a:ext uri="{FF2B5EF4-FFF2-40B4-BE49-F238E27FC236}">
              <a16:creationId xmlns:a16="http://schemas.microsoft.com/office/drawing/2014/main" id="{C780FFCE-EB51-44BF-9324-CC1C3C2280DF}"/>
            </a:ext>
          </a:extLst>
        </xdr:cNvPr>
        <xdr:cNvSpPr/>
      </xdr:nvSpPr>
      <xdr:spPr>
        <a:xfrm>
          <a:off x="291737" y="2277564"/>
          <a:ext cx="3752306" cy="63398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9.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70"/>
  <sheetViews>
    <sheetView topLeftCell="D1" workbookViewId="0">
      <pane ySplit="8" topLeftCell="A12" activePane="bottomLeft" state="frozen"/>
      <selection activeCell="A4" sqref="A4:L4"/>
      <selection pane="bottomLeft" activeCell="A4" sqref="A4:L4"/>
    </sheetView>
  </sheetViews>
  <sheetFormatPr defaultColWidth="9.1796875" defaultRowHeight="14.5" x14ac:dyDescent="0.35"/>
  <cols>
    <col min="1" max="1" width="50.7265625" style="5" customWidth="1"/>
    <col min="2" max="3" width="8.7265625" style="5" customWidth="1"/>
    <col min="4" max="4" width="12.7265625" style="5" customWidth="1"/>
    <col min="5" max="5" width="2.7265625" style="5" customWidth="1"/>
    <col min="6" max="7" width="8.7265625" style="5" customWidth="1"/>
    <col min="8" max="8" width="12.7265625" style="5" customWidth="1"/>
    <col min="9" max="9" width="2.7265625" style="5" customWidth="1"/>
    <col min="10" max="11" width="8.7265625" style="5" customWidth="1"/>
    <col min="12" max="12" width="12.7265625" style="5" customWidth="1"/>
    <col min="13" max="13" width="7.7265625" style="5" customWidth="1"/>
    <col min="14" max="15" width="8.7265625" style="5" customWidth="1"/>
    <col min="16" max="16" width="12.7265625" style="5" customWidth="1"/>
    <col min="17" max="17" width="2.7265625" style="5" customWidth="1"/>
    <col min="18" max="19" width="8.7265625" style="5" customWidth="1"/>
    <col min="20" max="20" width="12.7265625" style="5" customWidth="1"/>
    <col min="21" max="21" width="2.7265625" style="5" customWidth="1"/>
    <col min="22" max="23" width="8.7265625" style="5" customWidth="1"/>
    <col min="24" max="24" width="12.7265625" style="5" customWidth="1"/>
    <col min="25" max="16384" width="9.1796875" style="5"/>
  </cols>
  <sheetData>
    <row r="1" spans="1:34" s="1" customFormat="1" ht="23.25" customHeight="1" x14ac:dyDescent="0.5">
      <c r="A1" s="81" t="s">
        <v>0</v>
      </c>
      <c r="B1" s="81"/>
      <c r="C1" s="81"/>
      <c r="D1" s="81"/>
      <c r="E1" s="81"/>
      <c r="F1" s="81"/>
      <c r="G1" s="81"/>
      <c r="H1" s="81"/>
      <c r="I1" s="81"/>
      <c r="J1" s="81"/>
      <c r="K1" s="81"/>
      <c r="L1" s="81"/>
      <c r="M1" s="81"/>
      <c r="N1" s="81"/>
      <c r="O1" s="81"/>
      <c r="P1" s="81"/>
      <c r="Q1" s="81"/>
      <c r="R1" s="81"/>
      <c r="S1" s="81"/>
      <c r="T1" s="81"/>
      <c r="U1" s="81"/>
      <c r="V1" s="81"/>
      <c r="W1" s="81"/>
      <c r="X1" s="81"/>
    </row>
    <row r="2" spans="1:34" s="4" customFormat="1" x14ac:dyDescent="0.35">
      <c r="A2" s="2"/>
      <c r="B2" s="3"/>
      <c r="C2" s="3"/>
      <c r="D2" s="3"/>
      <c r="E2" s="3"/>
      <c r="F2" s="3"/>
      <c r="G2" s="3"/>
      <c r="H2" s="3"/>
      <c r="I2" s="3"/>
      <c r="J2" s="3"/>
      <c r="K2" s="3"/>
      <c r="L2" s="3"/>
      <c r="M2" s="3"/>
      <c r="N2" s="3"/>
      <c r="O2" s="3"/>
      <c r="P2" s="3"/>
      <c r="Q2" s="3"/>
      <c r="R2" s="3"/>
      <c r="S2" s="3"/>
      <c r="T2" s="3"/>
      <c r="U2" s="3"/>
      <c r="V2" s="3"/>
      <c r="W2" s="3"/>
      <c r="X2" s="3"/>
    </row>
    <row r="3" spans="1:34" s="4" customFormat="1" x14ac:dyDescent="0.35">
      <c r="A3" s="2"/>
      <c r="B3" s="3"/>
      <c r="C3" s="3"/>
      <c r="D3" s="3"/>
      <c r="E3" s="3"/>
      <c r="F3" s="3"/>
      <c r="G3" s="3"/>
      <c r="H3" s="3"/>
      <c r="I3" s="3"/>
      <c r="J3" s="3"/>
      <c r="K3" s="3"/>
      <c r="L3" s="3"/>
      <c r="M3" s="3"/>
      <c r="N3" s="3"/>
      <c r="O3" s="3"/>
      <c r="P3" s="3"/>
      <c r="Q3" s="3"/>
      <c r="R3" s="3"/>
      <c r="S3" s="3"/>
      <c r="T3" s="3"/>
      <c r="U3" s="3"/>
      <c r="V3" s="3"/>
      <c r="W3" s="3"/>
      <c r="X3" s="3"/>
    </row>
    <row r="4" spans="1:34" s="4" customFormat="1" x14ac:dyDescent="0.35">
      <c r="A4" s="2"/>
      <c r="B4" s="3"/>
      <c r="C4" s="3"/>
      <c r="D4" s="3"/>
      <c r="E4" s="3"/>
      <c r="F4" s="3"/>
      <c r="G4" s="3"/>
      <c r="H4" s="3"/>
      <c r="I4" s="3"/>
      <c r="J4" s="3"/>
      <c r="K4" s="3"/>
      <c r="L4" s="3"/>
      <c r="M4" s="3"/>
      <c r="N4" s="3"/>
      <c r="O4" s="3"/>
      <c r="P4" s="3"/>
      <c r="Q4" s="3"/>
      <c r="R4" s="3"/>
      <c r="S4" s="3"/>
      <c r="T4" s="3"/>
      <c r="U4" s="3"/>
      <c r="V4" s="3"/>
      <c r="W4" s="3"/>
      <c r="X4" s="3"/>
    </row>
    <row r="5" spans="1:34" s="4" customFormat="1" x14ac:dyDescent="0.35">
      <c r="A5" s="2"/>
      <c r="B5" s="3"/>
      <c r="C5" s="3"/>
      <c r="D5" s="3"/>
      <c r="E5" s="3"/>
      <c r="F5" s="3"/>
      <c r="G5" s="3"/>
      <c r="H5" s="3"/>
      <c r="I5" s="3"/>
      <c r="J5" s="3"/>
      <c r="K5" s="3"/>
      <c r="L5" s="3"/>
      <c r="M5" s="3"/>
      <c r="N5" s="3"/>
      <c r="O5" s="3"/>
      <c r="P5" s="3"/>
      <c r="Q5" s="3"/>
      <c r="R5" s="3"/>
      <c r="S5" s="3"/>
      <c r="T5" s="3"/>
      <c r="U5" s="3"/>
      <c r="V5" s="3"/>
      <c r="W5" s="3"/>
      <c r="X5" s="3"/>
    </row>
    <row r="6" spans="1:34" s="6" customFormat="1" ht="15.75" customHeight="1" thickBot="1" x14ac:dyDescent="0.4">
      <c r="A6" s="5"/>
      <c r="B6" s="82" t="s">
        <v>1</v>
      </c>
      <c r="C6" s="82"/>
      <c r="D6" s="82"/>
      <c r="E6" s="3"/>
      <c r="F6" s="82" t="s">
        <v>70</v>
      </c>
      <c r="G6" s="82"/>
      <c r="H6" s="82"/>
      <c r="I6" s="3"/>
      <c r="J6" s="83" t="s">
        <v>2</v>
      </c>
      <c r="K6" s="83"/>
      <c r="L6" s="83"/>
      <c r="M6" s="3"/>
      <c r="N6" s="82" t="s">
        <v>3</v>
      </c>
      <c r="O6" s="82"/>
      <c r="P6" s="82"/>
      <c r="Q6" s="3"/>
      <c r="R6" s="82" t="s">
        <v>4</v>
      </c>
      <c r="S6" s="82"/>
      <c r="T6" s="82"/>
      <c r="U6" s="3"/>
      <c r="V6" s="83" t="s">
        <v>5</v>
      </c>
      <c r="W6" s="83"/>
      <c r="X6" s="83"/>
    </row>
    <row r="7" spans="1:34" s="12" customFormat="1" ht="44" thickBot="1" x14ac:dyDescent="0.4">
      <c r="A7" s="7" t="s">
        <v>6</v>
      </c>
      <c r="B7" s="8" t="s">
        <v>7</v>
      </c>
      <c r="C7" s="8" t="s">
        <v>8</v>
      </c>
      <c r="D7" s="9" t="s">
        <v>9</v>
      </c>
      <c r="E7" s="8"/>
      <c r="F7" s="8" t="s">
        <v>7</v>
      </c>
      <c r="G7" s="8" t="s">
        <v>8</v>
      </c>
      <c r="H7" s="9" t="s">
        <v>9</v>
      </c>
      <c r="I7" s="8"/>
      <c r="J7" s="10" t="s">
        <v>7</v>
      </c>
      <c r="K7" s="10" t="s">
        <v>8</v>
      </c>
      <c r="L7" s="11" t="s">
        <v>9</v>
      </c>
      <c r="M7" s="8"/>
      <c r="N7" s="8" t="s">
        <v>7</v>
      </c>
      <c r="O7" s="8" t="s">
        <v>8</v>
      </c>
      <c r="P7" s="9" t="s">
        <v>9</v>
      </c>
      <c r="Q7" s="8"/>
      <c r="R7" s="8" t="s">
        <v>7</v>
      </c>
      <c r="S7" s="8" t="s">
        <v>8</v>
      </c>
      <c r="T7" s="9" t="s">
        <v>9</v>
      </c>
      <c r="U7" s="8"/>
      <c r="V7" s="10" t="s">
        <v>7</v>
      </c>
      <c r="W7" s="10" t="s">
        <v>8</v>
      </c>
      <c r="X7" s="11" t="s">
        <v>9</v>
      </c>
    </row>
    <row r="8" spans="1:34" s="6" customFormat="1" ht="15" customHeight="1" x14ac:dyDescent="0.35">
      <c r="A8" s="13" t="s">
        <v>10</v>
      </c>
      <c r="B8" s="14">
        <f>B9+B49</f>
        <v>418</v>
      </c>
      <c r="C8" s="14">
        <f>C9+C49</f>
        <v>58</v>
      </c>
      <c r="D8" s="15">
        <f>IF(B8+C8=0,"-",(C8/(B8+C8)))</f>
        <v>0.12184873949579832</v>
      </c>
      <c r="E8" s="14"/>
      <c r="F8" s="14">
        <f>F9+F49</f>
        <v>937</v>
      </c>
      <c r="G8" s="14">
        <f>G9+G49</f>
        <v>71</v>
      </c>
      <c r="H8" s="15">
        <f>IF(F8+G8=0,"-",(G8/(F8+G8)))</f>
        <v>7.0436507936507936E-2</v>
      </c>
      <c r="I8" s="14"/>
      <c r="J8" s="14">
        <f>J9+J49</f>
        <v>1355</v>
      </c>
      <c r="K8" s="14">
        <f>K9+K49</f>
        <v>129</v>
      </c>
      <c r="L8" s="15">
        <f>IF(J8+K8=0,"-",(K8/(J8+K8)))</f>
        <v>8.6927223719676552E-2</v>
      </c>
      <c r="M8" s="14"/>
      <c r="N8" s="14">
        <f>N9+N49</f>
        <v>22</v>
      </c>
      <c r="O8" s="14">
        <f>O9+O49</f>
        <v>39</v>
      </c>
      <c r="P8" s="15">
        <f>IF(N8+O8=0,"-",(O8/(N8+O8)))</f>
        <v>0.63934426229508201</v>
      </c>
      <c r="Q8" s="14"/>
      <c r="R8" s="14">
        <f>R9+R49</f>
        <v>336</v>
      </c>
      <c r="S8" s="14">
        <f>S9+S49</f>
        <v>381</v>
      </c>
      <c r="T8" s="15">
        <f>IF(R8+S8=0,"-",(S8/(R8+S8)))</f>
        <v>0.53138075313807531</v>
      </c>
      <c r="U8" s="14"/>
      <c r="V8" s="14">
        <f>V9+V49</f>
        <v>1713</v>
      </c>
      <c r="W8" s="14">
        <f>W9+W49</f>
        <v>549</v>
      </c>
      <c r="X8" s="15">
        <f>IF(V8+W8=0,"-",(W8/(V8+W8)))</f>
        <v>0.2427055702917772</v>
      </c>
      <c r="Y8" s="16"/>
      <c r="Z8" s="16"/>
      <c r="AA8" s="16"/>
      <c r="AB8" s="16"/>
      <c r="AC8" s="16"/>
      <c r="AD8" s="16"/>
      <c r="AE8" s="16"/>
      <c r="AF8" s="16"/>
      <c r="AG8" s="16"/>
      <c r="AH8" s="17"/>
    </row>
    <row r="9" spans="1:34" s="6" customFormat="1" ht="15" customHeight="1" x14ac:dyDescent="0.35">
      <c r="A9" s="18" t="s">
        <v>11</v>
      </c>
      <c r="B9" s="14">
        <f>SUM(B10:B48)</f>
        <v>280</v>
      </c>
      <c r="C9" s="14">
        <f>SUM(C10:C48)</f>
        <v>37</v>
      </c>
      <c r="D9" s="15">
        <f>IF(B9+C9=0,"-",(C9/(B9+C9)))</f>
        <v>0.1167192429022082</v>
      </c>
      <c r="E9" s="14"/>
      <c r="F9" s="14">
        <f>SUM(F10:F48)</f>
        <v>924</v>
      </c>
      <c r="G9" s="14">
        <f>SUM(G10:G48)</f>
        <v>68</v>
      </c>
      <c r="H9" s="15">
        <f>IF(F9+G9=0,"-",(G9/(F9+G9)))</f>
        <v>6.8548387096774188E-2</v>
      </c>
      <c r="I9" s="14"/>
      <c r="J9" s="14">
        <f>SUM(J10:J48)</f>
        <v>1204</v>
      </c>
      <c r="K9" s="14">
        <f>SUM(K10:K48)</f>
        <v>105</v>
      </c>
      <c r="L9" s="15">
        <f>IF(J9+K9=0,"-",(K9/(J9+K9)))</f>
        <v>8.0213903743315509E-2</v>
      </c>
      <c r="M9" s="14"/>
      <c r="N9" s="14">
        <f>SUM(N10:N48)</f>
        <v>14</v>
      </c>
      <c r="O9" s="14">
        <f>SUM(O10:O48)</f>
        <v>22</v>
      </c>
      <c r="P9" s="15">
        <f>IF(N9+O9=0,"-",(O9/(N9+O9)))</f>
        <v>0.61111111111111116</v>
      </c>
      <c r="Q9" s="14"/>
      <c r="R9" s="14">
        <f>SUM(R10:R48)</f>
        <v>248</v>
      </c>
      <c r="S9" s="14">
        <f>SUM(S10:S48)</f>
        <v>272</v>
      </c>
      <c r="T9" s="15">
        <f>IF(R9+S9=0,"-",(S9/(R9+S9)))</f>
        <v>0.52307692307692311</v>
      </c>
      <c r="U9" s="14"/>
      <c r="V9" s="14">
        <f>SUM(V10:V48)</f>
        <v>1466</v>
      </c>
      <c r="W9" s="14">
        <f>SUM(W10:W48)</f>
        <v>399</v>
      </c>
      <c r="X9" s="15">
        <f>IF(V9+W9=0,"-",(W9/(V9+W9)))</f>
        <v>0.21394101876675603</v>
      </c>
      <c r="Y9" s="16"/>
      <c r="Z9" s="16"/>
      <c r="AA9" s="16"/>
      <c r="AB9" s="16"/>
      <c r="AC9" s="16"/>
      <c r="AD9" s="16"/>
      <c r="AE9" s="16"/>
      <c r="AF9" s="16"/>
      <c r="AG9" s="16"/>
    </row>
    <row r="10" spans="1:34" s="6" customFormat="1" ht="15" customHeight="1" x14ac:dyDescent="0.35">
      <c r="A10" s="5" t="s">
        <v>12</v>
      </c>
      <c r="B10" s="19">
        <v>0</v>
      </c>
      <c r="C10" s="19">
        <v>0</v>
      </c>
      <c r="D10" s="20" t="str">
        <f>IF(B10+C10=0,"-",(C10/(B10+C10)))</f>
        <v>-</v>
      </c>
      <c r="E10" s="19"/>
      <c r="F10" s="19">
        <v>0</v>
      </c>
      <c r="G10" s="19">
        <v>0</v>
      </c>
      <c r="H10" s="20" t="str">
        <f>IF(F10+G10=0,"-",(G10/(F10+G10)))</f>
        <v>-</v>
      </c>
      <c r="I10" s="19"/>
      <c r="J10" s="14">
        <f>B10+F10</f>
        <v>0</v>
      </c>
      <c r="K10" s="14">
        <f>C10+G10</f>
        <v>0</v>
      </c>
      <c r="L10" s="20" t="str">
        <f>IF(J10+K10=0,"-",(K10/(J10+K10)))</f>
        <v>-</v>
      </c>
      <c r="M10" s="19"/>
      <c r="N10" s="19">
        <v>0</v>
      </c>
      <c r="O10" s="19">
        <v>0</v>
      </c>
      <c r="P10" s="20" t="str">
        <f>IF(N10+O10=0,"-",(O10/(N10+O10)))</f>
        <v>-</v>
      </c>
      <c r="Q10" s="19"/>
      <c r="R10" s="19">
        <v>0</v>
      </c>
      <c r="S10" s="19">
        <v>0</v>
      </c>
      <c r="T10" s="20" t="str">
        <f>IF(R10+S10=0,"-",(S10/(R10+S10)))</f>
        <v>-</v>
      </c>
      <c r="U10" s="19"/>
      <c r="V10" s="14">
        <f>J10+N10+R10</f>
        <v>0</v>
      </c>
      <c r="W10" s="14">
        <f>K10+O10+S10</f>
        <v>0</v>
      </c>
      <c r="X10" s="20" t="str">
        <f>IF(V10+W10=0,"-",(W10/(V10+W10)))</f>
        <v>-</v>
      </c>
      <c r="Y10" s="16"/>
      <c r="Z10" s="16"/>
      <c r="AA10" s="16"/>
      <c r="AB10" s="16"/>
      <c r="AC10" s="16"/>
      <c r="AD10" s="16"/>
      <c r="AE10" s="16"/>
      <c r="AF10" s="16"/>
      <c r="AG10" s="16"/>
    </row>
    <row r="11" spans="1:34" s="6" customFormat="1" ht="15" customHeight="1" x14ac:dyDescent="0.35">
      <c r="A11" s="5" t="s">
        <v>13</v>
      </c>
      <c r="B11" s="19">
        <v>20</v>
      </c>
      <c r="C11" s="19">
        <v>3</v>
      </c>
      <c r="D11" s="20">
        <f t="shared" ref="D11:D56" si="0">IF(B11+C11=0,"-",(C11/(B11+C11)))</f>
        <v>0.13043478260869565</v>
      </c>
      <c r="E11" s="19"/>
      <c r="F11" s="19">
        <v>19</v>
      </c>
      <c r="G11" s="19">
        <v>3</v>
      </c>
      <c r="H11" s="20">
        <f t="shared" ref="H11:H56" si="1">IF(F11+G11=0,"-",(G11/(F11+G11)))</f>
        <v>0.13636363636363635</v>
      </c>
      <c r="I11" s="19"/>
      <c r="J11" s="14">
        <f t="shared" ref="J11:K56" si="2">B11+F11</f>
        <v>39</v>
      </c>
      <c r="K11" s="14">
        <f t="shared" si="2"/>
        <v>6</v>
      </c>
      <c r="L11" s="20">
        <f t="shared" ref="L11:L56" si="3">IF(J11+K11=0,"-",(K11/(J11+K11)))</f>
        <v>0.13333333333333333</v>
      </c>
      <c r="M11" s="19"/>
      <c r="N11" s="19">
        <v>0</v>
      </c>
      <c r="O11" s="19">
        <v>0</v>
      </c>
      <c r="P11" s="20" t="str">
        <f t="shared" ref="P11:P56" si="4">IF(N11+O11=0,"-",(O11/(N11+O11)))</f>
        <v>-</v>
      </c>
      <c r="Q11" s="19"/>
      <c r="R11" s="19">
        <v>6</v>
      </c>
      <c r="S11" s="19">
        <v>6</v>
      </c>
      <c r="T11" s="20">
        <f t="shared" ref="T11:T56" si="5">IF(R11+S11=0,"-",(S11/(R11+S11)))</f>
        <v>0.5</v>
      </c>
      <c r="U11" s="19"/>
      <c r="V11" s="14">
        <f t="shared" ref="V11:W56" si="6">J11+N11+R11</f>
        <v>45</v>
      </c>
      <c r="W11" s="14">
        <f t="shared" si="6"/>
        <v>12</v>
      </c>
      <c r="X11" s="20">
        <f t="shared" ref="X11:X56" si="7">IF(V11+W11=0,"-",(W11/(V11+W11)))</f>
        <v>0.21052631578947367</v>
      </c>
      <c r="Y11" s="16"/>
      <c r="Z11" s="16"/>
      <c r="AA11" s="16"/>
      <c r="AB11" s="16"/>
      <c r="AC11" s="16"/>
      <c r="AD11" s="16"/>
      <c r="AE11" s="16"/>
      <c r="AF11" s="16"/>
      <c r="AG11" s="16"/>
    </row>
    <row r="12" spans="1:34" s="6" customFormat="1" ht="15" customHeight="1" x14ac:dyDescent="0.35">
      <c r="A12" s="5" t="s">
        <v>14</v>
      </c>
      <c r="B12" s="19">
        <v>7</v>
      </c>
      <c r="C12" s="19">
        <v>0</v>
      </c>
      <c r="D12" s="20">
        <f t="shared" si="0"/>
        <v>0</v>
      </c>
      <c r="E12" s="19"/>
      <c r="F12" s="19">
        <v>5</v>
      </c>
      <c r="G12" s="19">
        <v>3</v>
      </c>
      <c r="H12" s="20">
        <f t="shared" si="1"/>
        <v>0.375</v>
      </c>
      <c r="I12" s="19"/>
      <c r="J12" s="14">
        <f t="shared" si="2"/>
        <v>12</v>
      </c>
      <c r="K12" s="14">
        <f t="shared" si="2"/>
        <v>3</v>
      </c>
      <c r="L12" s="20">
        <f t="shared" si="3"/>
        <v>0.2</v>
      </c>
      <c r="M12" s="19"/>
      <c r="N12" s="19">
        <v>1</v>
      </c>
      <c r="O12" s="19">
        <v>2</v>
      </c>
      <c r="P12" s="20">
        <f t="shared" si="4"/>
        <v>0.66666666666666663</v>
      </c>
      <c r="Q12" s="19"/>
      <c r="R12" s="19">
        <v>9</v>
      </c>
      <c r="S12" s="19">
        <v>13</v>
      </c>
      <c r="T12" s="20">
        <f t="shared" si="5"/>
        <v>0.59090909090909094</v>
      </c>
      <c r="U12" s="19"/>
      <c r="V12" s="14">
        <f t="shared" si="6"/>
        <v>22</v>
      </c>
      <c r="W12" s="14">
        <f t="shared" si="6"/>
        <v>18</v>
      </c>
      <c r="X12" s="20">
        <f t="shared" si="7"/>
        <v>0.45</v>
      </c>
      <c r="Y12" s="16"/>
      <c r="Z12" s="16"/>
      <c r="AA12" s="16"/>
      <c r="AB12" s="16"/>
      <c r="AC12" s="16"/>
      <c r="AD12" s="16"/>
      <c r="AE12" s="16"/>
      <c r="AF12" s="16"/>
      <c r="AG12" s="16"/>
    </row>
    <row r="13" spans="1:34" s="6" customFormat="1" ht="15" customHeight="1" x14ac:dyDescent="0.35">
      <c r="A13" s="5" t="s">
        <v>15</v>
      </c>
      <c r="B13" s="19">
        <v>10</v>
      </c>
      <c r="C13" s="19">
        <v>1</v>
      </c>
      <c r="D13" s="20">
        <f t="shared" si="0"/>
        <v>9.0909090909090912E-2</v>
      </c>
      <c r="E13" s="19"/>
      <c r="F13" s="19">
        <v>19</v>
      </c>
      <c r="G13" s="19">
        <v>2</v>
      </c>
      <c r="H13" s="20">
        <f t="shared" si="1"/>
        <v>9.5238095238095233E-2</v>
      </c>
      <c r="I13" s="19"/>
      <c r="J13" s="14">
        <f t="shared" si="2"/>
        <v>29</v>
      </c>
      <c r="K13" s="14">
        <f t="shared" si="2"/>
        <v>3</v>
      </c>
      <c r="L13" s="20">
        <f t="shared" si="3"/>
        <v>9.375E-2</v>
      </c>
      <c r="M13" s="19"/>
      <c r="N13" s="19">
        <v>0</v>
      </c>
      <c r="O13" s="19">
        <v>0</v>
      </c>
      <c r="P13" s="20" t="str">
        <f t="shared" si="4"/>
        <v>-</v>
      </c>
      <c r="Q13" s="19"/>
      <c r="R13" s="19">
        <v>3</v>
      </c>
      <c r="S13" s="19">
        <v>6</v>
      </c>
      <c r="T13" s="20">
        <f t="shared" si="5"/>
        <v>0.66666666666666663</v>
      </c>
      <c r="U13" s="19"/>
      <c r="V13" s="14">
        <f t="shared" si="6"/>
        <v>32</v>
      </c>
      <c r="W13" s="14">
        <f t="shared" si="6"/>
        <v>9</v>
      </c>
      <c r="X13" s="20">
        <f t="shared" si="7"/>
        <v>0.21951219512195122</v>
      </c>
      <c r="Y13" s="16"/>
      <c r="Z13" s="16"/>
      <c r="AA13" s="16"/>
      <c r="AB13" s="16"/>
      <c r="AC13" s="16"/>
      <c r="AD13" s="16"/>
      <c r="AE13" s="16"/>
      <c r="AF13" s="16"/>
      <c r="AG13" s="16"/>
    </row>
    <row r="14" spans="1:34" s="6" customFormat="1" ht="15" customHeight="1" x14ac:dyDescent="0.35">
      <c r="A14" s="5" t="s">
        <v>16</v>
      </c>
      <c r="B14" s="19">
        <v>0</v>
      </c>
      <c r="C14" s="19">
        <v>0</v>
      </c>
      <c r="D14" s="20" t="str">
        <f t="shared" si="0"/>
        <v>-</v>
      </c>
      <c r="E14" s="19"/>
      <c r="F14" s="19">
        <v>0</v>
      </c>
      <c r="G14" s="19">
        <v>0</v>
      </c>
      <c r="H14" s="20" t="str">
        <f t="shared" si="1"/>
        <v>-</v>
      </c>
      <c r="I14" s="19"/>
      <c r="J14" s="14">
        <f t="shared" si="2"/>
        <v>0</v>
      </c>
      <c r="K14" s="14">
        <f t="shared" si="2"/>
        <v>0</v>
      </c>
      <c r="L14" s="20" t="str">
        <f t="shared" si="3"/>
        <v>-</v>
      </c>
      <c r="M14" s="19"/>
      <c r="N14" s="19">
        <v>0</v>
      </c>
      <c r="O14" s="19">
        <v>0</v>
      </c>
      <c r="P14" s="20" t="str">
        <f t="shared" si="4"/>
        <v>-</v>
      </c>
      <c r="Q14" s="19"/>
      <c r="R14" s="19">
        <v>0</v>
      </c>
      <c r="S14" s="19">
        <v>0</v>
      </c>
      <c r="T14" s="20" t="str">
        <f t="shared" si="5"/>
        <v>-</v>
      </c>
      <c r="U14" s="19"/>
      <c r="V14" s="14">
        <f t="shared" si="6"/>
        <v>0</v>
      </c>
      <c r="W14" s="14">
        <f t="shared" si="6"/>
        <v>0</v>
      </c>
      <c r="X14" s="20" t="str">
        <f t="shared" si="7"/>
        <v>-</v>
      </c>
      <c r="Y14" s="16"/>
      <c r="Z14" s="16"/>
      <c r="AA14" s="16"/>
      <c r="AB14" s="16"/>
      <c r="AC14" s="16"/>
      <c r="AD14" s="16"/>
      <c r="AE14" s="16"/>
      <c r="AF14" s="16"/>
      <c r="AG14" s="16"/>
    </row>
    <row r="15" spans="1:34" s="6" customFormat="1" ht="15" customHeight="1" x14ac:dyDescent="0.35">
      <c r="A15" s="5" t="s">
        <v>17</v>
      </c>
      <c r="B15" s="19">
        <v>23</v>
      </c>
      <c r="C15" s="19">
        <v>7</v>
      </c>
      <c r="D15" s="20">
        <f t="shared" si="0"/>
        <v>0.23333333333333334</v>
      </c>
      <c r="E15" s="19"/>
      <c r="F15" s="19">
        <v>57</v>
      </c>
      <c r="G15" s="19">
        <v>3</v>
      </c>
      <c r="H15" s="20">
        <f t="shared" si="1"/>
        <v>0.05</v>
      </c>
      <c r="I15" s="19"/>
      <c r="J15" s="14">
        <f t="shared" si="2"/>
        <v>80</v>
      </c>
      <c r="K15" s="14">
        <f t="shared" si="2"/>
        <v>10</v>
      </c>
      <c r="L15" s="20">
        <f t="shared" si="3"/>
        <v>0.1111111111111111</v>
      </c>
      <c r="M15" s="19"/>
      <c r="N15" s="19">
        <v>0</v>
      </c>
      <c r="O15" s="19">
        <v>0</v>
      </c>
      <c r="P15" s="20" t="str">
        <f t="shared" si="4"/>
        <v>-</v>
      </c>
      <c r="Q15" s="19"/>
      <c r="R15" s="19">
        <v>24</v>
      </c>
      <c r="S15" s="19">
        <v>29</v>
      </c>
      <c r="T15" s="20">
        <f t="shared" si="5"/>
        <v>0.54716981132075471</v>
      </c>
      <c r="U15" s="19"/>
      <c r="V15" s="14">
        <f t="shared" si="6"/>
        <v>104</v>
      </c>
      <c r="W15" s="14">
        <f t="shared" si="6"/>
        <v>39</v>
      </c>
      <c r="X15" s="20">
        <f t="shared" si="7"/>
        <v>0.27272727272727271</v>
      </c>
      <c r="Y15" s="16"/>
      <c r="Z15" s="16"/>
      <c r="AA15" s="16"/>
      <c r="AB15" s="16"/>
      <c r="AC15" s="16"/>
      <c r="AD15" s="16"/>
      <c r="AE15" s="16"/>
      <c r="AF15" s="16"/>
      <c r="AG15" s="16"/>
    </row>
    <row r="16" spans="1:34" s="6" customFormat="1" ht="15" customHeight="1" x14ac:dyDescent="0.35">
      <c r="A16" s="5" t="s">
        <v>18</v>
      </c>
      <c r="B16" s="19">
        <v>0</v>
      </c>
      <c r="C16" s="19">
        <v>0</v>
      </c>
      <c r="D16" s="20" t="str">
        <f t="shared" si="0"/>
        <v>-</v>
      </c>
      <c r="E16" s="19"/>
      <c r="F16" s="19">
        <v>0</v>
      </c>
      <c r="G16" s="19">
        <v>0</v>
      </c>
      <c r="H16" s="20" t="str">
        <f t="shared" si="1"/>
        <v>-</v>
      </c>
      <c r="I16" s="19"/>
      <c r="J16" s="14">
        <f t="shared" si="2"/>
        <v>0</v>
      </c>
      <c r="K16" s="14">
        <f t="shared" si="2"/>
        <v>0</v>
      </c>
      <c r="L16" s="20" t="str">
        <f t="shared" si="3"/>
        <v>-</v>
      </c>
      <c r="M16" s="19"/>
      <c r="N16" s="19">
        <v>0</v>
      </c>
      <c r="O16" s="19">
        <v>0</v>
      </c>
      <c r="P16" s="20" t="str">
        <f t="shared" si="4"/>
        <v>-</v>
      </c>
      <c r="Q16" s="19"/>
      <c r="R16" s="19">
        <v>0</v>
      </c>
      <c r="S16" s="19">
        <v>0</v>
      </c>
      <c r="T16" s="20" t="str">
        <f t="shared" si="5"/>
        <v>-</v>
      </c>
      <c r="U16" s="19"/>
      <c r="V16" s="14">
        <f t="shared" si="6"/>
        <v>0</v>
      </c>
      <c r="W16" s="14">
        <f t="shared" si="6"/>
        <v>0</v>
      </c>
      <c r="X16" s="20" t="str">
        <f t="shared" si="7"/>
        <v>-</v>
      </c>
      <c r="Y16" s="16"/>
      <c r="Z16" s="16"/>
      <c r="AA16" s="16"/>
      <c r="AB16" s="16"/>
      <c r="AC16" s="16"/>
      <c r="AD16" s="16"/>
      <c r="AE16" s="16"/>
      <c r="AF16" s="16"/>
      <c r="AG16" s="16"/>
    </row>
    <row r="17" spans="1:33" s="6" customFormat="1" ht="15" customHeight="1" x14ac:dyDescent="0.35">
      <c r="A17" s="5" t="s">
        <v>19</v>
      </c>
      <c r="B17" s="19">
        <v>0</v>
      </c>
      <c r="C17" s="19">
        <v>0</v>
      </c>
      <c r="D17" s="20" t="str">
        <f t="shared" si="0"/>
        <v>-</v>
      </c>
      <c r="E17" s="19"/>
      <c r="F17" s="19">
        <v>26</v>
      </c>
      <c r="G17" s="19">
        <v>1</v>
      </c>
      <c r="H17" s="20">
        <f t="shared" si="1"/>
        <v>3.7037037037037035E-2</v>
      </c>
      <c r="I17" s="19"/>
      <c r="J17" s="14">
        <f t="shared" si="2"/>
        <v>26</v>
      </c>
      <c r="K17" s="14">
        <f t="shared" si="2"/>
        <v>1</v>
      </c>
      <c r="L17" s="20">
        <f t="shared" si="3"/>
        <v>3.7037037037037035E-2</v>
      </c>
      <c r="M17" s="19"/>
      <c r="N17" s="19">
        <v>1</v>
      </c>
      <c r="O17" s="19">
        <v>1</v>
      </c>
      <c r="P17" s="20">
        <f t="shared" si="4"/>
        <v>0.5</v>
      </c>
      <c r="Q17" s="19"/>
      <c r="R17" s="19">
        <v>2</v>
      </c>
      <c r="S17" s="19">
        <v>3</v>
      </c>
      <c r="T17" s="20">
        <f t="shared" si="5"/>
        <v>0.6</v>
      </c>
      <c r="U17" s="19"/>
      <c r="V17" s="14">
        <f t="shared" si="6"/>
        <v>29</v>
      </c>
      <c r="W17" s="14">
        <f t="shared" si="6"/>
        <v>5</v>
      </c>
      <c r="X17" s="20">
        <f t="shared" si="7"/>
        <v>0.14705882352941177</v>
      </c>
      <c r="Y17" s="16"/>
      <c r="Z17" s="16"/>
      <c r="AA17" s="16"/>
      <c r="AB17" s="16"/>
      <c r="AC17" s="16"/>
      <c r="AD17" s="16"/>
      <c r="AE17" s="16"/>
      <c r="AF17" s="16"/>
      <c r="AG17" s="16"/>
    </row>
    <row r="18" spans="1:33" s="6" customFormat="1" ht="15" customHeight="1" x14ac:dyDescent="0.35">
      <c r="A18" s="5" t="s">
        <v>20</v>
      </c>
      <c r="B18" s="19">
        <v>10</v>
      </c>
      <c r="C18" s="19">
        <v>2</v>
      </c>
      <c r="D18" s="20">
        <f t="shared" si="0"/>
        <v>0.16666666666666666</v>
      </c>
      <c r="E18" s="19"/>
      <c r="F18" s="19">
        <v>0</v>
      </c>
      <c r="G18" s="19">
        <v>0</v>
      </c>
      <c r="H18" s="20" t="str">
        <f t="shared" si="1"/>
        <v>-</v>
      </c>
      <c r="I18" s="19"/>
      <c r="J18" s="14">
        <f t="shared" si="2"/>
        <v>10</v>
      </c>
      <c r="K18" s="14">
        <f t="shared" si="2"/>
        <v>2</v>
      </c>
      <c r="L18" s="20">
        <f t="shared" si="3"/>
        <v>0.16666666666666666</v>
      </c>
      <c r="M18" s="19"/>
      <c r="N18" s="19">
        <v>0</v>
      </c>
      <c r="O18" s="19">
        <v>0</v>
      </c>
      <c r="P18" s="20" t="str">
        <f t="shared" si="4"/>
        <v>-</v>
      </c>
      <c r="Q18" s="19"/>
      <c r="R18" s="19">
        <v>1</v>
      </c>
      <c r="S18" s="19">
        <v>1</v>
      </c>
      <c r="T18" s="20">
        <f t="shared" si="5"/>
        <v>0.5</v>
      </c>
      <c r="U18" s="19"/>
      <c r="V18" s="14">
        <f t="shared" si="6"/>
        <v>11</v>
      </c>
      <c r="W18" s="14">
        <f t="shared" si="6"/>
        <v>3</v>
      </c>
      <c r="X18" s="20">
        <f t="shared" si="7"/>
        <v>0.21428571428571427</v>
      </c>
      <c r="Y18" s="16"/>
      <c r="Z18" s="16"/>
      <c r="AA18" s="16"/>
      <c r="AB18" s="16"/>
      <c r="AC18" s="16"/>
      <c r="AD18" s="16"/>
      <c r="AE18" s="16"/>
      <c r="AF18" s="16"/>
      <c r="AG18" s="16"/>
    </row>
    <row r="19" spans="1:33" s="6" customFormat="1" ht="15" customHeight="1" x14ac:dyDescent="0.35">
      <c r="A19" s="21" t="s">
        <v>21</v>
      </c>
      <c r="B19" s="19">
        <v>21</v>
      </c>
      <c r="C19" s="19">
        <v>3</v>
      </c>
      <c r="D19" s="20">
        <f t="shared" si="0"/>
        <v>0.125</v>
      </c>
      <c r="E19" s="19"/>
      <c r="F19" s="19">
        <v>37</v>
      </c>
      <c r="G19" s="19">
        <v>1</v>
      </c>
      <c r="H19" s="20">
        <f t="shared" si="1"/>
        <v>2.6315789473684209E-2</v>
      </c>
      <c r="I19" s="19"/>
      <c r="J19" s="14">
        <f t="shared" si="2"/>
        <v>58</v>
      </c>
      <c r="K19" s="14">
        <f t="shared" si="2"/>
        <v>4</v>
      </c>
      <c r="L19" s="20">
        <f t="shared" si="3"/>
        <v>6.4516129032258063E-2</v>
      </c>
      <c r="M19" s="19"/>
      <c r="N19" s="19">
        <v>2</v>
      </c>
      <c r="O19" s="19">
        <v>1</v>
      </c>
      <c r="P19" s="20">
        <f t="shared" si="4"/>
        <v>0.33333333333333331</v>
      </c>
      <c r="Q19" s="19"/>
      <c r="R19" s="19">
        <v>11</v>
      </c>
      <c r="S19" s="19">
        <v>15</v>
      </c>
      <c r="T19" s="20">
        <f t="shared" si="5"/>
        <v>0.57692307692307687</v>
      </c>
      <c r="U19" s="19"/>
      <c r="V19" s="14">
        <f t="shared" si="6"/>
        <v>71</v>
      </c>
      <c r="W19" s="14">
        <f t="shared" si="6"/>
        <v>20</v>
      </c>
      <c r="X19" s="20">
        <f t="shared" si="7"/>
        <v>0.21978021978021978</v>
      </c>
      <c r="Y19" s="16"/>
      <c r="Z19" s="16"/>
      <c r="AA19" s="16"/>
      <c r="AB19" s="16"/>
      <c r="AC19" s="16"/>
      <c r="AD19" s="16"/>
      <c r="AE19" s="16"/>
      <c r="AF19" s="16"/>
      <c r="AG19" s="16"/>
    </row>
    <row r="20" spans="1:33" s="6" customFormat="1" ht="15" customHeight="1" x14ac:dyDescent="0.35">
      <c r="A20" s="21" t="s">
        <v>22</v>
      </c>
      <c r="B20" s="19">
        <v>3</v>
      </c>
      <c r="C20" s="19">
        <v>0</v>
      </c>
      <c r="D20" s="20">
        <f t="shared" si="0"/>
        <v>0</v>
      </c>
      <c r="E20" s="19"/>
      <c r="F20" s="19">
        <v>88</v>
      </c>
      <c r="G20" s="19">
        <v>6</v>
      </c>
      <c r="H20" s="20">
        <f t="shared" si="1"/>
        <v>6.3829787234042548E-2</v>
      </c>
      <c r="I20" s="19"/>
      <c r="J20" s="14">
        <f t="shared" si="2"/>
        <v>91</v>
      </c>
      <c r="K20" s="14">
        <f t="shared" si="2"/>
        <v>6</v>
      </c>
      <c r="L20" s="20">
        <f t="shared" si="3"/>
        <v>6.1855670103092786E-2</v>
      </c>
      <c r="M20" s="19"/>
      <c r="N20" s="19">
        <v>0</v>
      </c>
      <c r="O20" s="19">
        <v>0</v>
      </c>
      <c r="P20" s="20" t="str">
        <f t="shared" si="4"/>
        <v>-</v>
      </c>
      <c r="Q20" s="19"/>
      <c r="R20" s="19">
        <v>2</v>
      </c>
      <c r="S20" s="19">
        <v>3</v>
      </c>
      <c r="T20" s="20">
        <f t="shared" si="5"/>
        <v>0.6</v>
      </c>
      <c r="U20" s="19"/>
      <c r="V20" s="14">
        <f t="shared" si="6"/>
        <v>93</v>
      </c>
      <c r="W20" s="14">
        <f t="shared" si="6"/>
        <v>9</v>
      </c>
      <c r="X20" s="20">
        <f t="shared" si="7"/>
        <v>8.8235294117647065E-2</v>
      </c>
      <c r="Y20" s="16"/>
      <c r="Z20" s="16"/>
      <c r="AA20" s="16"/>
      <c r="AB20" s="16"/>
      <c r="AC20" s="16"/>
      <c r="AD20" s="16"/>
      <c r="AE20" s="16"/>
      <c r="AF20" s="16"/>
      <c r="AG20" s="16"/>
    </row>
    <row r="21" spans="1:33" s="6" customFormat="1" ht="15" customHeight="1" x14ac:dyDescent="0.35">
      <c r="A21" s="5" t="s">
        <v>23</v>
      </c>
      <c r="B21" s="19">
        <v>15</v>
      </c>
      <c r="C21" s="19">
        <v>3</v>
      </c>
      <c r="D21" s="20">
        <f t="shared" si="0"/>
        <v>0.16666666666666666</v>
      </c>
      <c r="E21" s="19"/>
      <c r="F21" s="19">
        <v>31</v>
      </c>
      <c r="G21" s="19">
        <v>1</v>
      </c>
      <c r="H21" s="20">
        <f t="shared" si="1"/>
        <v>3.125E-2</v>
      </c>
      <c r="I21" s="19"/>
      <c r="J21" s="14">
        <f t="shared" si="2"/>
        <v>46</v>
      </c>
      <c r="K21" s="14">
        <f t="shared" si="2"/>
        <v>4</v>
      </c>
      <c r="L21" s="20">
        <f t="shared" si="3"/>
        <v>0.08</v>
      </c>
      <c r="M21" s="19"/>
      <c r="N21" s="19">
        <v>0</v>
      </c>
      <c r="O21" s="19">
        <v>0</v>
      </c>
      <c r="P21" s="20" t="str">
        <f t="shared" si="4"/>
        <v>-</v>
      </c>
      <c r="Q21" s="19"/>
      <c r="R21" s="19">
        <v>16</v>
      </c>
      <c r="S21" s="19">
        <v>16</v>
      </c>
      <c r="T21" s="20">
        <f t="shared" si="5"/>
        <v>0.5</v>
      </c>
      <c r="U21" s="19"/>
      <c r="V21" s="14">
        <f t="shared" si="6"/>
        <v>62</v>
      </c>
      <c r="W21" s="14">
        <f t="shared" si="6"/>
        <v>20</v>
      </c>
      <c r="X21" s="20">
        <f t="shared" si="7"/>
        <v>0.24390243902439024</v>
      </c>
      <c r="Y21" s="16"/>
      <c r="Z21" s="16"/>
      <c r="AA21" s="16"/>
      <c r="AB21" s="16"/>
      <c r="AC21" s="16"/>
      <c r="AD21" s="16"/>
      <c r="AE21" s="16"/>
      <c r="AF21" s="16"/>
      <c r="AG21" s="16"/>
    </row>
    <row r="22" spans="1:33" s="6" customFormat="1" ht="15" customHeight="1" x14ac:dyDescent="0.35">
      <c r="A22" s="5" t="s">
        <v>24</v>
      </c>
      <c r="B22" s="19">
        <v>0</v>
      </c>
      <c r="C22" s="19">
        <v>0</v>
      </c>
      <c r="D22" s="20" t="str">
        <f t="shared" si="0"/>
        <v>-</v>
      </c>
      <c r="E22" s="19"/>
      <c r="F22" s="19">
        <v>8</v>
      </c>
      <c r="G22" s="19">
        <v>1</v>
      </c>
      <c r="H22" s="20">
        <f t="shared" si="1"/>
        <v>0.1111111111111111</v>
      </c>
      <c r="I22" s="19"/>
      <c r="J22" s="14">
        <f t="shared" si="2"/>
        <v>8</v>
      </c>
      <c r="K22" s="14">
        <f t="shared" si="2"/>
        <v>1</v>
      </c>
      <c r="L22" s="20">
        <f t="shared" si="3"/>
        <v>0.1111111111111111</v>
      </c>
      <c r="M22" s="19"/>
      <c r="N22" s="19">
        <v>1</v>
      </c>
      <c r="O22" s="19">
        <v>0</v>
      </c>
      <c r="P22" s="20">
        <f t="shared" si="4"/>
        <v>0</v>
      </c>
      <c r="Q22" s="19"/>
      <c r="R22" s="19">
        <v>3</v>
      </c>
      <c r="S22" s="19">
        <v>2</v>
      </c>
      <c r="T22" s="20">
        <f t="shared" si="5"/>
        <v>0.4</v>
      </c>
      <c r="U22" s="19"/>
      <c r="V22" s="14">
        <f t="shared" si="6"/>
        <v>12</v>
      </c>
      <c r="W22" s="14">
        <f t="shared" si="6"/>
        <v>3</v>
      </c>
      <c r="X22" s="20">
        <f t="shared" si="7"/>
        <v>0.2</v>
      </c>
      <c r="Y22" s="16"/>
      <c r="Z22" s="16"/>
      <c r="AA22" s="16"/>
      <c r="AB22" s="16"/>
      <c r="AC22" s="16"/>
      <c r="AD22" s="16"/>
      <c r="AE22" s="16"/>
      <c r="AF22" s="16"/>
      <c r="AG22" s="16"/>
    </row>
    <row r="23" spans="1:33" s="6" customFormat="1" ht="15" customHeight="1" x14ac:dyDescent="0.35">
      <c r="A23" s="5" t="s">
        <v>25</v>
      </c>
      <c r="B23" s="19">
        <v>1</v>
      </c>
      <c r="C23" s="19">
        <v>0</v>
      </c>
      <c r="D23" s="20">
        <f t="shared" si="0"/>
        <v>0</v>
      </c>
      <c r="E23" s="19"/>
      <c r="F23" s="19">
        <v>21</v>
      </c>
      <c r="G23" s="19">
        <v>1</v>
      </c>
      <c r="H23" s="20">
        <f t="shared" si="1"/>
        <v>4.5454545454545456E-2</v>
      </c>
      <c r="I23" s="19"/>
      <c r="J23" s="14">
        <f t="shared" si="2"/>
        <v>22</v>
      </c>
      <c r="K23" s="14">
        <f t="shared" si="2"/>
        <v>1</v>
      </c>
      <c r="L23" s="20">
        <f t="shared" si="3"/>
        <v>4.3478260869565216E-2</v>
      </c>
      <c r="M23" s="19"/>
      <c r="N23" s="19">
        <v>1</v>
      </c>
      <c r="O23" s="19">
        <v>1</v>
      </c>
      <c r="P23" s="20">
        <f t="shared" si="4"/>
        <v>0.5</v>
      </c>
      <c r="Q23" s="19"/>
      <c r="R23" s="19">
        <v>0</v>
      </c>
      <c r="S23" s="19">
        <v>6</v>
      </c>
      <c r="T23" s="20">
        <f t="shared" si="5"/>
        <v>1</v>
      </c>
      <c r="U23" s="19"/>
      <c r="V23" s="14">
        <f t="shared" si="6"/>
        <v>23</v>
      </c>
      <c r="W23" s="14">
        <f t="shared" si="6"/>
        <v>8</v>
      </c>
      <c r="X23" s="20">
        <f t="shared" si="7"/>
        <v>0.25806451612903225</v>
      </c>
      <c r="Y23" s="16"/>
      <c r="Z23" s="16"/>
      <c r="AA23" s="16"/>
      <c r="AB23" s="16"/>
      <c r="AC23" s="16"/>
      <c r="AD23" s="16"/>
      <c r="AE23" s="16"/>
      <c r="AF23" s="16"/>
      <c r="AG23" s="16"/>
    </row>
    <row r="24" spans="1:33" s="6" customFormat="1" ht="15" customHeight="1" x14ac:dyDescent="0.35">
      <c r="A24" s="5" t="s">
        <v>26</v>
      </c>
      <c r="B24" s="19">
        <v>0</v>
      </c>
      <c r="C24" s="19">
        <v>0</v>
      </c>
      <c r="D24" s="20" t="str">
        <f t="shared" si="0"/>
        <v>-</v>
      </c>
      <c r="E24" s="19"/>
      <c r="F24" s="19">
        <v>47</v>
      </c>
      <c r="G24" s="19">
        <v>3</v>
      </c>
      <c r="H24" s="20">
        <f t="shared" si="1"/>
        <v>0.06</v>
      </c>
      <c r="I24" s="19"/>
      <c r="J24" s="14">
        <f t="shared" si="2"/>
        <v>47</v>
      </c>
      <c r="K24" s="14">
        <f t="shared" si="2"/>
        <v>3</v>
      </c>
      <c r="L24" s="20">
        <f t="shared" si="3"/>
        <v>0.06</v>
      </c>
      <c r="M24" s="19"/>
      <c r="N24" s="19">
        <v>0</v>
      </c>
      <c r="O24" s="19">
        <v>0</v>
      </c>
      <c r="P24" s="20" t="str">
        <f t="shared" si="4"/>
        <v>-</v>
      </c>
      <c r="Q24" s="19"/>
      <c r="R24" s="19">
        <v>17</v>
      </c>
      <c r="S24" s="19">
        <v>20</v>
      </c>
      <c r="T24" s="20">
        <f t="shared" si="5"/>
        <v>0.54054054054054057</v>
      </c>
      <c r="U24" s="19"/>
      <c r="V24" s="14">
        <f t="shared" si="6"/>
        <v>64</v>
      </c>
      <c r="W24" s="14">
        <f t="shared" si="6"/>
        <v>23</v>
      </c>
      <c r="X24" s="20">
        <f t="shared" si="7"/>
        <v>0.26436781609195403</v>
      </c>
      <c r="Y24" s="16"/>
      <c r="Z24" s="16"/>
      <c r="AA24" s="16"/>
      <c r="AB24" s="16"/>
      <c r="AC24" s="16"/>
      <c r="AD24" s="16"/>
      <c r="AE24" s="16"/>
      <c r="AF24" s="16"/>
      <c r="AG24" s="16"/>
    </row>
    <row r="25" spans="1:33" s="6" customFormat="1" ht="15" customHeight="1" x14ac:dyDescent="0.35">
      <c r="A25" s="5" t="s">
        <v>27</v>
      </c>
      <c r="B25" s="19">
        <v>0</v>
      </c>
      <c r="C25" s="19">
        <v>0</v>
      </c>
      <c r="D25" s="20" t="str">
        <f t="shared" si="0"/>
        <v>-</v>
      </c>
      <c r="E25" s="19"/>
      <c r="F25" s="19">
        <v>26</v>
      </c>
      <c r="G25" s="19">
        <v>4</v>
      </c>
      <c r="H25" s="20">
        <f t="shared" si="1"/>
        <v>0.13333333333333333</v>
      </c>
      <c r="I25" s="19"/>
      <c r="J25" s="14">
        <f t="shared" si="2"/>
        <v>26</v>
      </c>
      <c r="K25" s="14">
        <f t="shared" si="2"/>
        <v>4</v>
      </c>
      <c r="L25" s="20">
        <f t="shared" si="3"/>
        <v>0.13333333333333333</v>
      </c>
      <c r="M25" s="19"/>
      <c r="N25" s="19">
        <v>0</v>
      </c>
      <c r="O25" s="19">
        <v>0</v>
      </c>
      <c r="P25" s="20" t="str">
        <f t="shared" si="4"/>
        <v>-</v>
      </c>
      <c r="Q25" s="19"/>
      <c r="R25" s="19">
        <v>5</v>
      </c>
      <c r="S25" s="19">
        <v>1</v>
      </c>
      <c r="T25" s="20">
        <f t="shared" si="5"/>
        <v>0.16666666666666666</v>
      </c>
      <c r="U25" s="19"/>
      <c r="V25" s="14">
        <f t="shared" si="6"/>
        <v>31</v>
      </c>
      <c r="W25" s="14">
        <f t="shared" si="6"/>
        <v>5</v>
      </c>
      <c r="X25" s="20">
        <f t="shared" si="7"/>
        <v>0.1388888888888889</v>
      </c>
      <c r="Y25" s="16"/>
      <c r="Z25" s="16"/>
      <c r="AA25" s="16"/>
      <c r="AB25" s="16"/>
      <c r="AC25" s="16"/>
      <c r="AD25" s="16"/>
      <c r="AE25" s="16"/>
      <c r="AF25" s="16"/>
      <c r="AG25" s="16"/>
    </row>
    <row r="26" spans="1:33" s="6" customFormat="1" ht="15" customHeight="1" x14ac:dyDescent="0.35">
      <c r="A26" s="5" t="s">
        <v>28</v>
      </c>
      <c r="B26" s="19">
        <v>72</v>
      </c>
      <c r="C26" s="19">
        <v>9</v>
      </c>
      <c r="D26" s="20">
        <f t="shared" si="0"/>
        <v>0.1111111111111111</v>
      </c>
      <c r="E26" s="19"/>
      <c r="F26" s="19">
        <v>54</v>
      </c>
      <c r="G26" s="19">
        <v>2</v>
      </c>
      <c r="H26" s="20">
        <f t="shared" si="1"/>
        <v>3.5714285714285712E-2</v>
      </c>
      <c r="I26" s="19"/>
      <c r="J26" s="14">
        <f t="shared" si="2"/>
        <v>126</v>
      </c>
      <c r="K26" s="14">
        <f t="shared" si="2"/>
        <v>11</v>
      </c>
      <c r="L26" s="20">
        <f t="shared" si="3"/>
        <v>8.0291970802919707E-2</v>
      </c>
      <c r="M26" s="19"/>
      <c r="N26" s="19">
        <v>2</v>
      </c>
      <c r="O26" s="19">
        <v>2</v>
      </c>
      <c r="P26" s="20">
        <f t="shared" si="4"/>
        <v>0.5</v>
      </c>
      <c r="Q26" s="19"/>
      <c r="R26" s="19">
        <v>44</v>
      </c>
      <c r="S26" s="19">
        <v>33</v>
      </c>
      <c r="T26" s="20">
        <f t="shared" si="5"/>
        <v>0.42857142857142855</v>
      </c>
      <c r="U26" s="19"/>
      <c r="V26" s="14">
        <f t="shared" si="6"/>
        <v>172</v>
      </c>
      <c r="W26" s="14">
        <f t="shared" si="6"/>
        <v>46</v>
      </c>
      <c r="X26" s="20">
        <f t="shared" si="7"/>
        <v>0.21100917431192662</v>
      </c>
      <c r="Y26" s="16"/>
      <c r="Z26" s="16"/>
      <c r="AA26" s="16"/>
      <c r="AB26" s="16"/>
      <c r="AC26" s="16"/>
      <c r="AD26" s="16"/>
      <c r="AE26" s="16"/>
      <c r="AF26" s="16"/>
      <c r="AG26" s="16"/>
    </row>
    <row r="27" spans="1:33" s="6" customFormat="1" ht="15" customHeight="1" x14ac:dyDescent="0.35">
      <c r="A27" s="5" t="s">
        <v>29</v>
      </c>
      <c r="B27" s="19">
        <v>1</v>
      </c>
      <c r="C27" s="19">
        <v>0</v>
      </c>
      <c r="D27" s="20">
        <f t="shared" si="0"/>
        <v>0</v>
      </c>
      <c r="E27" s="19"/>
      <c r="F27" s="19">
        <v>47</v>
      </c>
      <c r="G27" s="19">
        <v>4</v>
      </c>
      <c r="H27" s="20">
        <f t="shared" si="1"/>
        <v>7.8431372549019607E-2</v>
      </c>
      <c r="I27" s="19"/>
      <c r="J27" s="14">
        <f t="shared" si="2"/>
        <v>48</v>
      </c>
      <c r="K27" s="14">
        <f t="shared" si="2"/>
        <v>4</v>
      </c>
      <c r="L27" s="20">
        <f t="shared" si="3"/>
        <v>7.6923076923076927E-2</v>
      </c>
      <c r="M27" s="19"/>
      <c r="N27" s="19">
        <v>0</v>
      </c>
      <c r="O27" s="19">
        <v>3</v>
      </c>
      <c r="P27" s="20">
        <f t="shared" si="4"/>
        <v>1</v>
      </c>
      <c r="Q27" s="19"/>
      <c r="R27" s="19">
        <v>9</v>
      </c>
      <c r="S27" s="19">
        <v>15</v>
      </c>
      <c r="T27" s="20">
        <f t="shared" si="5"/>
        <v>0.625</v>
      </c>
      <c r="U27" s="19"/>
      <c r="V27" s="14">
        <f t="shared" si="6"/>
        <v>57</v>
      </c>
      <c r="W27" s="14">
        <f t="shared" si="6"/>
        <v>22</v>
      </c>
      <c r="X27" s="20">
        <f t="shared" si="7"/>
        <v>0.27848101265822783</v>
      </c>
      <c r="Y27" s="16"/>
      <c r="Z27" s="16"/>
      <c r="AA27" s="16"/>
      <c r="AB27" s="16"/>
      <c r="AC27" s="16"/>
      <c r="AD27" s="16"/>
      <c r="AE27" s="16"/>
      <c r="AF27" s="16"/>
      <c r="AG27" s="16"/>
    </row>
    <row r="28" spans="1:33" s="6" customFormat="1" ht="15" customHeight="1" x14ac:dyDescent="0.35">
      <c r="A28" s="5" t="s">
        <v>30</v>
      </c>
      <c r="B28" s="40">
        <v>0</v>
      </c>
      <c r="C28" s="40">
        <v>0</v>
      </c>
      <c r="D28" s="20" t="str">
        <f t="shared" si="0"/>
        <v>-</v>
      </c>
      <c r="E28" s="19"/>
      <c r="F28" s="40">
        <v>0</v>
      </c>
      <c r="G28" s="40">
        <v>0</v>
      </c>
      <c r="H28" s="20" t="str">
        <f t="shared" si="1"/>
        <v>-</v>
      </c>
      <c r="I28" s="19"/>
      <c r="J28" s="14">
        <f t="shared" si="2"/>
        <v>0</v>
      </c>
      <c r="K28" s="14">
        <f t="shared" si="2"/>
        <v>0</v>
      </c>
      <c r="L28" s="20" t="str">
        <f t="shared" si="3"/>
        <v>-</v>
      </c>
      <c r="M28" s="19"/>
      <c r="N28" s="40">
        <v>0</v>
      </c>
      <c r="O28" s="40">
        <v>0</v>
      </c>
      <c r="P28" s="20" t="str">
        <f t="shared" si="4"/>
        <v>-</v>
      </c>
      <c r="Q28" s="19"/>
      <c r="R28" s="40">
        <v>0</v>
      </c>
      <c r="S28" s="40">
        <v>0</v>
      </c>
      <c r="T28" s="20" t="str">
        <f t="shared" si="5"/>
        <v>-</v>
      </c>
      <c r="U28" s="19"/>
      <c r="V28" s="14">
        <f t="shared" si="6"/>
        <v>0</v>
      </c>
      <c r="W28" s="14">
        <f t="shared" si="6"/>
        <v>0</v>
      </c>
      <c r="X28" s="20" t="str">
        <f t="shared" si="7"/>
        <v>-</v>
      </c>
      <c r="Y28" s="16"/>
      <c r="Z28" s="16"/>
      <c r="AA28" s="16"/>
      <c r="AB28" s="16"/>
      <c r="AC28" s="16"/>
      <c r="AD28" s="16"/>
      <c r="AE28" s="16"/>
      <c r="AF28" s="16"/>
      <c r="AG28" s="16"/>
    </row>
    <row r="29" spans="1:33" s="6" customFormat="1" ht="15" customHeight="1" x14ac:dyDescent="0.35">
      <c r="A29" s="5" t="s">
        <v>31</v>
      </c>
      <c r="B29" s="19">
        <v>0</v>
      </c>
      <c r="C29" s="19">
        <v>0</v>
      </c>
      <c r="D29" s="20" t="str">
        <f t="shared" si="0"/>
        <v>-</v>
      </c>
      <c r="E29" s="19"/>
      <c r="F29" s="19">
        <v>4</v>
      </c>
      <c r="G29" s="19">
        <v>0</v>
      </c>
      <c r="H29" s="20">
        <f t="shared" si="1"/>
        <v>0</v>
      </c>
      <c r="I29" s="19"/>
      <c r="J29" s="14">
        <f t="shared" si="2"/>
        <v>4</v>
      </c>
      <c r="K29" s="14">
        <f t="shared" si="2"/>
        <v>0</v>
      </c>
      <c r="L29" s="20">
        <f t="shared" si="3"/>
        <v>0</v>
      </c>
      <c r="M29" s="19"/>
      <c r="N29" s="19">
        <v>0</v>
      </c>
      <c r="O29" s="19">
        <v>0</v>
      </c>
      <c r="P29" s="20" t="str">
        <f t="shared" si="4"/>
        <v>-</v>
      </c>
      <c r="Q29" s="19"/>
      <c r="R29" s="19">
        <v>7</v>
      </c>
      <c r="S29" s="19">
        <v>5</v>
      </c>
      <c r="T29" s="20">
        <f t="shared" si="5"/>
        <v>0.41666666666666669</v>
      </c>
      <c r="U29" s="19"/>
      <c r="V29" s="14">
        <f t="shared" si="6"/>
        <v>11</v>
      </c>
      <c r="W29" s="14">
        <f t="shared" si="6"/>
        <v>5</v>
      </c>
      <c r="X29" s="20">
        <f t="shared" si="7"/>
        <v>0.3125</v>
      </c>
      <c r="Y29" s="16"/>
      <c r="Z29" s="16"/>
      <c r="AA29" s="16"/>
      <c r="AB29" s="16"/>
      <c r="AC29" s="16"/>
      <c r="AD29" s="16"/>
      <c r="AE29" s="16"/>
      <c r="AF29" s="16"/>
      <c r="AG29" s="16"/>
    </row>
    <row r="30" spans="1:33" s="6" customFormat="1" ht="15" customHeight="1" x14ac:dyDescent="0.35">
      <c r="A30" s="5" t="s">
        <v>32</v>
      </c>
      <c r="B30" s="19">
        <v>0</v>
      </c>
      <c r="C30" s="19">
        <v>0</v>
      </c>
      <c r="D30" s="20" t="str">
        <f t="shared" si="0"/>
        <v>-</v>
      </c>
      <c r="E30" s="19"/>
      <c r="F30" s="19">
        <v>0</v>
      </c>
      <c r="G30" s="19">
        <v>0</v>
      </c>
      <c r="H30" s="20" t="str">
        <f t="shared" si="1"/>
        <v>-</v>
      </c>
      <c r="I30" s="19"/>
      <c r="J30" s="14">
        <f t="shared" si="2"/>
        <v>0</v>
      </c>
      <c r="K30" s="14">
        <f t="shared" si="2"/>
        <v>0</v>
      </c>
      <c r="L30" s="20" t="str">
        <f t="shared" si="3"/>
        <v>-</v>
      </c>
      <c r="M30" s="19"/>
      <c r="N30" s="19">
        <v>0</v>
      </c>
      <c r="O30" s="19">
        <v>0</v>
      </c>
      <c r="P30" s="20" t="str">
        <f t="shared" si="4"/>
        <v>-</v>
      </c>
      <c r="Q30" s="19"/>
      <c r="R30" s="19">
        <v>0</v>
      </c>
      <c r="S30" s="19">
        <v>1</v>
      </c>
      <c r="T30" s="20">
        <f t="shared" si="5"/>
        <v>1</v>
      </c>
      <c r="U30" s="19"/>
      <c r="V30" s="14">
        <f t="shared" si="6"/>
        <v>0</v>
      </c>
      <c r="W30" s="14">
        <f t="shared" si="6"/>
        <v>1</v>
      </c>
      <c r="X30" s="20">
        <f t="shared" si="7"/>
        <v>1</v>
      </c>
      <c r="Y30" s="16"/>
      <c r="Z30" s="16"/>
      <c r="AA30" s="16"/>
      <c r="AB30" s="16"/>
      <c r="AC30" s="16"/>
      <c r="AD30" s="16"/>
      <c r="AE30" s="16"/>
      <c r="AF30" s="16"/>
      <c r="AG30" s="16"/>
    </row>
    <row r="31" spans="1:33" s="6" customFormat="1" ht="15" customHeight="1" x14ac:dyDescent="0.35">
      <c r="A31" s="6" t="s">
        <v>33</v>
      </c>
      <c r="B31" s="19">
        <v>9</v>
      </c>
      <c r="C31" s="19">
        <v>0</v>
      </c>
      <c r="D31" s="20">
        <f t="shared" si="0"/>
        <v>0</v>
      </c>
      <c r="E31" s="19"/>
      <c r="F31" s="19">
        <v>16</v>
      </c>
      <c r="G31" s="19">
        <v>0</v>
      </c>
      <c r="H31" s="20">
        <f t="shared" si="1"/>
        <v>0</v>
      </c>
      <c r="I31" s="19"/>
      <c r="J31" s="14">
        <f t="shared" si="2"/>
        <v>25</v>
      </c>
      <c r="K31" s="14">
        <f t="shared" si="2"/>
        <v>0</v>
      </c>
      <c r="L31" s="20">
        <f t="shared" si="3"/>
        <v>0</v>
      </c>
      <c r="M31" s="19"/>
      <c r="N31" s="19">
        <v>1</v>
      </c>
      <c r="O31" s="19">
        <v>2</v>
      </c>
      <c r="P31" s="20">
        <f t="shared" si="4"/>
        <v>0.66666666666666663</v>
      </c>
      <c r="Q31" s="19"/>
      <c r="R31" s="19">
        <v>12</v>
      </c>
      <c r="S31" s="19">
        <v>19</v>
      </c>
      <c r="T31" s="20">
        <f t="shared" si="5"/>
        <v>0.61290322580645162</v>
      </c>
      <c r="U31" s="19"/>
      <c r="V31" s="14">
        <f t="shared" si="6"/>
        <v>38</v>
      </c>
      <c r="W31" s="14">
        <f t="shared" si="6"/>
        <v>21</v>
      </c>
      <c r="X31" s="20">
        <f t="shared" si="7"/>
        <v>0.3559322033898305</v>
      </c>
      <c r="Y31" s="16"/>
      <c r="Z31" s="16"/>
      <c r="AA31" s="16"/>
      <c r="AB31" s="16"/>
      <c r="AC31" s="16"/>
      <c r="AD31" s="16"/>
      <c r="AE31" s="16"/>
      <c r="AF31" s="16"/>
      <c r="AG31" s="16"/>
    </row>
    <row r="32" spans="1:33" s="6" customFormat="1" ht="15" customHeight="1" x14ac:dyDescent="0.35">
      <c r="A32" s="6" t="s">
        <v>34</v>
      </c>
      <c r="B32" s="19">
        <v>0</v>
      </c>
      <c r="C32" s="19">
        <v>0</v>
      </c>
      <c r="D32" s="20" t="str">
        <f t="shared" si="0"/>
        <v>-</v>
      </c>
      <c r="E32" s="19"/>
      <c r="F32" s="19">
        <v>50</v>
      </c>
      <c r="G32" s="19">
        <v>8</v>
      </c>
      <c r="H32" s="20">
        <f t="shared" si="1"/>
        <v>0.13793103448275862</v>
      </c>
      <c r="I32" s="19"/>
      <c r="J32" s="14">
        <f t="shared" si="2"/>
        <v>50</v>
      </c>
      <c r="K32" s="14">
        <f t="shared" si="2"/>
        <v>8</v>
      </c>
      <c r="L32" s="20">
        <f t="shared" si="3"/>
        <v>0.13793103448275862</v>
      </c>
      <c r="M32" s="19"/>
      <c r="N32" s="19">
        <v>0</v>
      </c>
      <c r="O32" s="19">
        <v>0</v>
      </c>
      <c r="P32" s="20" t="str">
        <f t="shared" si="4"/>
        <v>-</v>
      </c>
      <c r="Q32" s="19"/>
      <c r="R32" s="19">
        <v>10</v>
      </c>
      <c r="S32" s="19">
        <v>13</v>
      </c>
      <c r="T32" s="20">
        <f t="shared" si="5"/>
        <v>0.56521739130434778</v>
      </c>
      <c r="U32" s="19"/>
      <c r="V32" s="14">
        <f t="shared" si="6"/>
        <v>60</v>
      </c>
      <c r="W32" s="14">
        <f t="shared" si="6"/>
        <v>21</v>
      </c>
      <c r="X32" s="20">
        <f t="shared" si="7"/>
        <v>0.25925925925925924</v>
      </c>
      <c r="Y32" s="16"/>
      <c r="Z32" s="16"/>
      <c r="AA32" s="16"/>
      <c r="AB32" s="16"/>
      <c r="AC32" s="16"/>
      <c r="AD32" s="16"/>
      <c r="AE32" s="16"/>
      <c r="AF32" s="16"/>
      <c r="AG32" s="16"/>
    </row>
    <row r="33" spans="1:33" s="6" customFormat="1" ht="15" customHeight="1" x14ac:dyDescent="0.35">
      <c r="A33" s="5" t="s">
        <v>35</v>
      </c>
      <c r="B33" s="19">
        <v>0</v>
      </c>
      <c r="C33" s="19">
        <v>0</v>
      </c>
      <c r="D33" s="20" t="str">
        <f t="shared" si="0"/>
        <v>-</v>
      </c>
      <c r="E33" s="19"/>
      <c r="F33" s="19">
        <v>18</v>
      </c>
      <c r="G33" s="19">
        <v>2</v>
      </c>
      <c r="H33" s="20">
        <f t="shared" si="1"/>
        <v>0.1</v>
      </c>
      <c r="I33" s="19"/>
      <c r="J33" s="14">
        <f t="shared" si="2"/>
        <v>18</v>
      </c>
      <c r="K33" s="14">
        <f t="shared" si="2"/>
        <v>2</v>
      </c>
      <c r="L33" s="20">
        <f t="shared" si="3"/>
        <v>0.1</v>
      </c>
      <c r="M33" s="19"/>
      <c r="N33" s="19">
        <v>0</v>
      </c>
      <c r="O33" s="19">
        <v>4</v>
      </c>
      <c r="P33" s="20">
        <f t="shared" si="4"/>
        <v>1</v>
      </c>
      <c r="Q33" s="19"/>
      <c r="R33" s="19">
        <v>3</v>
      </c>
      <c r="S33" s="19">
        <v>6</v>
      </c>
      <c r="T33" s="20">
        <f t="shared" si="5"/>
        <v>0.66666666666666663</v>
      </c>
      <c r="U33" s="19"/>
      <c r="V33" s="14">
        <f t="shared" si="6"/>
        <v>21</v>
      </c>
      <c r="W33" s="14">
        <f t="shared" si="6"/>
        <v>12</v>
      </c>
      <c r="X33" s="20">
        <f t="shared" si="7"/>
        <v>0.36363636363636365</v>
      </c>
      <c r="Y33" s="16"/>
      <c r="Z33" s="16"/>
      <c r="AA33" s="16"/>
      <c r="AB33" s="16"/>
      <c r="AC33" s="16"/>
      <c r="AD33" s="16"/>
      <c r="AE33" s="16"/>
      <c r="AF33" s="16"/>
      <c r="AG33" s="16"/>
    </row>
    <row r="34" spans="1:33" s="6" customFormat="1" ht="15" customHeight="1" x14ac:dyDescent="0.35">
      <c r="A34" s="6" t="s">
        <v>36</v>
      </c>
      <c r="B34" s="19">
        <v>0</v>
      </c>
      <c r="C34" s="19">
        <v>0</v>
      </c>
      <c r="D34" s="20" t="str">
        <f t="shared" si="0"/>
        <v>-</v>
      </c>
      <c r="E34" s="19"/>
      <c r="F34" s="19">
        <v>58</v>
      </c>
      <c r="G34" s="19">
        <v>4</v>
      </c>
      <c r="H34" s="20">
        <f t="shared" si="1"/>
        <v>6.4516129032258063E-2</v>
      </c>
      <c r="I34" s="19"/>
      <c r="J34" s="14">
        <f t="shared" si="2"/>
        <v>58</v>
      </c>
      <c r="K34" s="14">
        <f t="shared" si="2"/>
        <v>4</v>
      </c>
      <c r="L34" s="20">
        <f t="shared" si="3"/>
        <v>6.4516129032258063E-2</v>
      </c>
      <c r="M34" s="19"/>
      <c r="N34" s="19">
        <v>0</v>
      </c>
      <c r="O34" s="19">
        <v>1</v>
      </c>
      <c r="P34" s="20">
        <f t="shared" si="4"/>
        <v>1</v>
      </c>
      <c r="Q34" s="19"/>
      <c r="R34" s="19">
        <v>0</v>
      </c>
      <c r="S34" s="19">
        <v>3</v>
      </c>
      <c r="T34" s="20">
        <f t="shared" si="5"/>
        <v>1</v>
      </c>
      <c r="U34" s="19"/>
      <c r="V34" s="14">
        <f t="shared" si="6"/>
        <v>58</v>
      </c>
      <c r="W34" s="14">
        <f t="shared" si="6"/>
        <v>8</v>
      </c>
      <c r="X34" s="20">
        <f t="shared" si="7"/>
        <v>0.12121212121212122</v>
      </c>
      <c r="Y34" s="16"/>
      <c r="Z34" s="16"/>
      <c r="AA34" s="16"/>
      <c r="AB34" s="16"/>
      <c r="AC34" s="16"/>
      <c r="AD34" s="16"/>
      <c r="AE34" s="16"/>
      <c r="AF34" s="16"/>
      <c r="AG34" s="16"/>
    </row>
    <row r="35" spans="1:33" s="6" customFormat="1" ht="15" customHeight="1" x14ac:dyDescent="0.35">
      <c r="A35" s="6" t="s">
        <v>37</v>
      </c>
      <c r="B35" s="19">
        <v>1</v>
      </c>
      <c r="C35" s="19">
        <v>3</v>
      </c>
      <c r="D35" s="20">
        <f t="shared" si="0"/>
        <v>0.75</v>
      </c>
      <c r="E35" s="19"/>
      <c r="F35" s="19">
        <v>36</v>
      </c>
      <c r="G35" s="19">
        <v>3</v>
      </c>
      <c r="H35" s="20">
        <f t="shared" si="1"/>
        <v>7.6923076923076927E-2</v>
      </c>
      <c r="I35" s="19"/>
      <c r="J35" s="14">
        <f t="shared" si="2"/>
        <v>37</v>
      </c>
      <c r="K35" s="14">
        <f t="shared" si="2"/>
        <v>6</v>
      </c>
      <c r="L35" s="20">
        <f t="shared" si="3"/>
        <v>0.13953488372093023</v>
      </c>
      <c r="M35" s="19"/>
      <c r="N35" s="19">
        <v>1</v>
      </c>
      <c r="O35" s="19">
        <v>0</v>
      </c>
      <c r="P35" s="20">
        <f t="shared" si="4"/>
        <v>0</v>
      </c>
      <c r="Q35" s="19"/>
      <c r="R35" s="19">
        <v>6</v>
      </c>
      <c r="S35" s="19">
        <v>6</v>
      </c>
      <c r="T35" s="20">
        <f t="shared" si="5"/>
        <v>0.5</v>
      </c>
      <c r="U35" s="19"/>
      <c r="V35" s="14">
        <f t="shared" si="6"/>
        <v>44</v>
      </c>
      <c r="W35" s="14">
        <f t="shared" si="6"/>
        <v>12</v>
      </c>
      <c r="X35" s="20">
        <f t="shared" si="7"/>
        <v>0.21428571428571427</v>
      </c>
      <c r="Y35" s="16"/>
      <c r="Z35" s="16"/>
      <c r="AA35" s="16"/>
      <c r="AB35" s="16"/>
      <c r="AC35" s="16"/>
      <c r="AD35" s="16"/>
      <c r="AE35" s="16"/>
      <c r="AF35" s="16"/>
      <c r="AG35" s="16"/>
    </row>
    <row r="36" spans="1:33" s="6" customFormat="1" ht="15" customHeight="1" x14ac:dyDescent="0.35">
      <c r="A36" s="5" t="s">
        <v>38</v>
      </c>
      <c r="B36" s="19">
        <v>0</v>
      </c>
      <c r="C36" s="19">
        <v>0</v>
      </c>
      <c r="D36" s="20" t="str">
        <f t="shared" si="0"/>
        <v>-</v>
      </c>
      <c r="E36" s="19"/>
      <c r="F36" s="19">
        <v>0</v>
      </c>
      <c r="G36" s="19">
        <v>0</v>
      </c>
      <c r="H36" s="20" t="str">
        <f t="shared" si="1"/>
        <v>-</v>
      </c>
      <c r="I36" s="19"/>
      <c r="J36" s="14">
        <f t="shared" si="2"/>
        <v>0</v>
      </c>
      <c r="K36" s="14">
        <f t="shared" si="2"/>
        <v>0</v>
      </c>
      <c r="L36" s="20" t="str">
        <f t="shared" si="3"/>
        <v>-</v>
      </c>
      <c r="M36" s="19"/>
      <c r="N36" s="19">
        <v>0</v>
      </c>
      <c r="O36" s="19">
        <v>0</v>
      </c>
      <c r="P36" s="20" t="str">
        <f t="shared" si="4"/>
        <v>-</v>
      </c>
      <c r="Q36" s="19"/>
      <c r="R36" s="19">
        <v>0</v>
      </c>
      <c r="S36" s="19">
        <v>0</v>
      </c>
      <c r="T36" s="20" t="str">
        <f t="shared" si="5"/>
        <v>-</v>
      </c>
      <c r="U36" s="19"/>
      <c r="V36" s="14">
        <f t="shared" si="6"/>
        <v>0</v>
      </c>
      <c r="W36" s="14">
        <f t="shared" si="6"/>
        <v>0</v>
      </c>
      <c r="X36" s="20" t="str">
        <f t="shared" si="7"/>
        <v>-</v>
      </c>
      <c r="Y36" s="16"/>
      <c r="Z36" s="16"/>
      <c r="AA36" s="16"/>
      <c r="AB36" s="16"/>
      <c r="AC36" s="16"/>
      <c r="AD36" s="16"/>
      <c r="AE36" s="16"/>
      <c r="AF36" s="16"/>
      <c r="AG36" s="16"/>
    </row>
    <row r="37" spans="1:33" s="6" customFormat="1" ht="15" customHeight="1" x14ac:dyDescent="0.35">
      <c r="A37" s="6" t="s">
        <v>39</v>
      </c>
      <c r="B37" s="19">
        <v>0</v>
      </c>
      <c r="C37" s="19">
        <v>0</v>
      </c>
      <c r="D37" s="20" t="str">
        <f t="shared" si="0"/>
        <v>-</v>
      </c>
      <c r="E37" s="19"/>
      <c r="F37" s="19">
        <v>0</v>
      </c>
      <c r="G37" s="19">
        <v>0</v>
      </c>
      <c r="H37" s="20" t="str">
        <f t="shared" si="1"/>
        <v>-</v>
      </c>
      <c r="I37" s="19"/>
      <c r="J37" s="14">
        <f t="shared" si="2"/>
        <v>0</v>
      </c>
      <c r="K37" s="14">
        <f t="shared" si="2"/>
        <v>0</v>
      </c>
      <c r="L37" s="20" t="str">
        <f t="shared" si="3"/>
        <v>-</v>
      </c>
      <c r="M37" s="19"/>
      <c r="N37" s="19">
        <v>0</v>
      </c>
      <c r="O37" s="19">
        <v>0</v>
      </c>
      <c r="P37" s="20" t="str">
        <f t="shared" si="4"/>
        <v>-</v>
      </c>
      <c r="Q37" s="19"/>
      <c r="R37" s="19">
        <v>0</v>
      </c>
      <c r="S37" s="19">
        <v>0</v>
      </c>
      <c r="T37" s="20" t="str">
        <f t="shared" si="5"/>
        <v>-</v>
      </c>
      <c r="U37" s="19"/>
      <c r="V37" s="14">
        <f t="shared" si="6"/>
        <v>0</v>
      </c>
      <c r="W37" s="14">
        <f t="shared" si="6"/>
        <v>0</v>
      </c>
      <c r="X37" s="20" t="str">
        <f t="shared" si="7"/>
        <v>-</v>
      </c>
      <c r="Y37" s="16"/>
      <c r="Z37" s="16"/>
      <c r="AA37" s="16"/>
      <c r="AB37" s="16"/>
      <c r="AC37" s="16"/>
      <c r="AD37" s="16"/>
      <c r="AE37" s="16"/>
      <c r="AF37" s="16"/>
      <c r="AG37" s="16"/>
    </row>
    <row r="38" spans="1:33" s="6" customFormat="1" ht="15" customHeight="1" x14ac:dyDescent="0.35">
      <c r="A38" s="6" t="s">
        <v>40</v>
      </c>
      <c r="B38" s="19">
        <v>3</v>
      </c>
      <c r="C38" s="19">
        <v>1</v>
      </c>
      <c r="D38" s="20">
        <f t="shared" si="0"/>
        <v>0.25</v>
      </c>
      <c r="E38" s="19"/>
      <c r="F38" s="19">
        <v>11</v>
      </c>
      <c r="G38" s="19">
        <v>0</v>
      </c>
      <c r="H38" s="20">
        <f t="shared" si="1"/>
        <v>0</v>
      </c>
      <c r="I38" s="19"/>
      <c r="J38" s="14">
        <f t="shared" si="2"/>
        <v>14</v>
      </c>
      <c r="K38" s="14">
        <f t="shared" si="2"/>
        <v>1</v>
      </c>
      <c r="L38" s="20">
        <f t="shared" si="3"/>
        <v>6.6666666666666666E-2</v>
      </c>
      <c r="M38" s="19"/>
      <c r="N38" s="19">
        <v>0</v>
      </c>
      <c r="O38" s="19">
        <v>0</v>
      </c>
      <c r="P38" s="20" t="str">
        <f t="shared" si="4"/>
        <v>-</v>
      </c>
      <c r="Q38" s="19"/>
      <c r="R38" s="19">
        <v>5</v>
      </c>
      <c r="S38" s="19">
        <v>4</v>
      </c>
      <c r="T38" s="20">
        <f t="shared" si="5"/>
        <v>0.44444444444444442</v>
      </c>
      <c r="U38" s="19"/>
      <c r="V38" s="14">
        <f t="shared" si="6"/>
        <v>19</v>
      </c>
      <c r="W38" s="14">
        <f t="shared" si="6"/>
        <v>5</v>
      </c>
      <c r="X38" s="20">
        <f t="shared" si="7"/>
        <v>0.20833333333333334</v>
      </c>
      <c r="Y38" s="16"/>
      <c r="Z38" s="16"/>
      <c r="AA38" s="16"/>
      <c r="AB38" s="16"/>
      <c r="AC38" s="16"/>
      <c r="AD38" s="16"/>
      <c r="AE38" s="16"/>
      <c r="AF38" s="16"/>
      <c r="AG38" s="16"/>
    </row>
    <row r="39" spans="1:33" s="6" customFormat="1" ht="15" customHeight="1" x14ac:dyDescent="0.35">
      <c r="A39" s="6" t="s">
        <v>41</v>
      </c>
      <c r="B39" s="19">
        <v>5</v>
      </c>
      <c r="C39" s="19">
        <v>0</v>
      </c>
      <c r="D39" s="20">
        <f t="shared" si="0"/>
        <v>0</v>
      </c>
      <c r="E39" s="19"/>
      <c r="F39" s="19">
        <v>11</v>
      </c>
      <c r="G39" s="19">
        <v>0</v>
      </c>
      <c r="H39" s="20">
        <f t="shared" si="1"/>
        <v>0</v>
      </c>
      <c r="I39" s="19"/>
      <c r="J39" s="14">
        <f t="shared" si="2"/>
        <v>16</v>
      </c>
      <c r="K39" s="14">
        <f t="shared" si="2"/>
        <v>0</v>
      </c>
      <c r="L39" s="20">
        <f t="shared" si="3"/>
        <v>0</v>
      </c>
      <c r="M39" s="19"/>
      <c r="N39" s="19">
        <v>0</v>
      </c>
      <c r="O39" s="19">
        <v>0</v>
      </c>
      <c r="P39" s="20" t="str">
        <f t="shared" si="4"/>
        <v>-</v>
      </c>
      <c r="Q39" s="19"/>
      <c r="R39" s="19">
        <v>0</v>
      </c>
      <c r="S39" s="19">
        <v>1</v>
      </c>
      <c r="T39" s="20">
        <f t="shared" si="5"/>
        <v>1</v>
      </c>
      <c r="U39" s="19"/>
      <c r="V39" s="14">
        <f t="shared" si="6"/>
        <v>16</v>
      </c>
      <c r="W39" s="14">
        <f t="shared" si="6"/>
        <v>1</v>
      </c>
      <c r="X39" s="20">
        <f t="shared" si="7"/>
        <v>5.8823529411764705E-2</v>
      </c>
      <c r="Y39" s="16"/>
      <c r="Z39" s="16"/>
      <c r="AA39" s="16"/>
      <c r="AB39" s="16"/>
      <c r="AC39" s="16"/>
      <c r="AD39" s="16"/>
      <c r="AE39" s="16"/>
      <c r="AF39" s="16"/>
      <c r="AG39" s="16"/>
    </row>
    <row r="40" spans="1:33" s="6" customFormat="1" ht="15" customHeight="1" x14ac:dyDescent="0.35">
      <c r="A40" s="5" t="s">
        <v>42</v>
      </c>
      <c r="B40" s="19">
        <v>1</v>
      </c>
      <c r="C40" s="19">
        <v>0</v>
      </c>
      <c r="D40" s="20">
        <f t="shared" si="0"/>
        <v>0</v>
      </c>
      <c r="E40" s="19"/>
      <c r="F40" s="19">
        <v>25</v>
      </c>
      <c r="G40" s="19">
        <v>5</v>
      </c>
      <c r="H40" s="20">
        <f t="shared" si="1"/>
        <v>0.16666666666666666</v>
      </c>
      <c r="I40" s="19"/>
      <c r="J40" s="14">
        <f t="shared" si="2"/>
        <v>26</v>
      </c>
      <c r="K40" s="14">
        <f t="shared" si="2"/>
        <v>5</v>
      </c>
      <c r="L40" s="20">
        <f t="shared" si="3"/>
        <v>0.16129032258064516</v>
      </c>
      <c r="M40" s="19"/>
      <c r="N40" s="19">
        <v>1</v>
      </c>
      <c r="O40" s="19">
        <v>0</v>
      </c>
      <c r="P40" s="20">
        <f t="shared" si="4"/>
        <v>0</v>
      </c>
      <c r="Q40" s="19"/>
      <c r="R40" s="19">
        <v>15</v>
      </c>
      <c r="S40" s="19">
        <v>11</v>
      </c>
      <c r="T40" s="20">
        <f t="shared" si="5"/>
        <v>0.42307692307692307</v>
      </c>
      <c r="U40" s="19"/>
      <c r="V40" s="14">
        <f t="shared" si="6"/>
        <v>42</v>
      </c>
      <c r="W40" s="14">
        <f t="shared" si="6"/>
        <v>16</v>
      </c>
      <c r="X40" s="20">
        <f t="shared" si="7"/>
        <v>0.27586206896551724</v>
      </c>
      <c r="Y40" s="16"/>
      <c r="Z40" s="16"/>
      <c r="AA40" s="16"/>
      <c r="AB40" s="16"/>
      <c r="AC40" s="16"/>
      <c r="AD40" s="16"/>
      <c r="AE40" s="16"/>
      <c r="AF40" s="16"/>
      <c r="AG40" s="16"/>
    </row>
    <row r="41" spans="1:33" s="6" customFormat="1" ht="15" customHeight="1" x14ac:dyDescent="0.35">
      <c r="A41" s="5" t="s">
        <v>43</v>
      </c>
      <c r="B41" s="19">
        <v>18</v>
      </c>
      <c r="C41" s="19">
        <v>0</v>
      </c>
      <c r="D41" s="20">
        <f t="shared" si="0"/>
        <v>0</v>
      </c>
      <c r="E41" s="19"/>
      <c r="F41" s="19">
        <v>44</v>
      </c>
      <c r="G41" s="19">
        <v>2</v>
      </c>
      <c r="H41" s="20">
        <f t="shared" si="1"/>
        <v>4.3478260869565216E-2</v>
      </c>
      <c r="I41" s="19"/>
      <c r="J41" s="14">
        <f t="shared" si="2"/>
        <v>62</v>
      </c>
      <c r="K41" s="14">
        <f t="shared" si="2"/>
        <v>2</v>
      </c>
      <c r="L41" s="20">
        <f t="shared" si="3"/>
        <v>3.125E-2</v>
      </c>
      <c r="M41" s="19"/>
      <c r="N41" s="19">
        <v>0</v>
      </c>
      <c r="O41" s="19">
        <v>0</v>
      </c>
      <c r="P41" s="20" t="str">
        <f t="shared" si="4"/>
        <v>-</v>
      </c>
      <c r="Q41" s="19"/>
      <c r="R41" s="19">
        <v>3</v>
      </c>
      <c r="S41" s="19">
        <v>3</v>
      </c>
      <c r="T41" s="20">
        <f t="shared" si="5"/>
        <v>0.5</v>
      </c>
      <c r="U41" s="19"/>
      <c r="V41" s="14">
        <f t="shared" si="6"/>
        <v>65</v>
      </c>
      <c r="W41" s="14">
        <f t="shared" si="6"/>
        <v>5</v>
      </c>
      <c r="X41" s="20">
        <f t="shared" si="7"/>
        <v>7.1428571428571425E-2</v>
      </c>
      <c r="Y41" s="16"/>
      <c r="Z41" s="16"/>
      <c r="AA41" s="16"/>
      <c r="AB41" s="16"/>
      <c r="AC41" s="16"/>
      <c r="AD41" s="16"/>
      <c r="AE41" s="16"/>
      <c r="AF41" s="16"/>
      <c r="AG41" s="16"/>
    </row>
    <row r="42" spans="1:33" s="6" customFormat="1" ht="15" customHeight="1" x14ac:dyDescent="0.35">
      <c r="A42" s="5" t="s">
        <v>44</v>
      </c>
      <c r="B42" s="19">
        <v>13</v>
      </c>
      <c r="C42" s="19">
        <v>1</v>
      </c>
      <c r="D42" s="20">
        <f t="shared" si="0"/>
        <v>7.1428571428571425E-2</v>
      </c>
      <c r="E42" s="19"/>
      <c r="F42" s="19">
        <v>29</v>
      </c>
      <c r="G42" s="19">
        <v>3</v>
      </c>
      <c r="H42" s="20">
        <f t="shared" si="1"/>
        <v>9.375E-2</v>
      </c>
      <c r="I42" s="19"/>
      <c r="J42" s="14">
        <f t="shared" si="2"/>
        <v>42</v>
      </c>
      <c r="K42" s="14">
        <f t="shared" si="2"/>
        <v>4</v>
      </c>
      <c r="L42" s="20">
        <f t="shared" si="3"/>
        <v>8.6956521739130432E-2</v>
      </c>
      <c r="M42" s="19"/>
      <c r="N42" s="19">
        <v>0</v>
      </c>
      <c r="O42" s="19">
        <v>2</v>
      </c>
      <c r="P42" s="20">
        <f t="shared" si="4"/>
        <v>1</v>
      </c>
      <c r="Q42" s="19"/>
      <c r="R42" s="19">
        <v>3</v>
      </c>
      <c r="S42" s="19">
        <v>7</v>
      </c>
      <c r="T42" s="20">
        <f t="shared" si="5"/>
        <v>0.7</v>
      </c>
      <c r="U42" s="19"/>
      <c r="V42" s="14">
        <f t="shared" si="6"/>
        <v>45</v>
      </c>
      <c r="W42" s="14">
        <f t="shared" si="6"/>
        <v>13</v>
      </c>
      <c r="X42" s="20">
        <f t="shared" si="7"/>
        <v>0.22413793103448276</v>
      </c>
      <c r="Y42" s="16"/>
      <c r="Z42" s="16"/>
      <c r="AA42" s="16"/>
      <c r="AB42" s="16"/>
      <c r="AC42" s="16"/>
      <c r="AD42" s="16"/>
      <c r="AE42" s="16"/>
      <c r="AF42" s="16"/>
      <c r="AG42" s="16"/>
    </row>
    <row r="43" spans="1:33" s="6" customFormat="1" ht="15" customHeight="1" x14ac:dyDescent="0.35">
      <c r="A43" s="5" t="s">
        <v>45</v>
      </c>
      <c r="B43" s="19">
        <v>0</v>
      </c>
      <c r="C43" s="19">
        <v>0</v>
      </c>
      <c r="D43" s="20" t="str">
        <f t="shared" si="0"/>
        <v>-</v>
      </c>
      <c r="E43" s="19"/>
      <c r="F43" s="19">
        <v>33</v>
      </c>
      <c r="G43" s="19">
        <v>1</v>
      </c>
      <c r="H43" s="20">
        <f t="shared" si="1"/>
        <v>2.9411764705882353E-2</v>
      </c>
      <c r="I43" s="19"/>
      <c r="J43" s="14">
        <f t="shared" si="2"/>
        <v>33</v>
      </c>
      <c r="K43" s="14">
        <f t="shared" si="2"/>
        <v>1</v>
      </c>
      <c r="L43" s="20">
        <f t="shared" si="3"/>
        <v>2.9411764705882353E-2</v>
      </c>
      <c r="M43" s="19"/>
      <c r="N43" s="19">
        <v>0</v>
      </c>
      <c r="O43" s="19">
        <v>0</v>
      </c>
      <c r="P43" s="20" t="str">
        <f t="shared" si="4"/>
        <v>-</v>
      </c>
      <c r="Q43" s="19"/>
      <c r="R43" s="19">
        <v>7</v>
      </c>
      <c r="S43" s="19">
        <v>5</v>
      </c>
      <c r="T43" s="20">
        <f t="shared" si="5"/>
        <v>0.41666666666666669</v>
      </c>
      <c r="U43" s="19"/>
      <c r="V43" s="14">
        <f t="shared" si="6"/>
        <v>40</v>
      </c>
      <c r="W43" s="14">
        <f t="shared" si="6"/>
        <v>6</v>
      </c>
      <c r="X43" s="20">
        <f t="shared" si="7"/>
        <v>0.13043478260869565</v>
      </c>
      <c r="Y43" s="16"/>
      <c r="Z43" s="16"/>
      <c r="AA43" s="16"/>
      <c r="AB43" s="16"/>
      <c r="AC43" s="16"/>
      <c r="AD43" s="16"/>
      <c r="AE43" s="16"/>
      <c r="AF43" s="16"/>
      <c r="AG43" s="16"/>
    </row>
    <row r="44" spans="1:33" s="6" customFormat="1" ht="15" customHeight="1" x14ac:dyDescent="0.35">
      <c r="A44" s="5" t="s">
        <v>46</v>
      </c>
      <c r="B44" s="19">
        <v>16</v>
      </c>
      <c r="C44" s="19">
        <v>1</v>
      </c>
      <c r="D44" s="20">
        <f t="shared" si="0"/>
        <v>5.8823529411764705E-2</v>
      </c>
      <c r="E44" s="19"/>
      <c r="F44" s="19">
        <v>31</v>
      </c>
      <c r="G44" s="19">
        <v>2</v>
      </c>
      <c r="H44" s="20">
        <f t="shared" si="1"/>
        <v>6.0606060606060608E-2</v>
      </c>
      <c r="I44" s="19"/>
      <c r="J44" s="14">
        <f t="shared" si="2"/>
        <v>47</v>
      </c>
      <c r="K44" s="14">
        <f t="shared" si="2"/>
        <v>3</v>
      </c>
      <c r="L44" s="20">
        <f t="shared" si="3"/>
        <v>0.06</v>
      </c>
      <c r="M44" s="19"/>
      <c r="N44" s="19">
        <v>0</v>
      </c>
      <c r="O44" s="19">
        <v>0</v>
      </c>
      <c r="P44" s="20" t="str">
        <f t="shared" si="4"/>
        <v>-</v>
      </c>
      <c r="Q44" s="19"/>
      <c r="R44" s="19">
        <v>5</v>
      </c>
      <c r="S44" s="19">
        <v>7</v>
      </c>
      <c r="T44" s="20">
        <f t="shared" si="5"/>
        <v>0.58333333333333337</v>
      </c>
      <c r="U44" s="19"/>
      <c r="V44" s="14">
        <f t="shared" si="6"/>
        <v>52</v>
      </c>
      <c r="W44" s="14">
        <f t="shared" si="6"/>
        <v>10</v>
      </c>
      <c r="X44" s="20">
        <f t="shared" si="7"/>
        <v>0.16129032258064516</v>
      </c>
      <c r="Y44" s="16"/>
      <c r="Z44" s="16"/>
      <c r="AA44" s="16"/>
      <c r="AB44" s="16"/>
      <c r="AC44" s="16"/>
      <c r="AD44" s="16"/>
      <c r="AE44" s="16"/>
      <c r="AF44" s="16"/>
      <c r="AG44" s="16"/>
    </row>
    <row r="45" spans="1:33" s="6" customFormat="1" ht="15" customHeight="1" x14ac:dyDescent="0.35">
      <c r="A45" s="5" t="s">
        <v>47</v>
      </c>
      <c r="B45" s="19">
        <v>9</v>
      </c>
      <c r="C45" s="19">
        <v>1</v>
      </c>
      <c r="D45" s="20">
        <f t="shared" si="0"/>
        <v>0.1</v>
      </c>
      <c r="E45" s="19"/>
      <c r="F45" s="19">
        <v>10</v>
      </c>
      <c r="G45" s="19">
        <v>1</v>
      </c>
      <c r="H45" s="20">
        <f t="shared" si="1"/>
        <v>9.0909090909090912E-2</v>
      </c>
      <c r="I45" s="19"/>
      <c r="J45" s="14">
        <f t="shared" si="2"/>
        <v>19</v>
      </c>
      <c r="K45" s="14">
        <f t="shared" si="2"/>
        <v>2</v>
      </c>
      <c r="L45" s="20">
        <f t="shared" si="3"/>
        <v>9.5238095238095233E-2</v>
      </c>
      <c r="M45" s="19"/>
      <c r="N45" s="19">
        <v>0</v>
      </c>
      <c r="O45" s="19">
        <v>1</v>
      </c>
      <c r="P45" s="20">
        <f t="shared" si="4"/>
        <v>1</v>
      </c>
      <c r="Q45" s="19"/>
      <c r="R45" s="19">
        <v>0</v>
      </c>
      <c r="S45" s="19">
        <v>0</v>
      </c>
      <c r="T45" s="20" t="str">
        <f t="shared" si="5"/>
        <v>-</v>
      </c>
      <c r="U45" s="19"/>
      <c r="V45" s="14">
        <f t="shared" si="6"/>
        <v>19</v>
      </c>
      <c r="W45" s="14">
        <f t="shared" si="6"/>
        <v>3</v>
      </c>
      <c r="X45" s="20">
        <f t="shared" si="7"/>
        <v>0.13636363636363635</v>
      </c>
      <c r="Y45" s="16"/>
      <c r="Z45" s="16"/>
      <c r="AA45" s="16"/>
      <c r="AB45" s="16"/>
      <c r="AC45" s="16"/>
      <c r="AD45" s="16"/>
      <c r="AE45" s="16"/>
      <c r="AF45" s="16"/>
      <c r="AG45" s="16"/>
    </row>
    <row r="46" spans="1:33" s="6" customFormat="1" ht="15" customHeight="1" x14ac:dyDescent="0.35">
      <c r="A46" s="5" t="s">
        <v>48</v>
      </c>
      <c r="B46" s="19">
        <v>7</v>
      </c>
      <c r="C46" s="19">
        <v>0</v>
      </c>
      <c r="D46" s="20">
        <f t="shared" si="0"/>
        <v>0</v>
      </c>
      <c r="E46" s="19"/>
      <c r="F46" s="19">
        <v>25</v>
      </c>
      <c r="G46" s="19">
        <v>0</v>
      </c>
      <c r="H46" s="20">
        <f t="shared" si="1"/>
        <v>0</v>
      </c>
      <c r="I46" s="19"/>
      <c r="J46" s="14">
        <f t="shared" si="2"/>
        <v>32</v>
      </c>
      <c r="K46" s="14">
        <f t="shared" si="2"/>
        <v>0</v>
      </c>
      <c r="L46" s="20">
        <f t="shared" si="3"/>
        <v>0</v>
      </c>
      <c r="M46" s="19"/>
      <c r="N46" s="19">
        <v>3</v>
      </c>
      <c r="O46" s="19">
        <v>2</v>
      </c>
      <c r="P46" s="20">
        <f t="shared" si="4"/>
        <v>0.4</v>
      </c>
      <c r="Q46" s="19"/>
      <c r="R46" s="19">
        <v>12</v>
      </c>
      <c r="S46" s="19">
        <v>4</v>
      </c>
      <c r="T46" s="20">
        <f t="shared" si="5"/>
        <v>0.25</v>
      </c>
      <c r="U46" s="19"/>
      <c r="V46" s="14">
        <f t="shared" si="6"/>
        <v>47</v>
      </c>
      <c r="W46" s="14">
        <f t="shared" si="6"/>
        <v>6</v>
      </c>
      <c r="X46" s="20">
        <f t="shared" si="7"/>
        <v>0.11320754716981132</v>
      </c>
      <c r="Y46" s="16"/>
      <c r="Z46" s="16"/>
      <c r="AA46" s="16"/>
      <c r="AB46" s="16"/>
      <c r="AC46" s="16"/>
      <c r="AD46" s="16"/>
      <c r="AE46" s="16"/>
      <c r="AF46" s="16"/>
      <c r="AG46" s="16"/>
    </row>
    <row r="47" spans="1:33" s="6" customFormat="1" ht="15" customHeight="1" x14ac:dyDescent="0.35">
      <c r="A47" s="5" t="s">
        <v>49</v>
      </c>
      <c r="B47" s="19">
        <v>15</v>
      </c>
      <c r="C47" s="19">
        <v>2</v>
      </c>
      <c r="D47" s="20">
        <f t="shared" si="0"/>
        <v>0.11764705882352941</v>
      </c>
      <c r="E47" s="19"/>
      <c r="F47" s="19">
        <v>38</v>
      </c>
      <c r="G47" s="19">
        <v>2</v>
      </c>
      <c r="H47" s="20">
        <f t="shared" si="1"/>
        <v>0.05</v>
      </c>
      <c r="I47" s="19"/>
      <c r="J47" s="14">
        <f t="shared" si="2"/>
        <v>53</v>
      </c>
      <c r="K47" s="14">
        <f t="shared" si="2"/>
        <v>4</v>
      </c>
      <c r="L47" s="20">
        <f t="shared" si="3"/>
        <v>7.0175438596491224E-2</v>
      </c>
      <c r="M47" s="19"/>
      <c r="N47" s="19">
        <v>0</v>
      </c>
      <c r="O47" s="19">
        <v>0</v>
      </c>
      <c r="P47" s="20" t="str">
        <f t="shared" si="4"/>
        <v>-</v>
      </c>
      <c r="Q47" s="19"/>
      <c r="R47" s="19">
        <v>8</v>
      </c>
      <c r="S47" s="19">
        <v>8</v>
      </c>
      <c r="T47" s="20">
        <f t="shared" si="5"/>
        <v>0.5</v>
      </c>
      <c r="U47" s="19"/>
      <c r="V47" s="14">
        <f t="shared" si="6"/>
        <v>61</v>
      </c>
      <c r="W47" s="14">
        <f t="shared" si="6"/>
        <v>12</v>
      </c>
      <c r="X47" s="20">
        <f t="shared" si="7"/>
        <v>0.16438356164383561</v>
      </c>
      <c r="Y47" s="16"/>
      <c r="Z47" s="16"/>
      <c r="AA47" s="16"/>
      <c r="AB47" s="16"/>
      <c r="AC47" s="16"/>
      <c r="AD47" s="16"/>
      <c r="AE47" s="16"/>
      <c r="AF47" s="16"/>
      <c r="AG47" s="16"/>
    </row>
    <row r="48" spans="1:33" s="6" customFormat="1" ht="15" customHeight="1" x14ac:dyDescent="0.35">
      <c r="A48" s="5" t="s">
        <v>50</v>
      </c>
      <c r="B48" s="19">
        <v>0</v>
      </c>
      <c r="C48" s="19">
        <v>0</v>
      </c>
      <c r="D48" s="20" t="str">
        <f t="shared" si="0"/>
        <v>-</v>
      </c>
      <c r="E48" s="19"/>
      <c r="F48" s="19">
        <v>0</v>
      </c>
      <c r="G48" s="19">
        <v>0</v>
      </c>
      <c r="H48" s="20" t="str">
        <f t="shared" si="1"/>
        <v>-</v>
      </c>
      <c r="I48" s="19"/>
      <c r="J48" s="14">
        <f t="shared" si="2"/>
        <v>0</v>
      </c>
      <c r="K48" s="14">
        <f t="shared" si="2"/>
        <v>0</v>
      </c>
      <c r="L48" s="20" t="str">
        <f t="shared" si="3"/>
        <v>-</v>
      </c>
      <c r="M48" s="19"/>
      <c r="N48" s="19">
        <v>0</v>
      </c>
      <c r="O48" s="19">
        <v>0</v>
      </c>
      <c r="P48" s="20" t="str">
        <f t="shared" si="4"/>
        <v>-</v>
      </c>
      <c r="Q48" s="19"/>
      <c r="R48" s="19">
        <v>0</v>
      </c>
      <c r="S48" s="19">
        <v>0</v>
      </c>
      <c r="T48" s="20" t="str">
        <f t="shared" si="5"/>
        <v>-</v>
      </c>
      <c r="U48" s="19"/>
      <c r="V48" s="14">
        <f t="shared" si="6"/>
        <v>0</v>
      </c>
      <c r="W48" s="14">
        <f t="shared" si="6"/>
        <v>0</v>
      </c>
      <c r="X48" s="20" t="str">
        <f t="shared" si="7"/>
        <v>-</v>
      </c>
      <c r="Y48" s="16"/>
      <c r="Z48" s="16"/>
      <c r="AA48" s="16"/>
      <c r="AB48" s="16"/>
      <c r="AC48" s="16"/>
      <c r="AD48" s="16"/>
      <c r="AE48" s="16"/>
      <c r="AF48" s="16"/>
      <c r="AG48" s="16"/>
    </row>
    <row r="49" spans="1:33" s="6" customFormat="1" ht="15" customHeight="1" x14ac:dyDescent="0.35">
      <c r="A49" s="22" t="s">
        <v>51</v>
      </c>
      <c r="B49" s="14">
        <f>SUM(B50:B56)</f>
        <v>138</v>
      </c>
      <c r="C49" s="14">
        <f>SUM(C50:C56)</f>
        <v>21</v>
      </c>
      <c r="D49" s="15">
        <f t="shared" si="0"/>
        <v>0.13207547169811321</v>
      </c>
      <c r="E49" s="14"/>
      <c r="F49" s="14">
        <f>SUM(F50:F56)</f>
        <v>13</v>
      </c>
      <c r="G49" s="14">
        <f>SUM(G50:G56)</f>
        <v>3</v>
      </c>
      <c r="H49" s="15">
        <f t="shared" si="1"/>
        <v>0.1875</v>
      </c>
      <c r="I49" s="14"/>
      <c r="J49" s="14">
        <f t="shared" si="2"/>
        <v>151</v>
      </c>
      <c r="K49" s="14">
        <f t="shared" si="2"/>
        <v>24</v>
      </c>
      <c r="L49" s="15">
        <f t="shared" si="3"/>
        <v>0.13714285714285715</v>
      </c>
      <c r="M49" s="14"/>
      <c r="N49" s="14">
        <f>SUM(N50:N56)</f>
        <v>8</v>
      </c>
      <c r="O49" s="14">
        <f>SUM(O50:O56)</f>
        <v>17</v>
      </c>
      <c r="P49" s="15">
        <f t="shared" si="4"/>
        <v>0.68</v>
      </c>
      <c r="Q49" s="14"/>
      <c r="R49" s="14">
        <f>SUM(R50:R56)</f>
        <v>88</v>
      </c>
      <c r="S49" s="14">
        <f>SUM(S50:S56)</f>
        <v>109</v>
      </c>
      <c r="T49" s="15">
        <f t="shared" si="5"/>
        <v>0.5532994923857868</v>
      </c>
      <c r="U49" s="14"/>
      <c r="V49" s="14">
        <f t="shared" si="6"/>
        <v>247</v>
      </c>
      <c r="W49" s="14">
        <f t="shared" si="6"/>
        <v>150</v>
      </c>
      <c r="X49" s="15">
        <f t="shared" si="7"/>
        <v>0.37783375314861462</v>
      </c>
      <c r="Y49" s="16"/>
      <c r="Z49" s="16"/>
      <c r="AA49" s="16"/>
      <c r="AB49" s="16"/>
      <c r="AC49" s="16"/>
      <c r="AD49" s="16"/>
      <c r="AE49" s="16"/>
      <c r="AF49" s="16"/>
      <c r="AG49" s="16"/>
    </row>
    <row r="50" spans="1:33" s="6" customFormat="1" ht="15" customHeight="1" x14ac:dyDescent="0.35">
      <c r="A50" s="5" t="s">
        <v>52</v>
      </c>
      <c r="B50" s="19">
        <v>12</v>
      </c>
      <c r="C50" s="19">
        <v>5</v>
      </c>
      <c r="D50" s="20">
        <f t="shared" si="0"/>
        <v>0.29411764705882354</v>
      </c>
      <c r="E50" s="19"/>
      <c r="F50" s="19">
        <v>1</v>
      </c>
      <c r="G50" s="19">
        <v>0</v>
      </c>
      <c r="H50" s="20">
        <f t="shared" si="1"/>
        <v>0</v>
      </c>
      <c r="I50" s="19"/>
      <c r="J50" s="14">
        <f t="shared" si="2"/>
        <v>13</v>
      </c>
      <c r="K50" s="14">
        <f t="shared" si="2"/>
        <v>5</v>
      </c>
      <c r="L50" s="20">
        <f t="shared" si="3"/>
        <v>0.27777777777777779</v>
      </c>
      <c r="M50" s="19"/>
      <c r="N50" s="19">
        <v>0</v>
      </c>
      <c r="O50" s="19">
        <v>0</v>
      </c>
      <c r="P50" s="20" t="str">
        <f t="shared" si="4"/>
        <v>-</v>
      </c>
      <c r="Q50" s="19"/>
      <c r="R50" s="19">
        <v>26</v>
      </c>
      <c r="S50" s="19">
        <v>36</v>
      </c>
      <c r="T50" s="20">
        <f t="shared" si="5"/>
        <v>0.58064516129032262</v>
      </c>
      <c r="U50" s="19"/>
      <c r="V50" s="14">
        <f t="shared" si="6"/>
        <v>39</v>
      </c>
      <c r="W50" s="14">
        <f t="shared" si="6"/>
        <v>41</v>
      </c>
      <c r="X50" s="20">
        <f t="shared" si="7"/>
        <v>0.51249999999999996</v>
      </c>
      <c r="Y50" s="16"/>
      <c r="Z50" s="16"/>
      <c r="AA50" s="16"/>
      <c r="AB50" s="16"/>
      <c r="AC50" s="16"/>
      <c r="AD50" s="16"/>
      <c r="AE50" s="16"/>
      <c r="AF50" s="16"/>
      <c r="AG50" s="16"/>
    </row>
    <row r="51" spans="1:33" s="6" customFormat="1" ht="15" customHeight="1" x14ac:dyDescent="0.35">
      <c r="A51" s="5" t="s">
        <v>53</v>
      </c>
      <c r="B51" s="19">
        <v>12</v>
      </c>
      <c r="C51" s="19">
        <v>5</v>
      </c>
      <c r="D51" s="20">
        <f t="shared" si="0"/>
        <v>0.29411764705882354</v>
      </c>
      <c r="E51" s="19"/>
      <c r="F51" s="19">
        <v>0</v>
      </c>
      <c r="G51" s="19">
        <v>0</v>
      </c>
      <c r="H51" s="20" t="str">
        <f t="shared" si="1"/>
        <v>-</v>
      </c>
      <c r="I51" s="19"/>
      <c r="J51" s="14">
        <f t="shared" si="2"/>
        <v>12</v>
      </c>
      <c r="K51" s="14">
        <f t="shared" si="2"/>
        <v>5</v>
      </c>
      <c r="L51" s="20">
        <f t="shared" si="3"/>
        <v>0.29411764705882354</v>
      </c>
      <c r="M51" s="19"/>
      <c r="N51" s="19">
        <v>0</v>
      </c>
      <c r="O51" s="19">
        <v>0</v>
      </c>
      <c r="P51" s="20" t="str">
        <f t="shared" si="4"/>
        <v>-</v>
      </c>
      <c r="Q51" s="19"/>
      <c r="R51" s="19">
        <v>13</v>
      </c>
      <c r="S51" s="19">
        <v>14</v>
      </c>
      <c r="T51" s="20">
        <f t="shared" si="5"/>
        <v>0.51851851851851849</v>
      </c>
      <c r="U51" s="19"/>
      <c r="V51" s="14">
        <f t="shared" si="6"/>
        <v>25</v>
      </c>
      <c r="W51" s="14">
        <f t="shared" si="6"/>
        <v>19</v>
      </c>
      <c r="X51" s="20">
        <f t="shared" si="7"/>
        <v>0.43181818181818182</v>
      </c>
      <c r="Y51" s="16"/>
      <c r="Z51" s="16"/>
      <c r="AA51" s="16"/>
      <c r="AB51" s="16"/>
      <c r="AC51" s="16"/>
      <c r="AD51" s="16"/>
      <c r="AE51" s="16"/>
      <c r="AF51" s="16"/>
      <c r="AG51" s="16"/>
    </row>
    <row r="52" spans="1:33" s="6" customFormat="1" ht="15" customHeight="1" x14ac:dyDescent="0.35">
      <c r="A52" s="5" t="s">
        <v>54</v>
      </c>
      <c r="B52" s="19">
        <v>0</v>
      </c>
      <c r="C52" s="19">
        <v>0</v>
      </c>
      <c r="D52" s="20" t="str">
        <f t="shared" si="0"/>
        <v>-</v>
      </c>
      <c r="E52" s="19"/>
      <c r="F52" s="19">
        <v>0</v>
      </c>
      <c r="G52" s="19">
        <v>0</v>
      </c>
      <c r="H52" s="20" t="str">
        <f t="shared" si="1"/>
        <v>-</v>
      </c>
      <c r="I52" s="19"/>
      <c r="J52" s="14">
        <f t="shared" si="2"/>
        <v>0</v>
      </c>
      <c r="K52" s="14">
        <f t="shared" si="2"/>
        <v>0</v>
      </c>
      <c r="L52" s="20" t="str">
        <f t="shared" si="3"/>
        <v>-</v>
      </c>
      <c r="M52" s="19"/>
      <c r="N52" s="19">
        <v>0</v>
      </c>
      <c r="O52" s="19">
        <v>0</v>
      </c>
      <c r="P52" s="20" t="str">
        <f t="shared" si="4"/>
        <v>-</v>
      </c>
      <c r="Q52" s="19"/>
      <c r="R52" s="19">
        <v>0</v>
      </c>
      <c r="S52" s="19">
        <v>0</v>
      </c>
      <c r="T52" s="20" t="str">
        <f t="shared" si="5"/>
        <v>-</v>
      </c>
      <c r="U52" s="19"/>
      <c r="V52" s="14">
        <f t="shared" si="6"/>
        <v>0</v>
      </c>
      <c r="W52" s="14">
        <f t="shared" si="6"/>
        <v>0</v>
      </c>
      <c r="X52" s="20" t="str">
        <f t="shared" si="7"/>
        <v>-</v>
      </c>
      <c r="Y52" s="16"/>
      <c r="Z52" s="16"/>
      <c r="AA52" s="16"/>
      <c r="AB52" s="16"/>
      <c r="AC52" s="16"/>
      <c r="AD52" s="16"/>
      <c r="AE52" s="16"/>
      <c r="AF52" s="16"/>
      <c r="AG52" s="16"/>
    </row>
    <row r="53" spans="1:33" s="6" customFormat="1" ht="15" customHeight="1" x14ac:dyDescent="0.35">
      <c r="A53" s="2" t="s">
        <v>55</v>
      </c>
      <c r="B53" s="19">
        <v>1</v>
      </c>
      <c r="C53" s="19">
        <v>0</v>
      </c>
      <c r="D53" s="20">
        <f t="shared" si="0"/>
        <v>0</v>
      </c>
      <c r="E53" s="19"/>
      <c r="F53" s="19">
        <v>0</v>
      </c>
      <c r="G53" s="19">
        <v>0</v>
      </c>
      <c r="H53" s="20" t="str">
        <f t="shared" si="1"/>
        <v>-</v>
      </c>
      <c r="I53" s="19"/>
      <c r="J53" s="14">
        <f t="shared" si="2"/>
        <v>1</v>
      </c>
      <c r="K53" s="14">
        <f t="shared" si="2"/>
        <v>0</v>
      </c>
      <c r="L53" s="20">
        <f t="shared" si="3"/>
        <v>0</v>
      </c>
      <c r="M53" s="19"/>
      <c r="N53" s="19">
        <v>1</v>
      </c>
      <c r="O53" s="19">
        <v>1</v>
      </c>
      <c r="P53" s="20">
        <f t="shared" si="4"/>
        <v>0.5</v>
      </c>
      <c r="Q53" s="19"/>
      <c r="R53" s="19">
        <v>5</v>
      </c>
      <c r="S53" s="19">
        <v>7</v>
      </c>
      <c r="T53" s="20">
        <f t="shared" si="5"/>
        <v>0.58333333333333337</v>
      </c>
      <c r="U53" s="19"/>
      <c r="V53" s="14">
        <f t="shared" si="6"/>
        <v>7</v>
      </c>
      <c r="W53" s="14">
        <f t="shared" si="6"/>
        <v>8</v>
      </c>
      <c r="X53" s="20">
        <f t="shared" si="7"/>
        <v>0.53333333333333333</v>
      </c>
      <c r="Y53" s="16"/>
      <c r="Z53" s="16"/>
      <c r="AA53" s="16"/>
      <c r="AB53" s="16"/>
      <c r="AC53" s="16"/>
      <c r="AD53" s="16"/>
      <c r="AE53" s="16"/>
      <c r="AF53" s="16"/>
      <c r="AG53" s="16"/>
    </row>
    <row r="54" spans="1:33" s="6" customFormat="1" ht="15" customHeight="1" x14ac:dyDescent="0.35">
      <c r="A54" s="2" t="s">
        <v>56</v>
      </c>
      <c r="B54" s="19">
        <v>3</v>
      </c>
      <c r="C54" s="19">
        <v>0</v>
      </c>
      <c r="D54" s="20">
        <f t="shared" si="0"/>
        <v>0</v>
      </c>
      <c r="E54" s="19"/>
      <c r="F54" s="19">
        <v>0</v>
      </c>
      <c r="G54" s="19">
        <v>0</v>
      </c>
      <c r="H54" s="20" t="str">
        <f t="shared" si="1"/>
        <v>-</v>
      </c>
      <c r="I54" s="19"/>
      <c r="J54" s="14">
        <f t="shared" si="2"/>
        <v>3</v>
      </c>
      <c r="K54" s="14">
        <f t="shared" si="2"/>
        <v>0</v>
      </c>
      <c r="L54" s="20">
        <f t="shared" si="3"/>
        <v>0</v>
      </c>
      <c r="M54" s="19"/>
      <c r="N54" s="19">
        <v>4</v>
      </c>
      <c r="O54" s="19">
        <v>7</v>
      </c>
      <c r="P54" s="20">
        <f t="shared" si="4"/>
        <v>0.63636363636363635</v>
      </c>
      <c r="Q54" s="19"/>
      <c r="R54" s="19">
        <v>8</v>
      </c>
      <c r="S54" s="19">
        <v>3</v>
      </c>
      <c r="T54" s="20">
        <f t="shared" si="5"/>
        <v>0.27272727272727271</v>
      </c>
      <c r="U54" s="19"/>
      <c r="V54" s="14">
        <f t="shared" si="6"/>
        <v>15</v>
      </c>
      <c r="W54" s="14">
        <f t="shared" si="6"/>
        <v>10</v>
      </c>
      <c r="X54" s="20">
        <f t="shared" si="7"/>
        <v>0.4</v>
      </c>
      <c r="Y54" s="16"/>
      <c r="Z54" s="16"/>
      <c r="AA54" s="16"/>
      <c r="AB54" s="16"/>
      <c r="AC54" s="16"/>
      <c r="AD54" s="16"/>
      <c r="AE54" s="16"/>
      <c r="AF54" s="16"/>
      <c r="AG54" s="16"/>
    </row>
    <row r="55" spans="1:33" s="6" customFormat="1" ht="15" customHeight="1" x14ac:dyDescent="0.35">
      <c r="A55" s="2" t="s">
        <v>57</v>
      </c>
      <c r="B55" s="19">
        <v>1</v>
      </c>
      <c r="C55" s="19">
        <v>0</v>
      </c>
      <c r="D55" s="20">
        <f t="shared" si="0"/>
        <v>0</v>
      </c>
      <c r="E55" s="19"/>
      <c r="F55" s="19">
        <v>12</v>
      </c>
      <c r="G55" s="19">
        <v>3</v>
      </c>
      <c r="H55" s="20">
        <f t="shared" si="1"/>
        <v>0.2</v>
      </c>
      <c r="I55" s="19"/>
      <c r="J55" s="14">
        <f t="shared" si="2"/>
        <v>13</v>
      </c>
      <c r="K55" s="14">
        <f t="shared" si="2"/>
        <v>3</v>
      </c>
      <c r="L55" s="20">
        <f t="shared" si="3"/>
        <v>0.1875</v>
      </c>
      <c r="M55" s="19"/>
      <c r="N55" s="19">
        <v>0</v>
      </c>
      <c r="O55" s="19">
        <v>0</v>
      </c>
      <c r="P55" s="20" t="str">
        <f t="shared" si="4"/>
        <v>-</v>
      </c>
      <c r="Q55" s="19"/>
      <c r="R55" s="19">
        <v>11</v>
      </c>
      <c r="S55" s="19">
        <v>18</v>
      </c>
      <c r="T55" s="20">
        <f t="shared" si="5"/>
        <v>0.62068965517241381</v>
      </c>
      <c r="U55" s="19"/>
      <c r="V55" s="14">
        <f t="shared" si="6"/>
        <v>24</v>
      </c>
      <c r="W55" s="14">
        <f t="shared" si="6"/>
        <v>21</v>
      </c>
      <c r="X55" s="20">
        <f t="shared" si="7"/>
        <v>0.46666666666666667</v>
      </c>
      <c r="Y55" s="16"/>
      <c r="Z55" s="16"/>
      <c r="AA55" s="16"/>
      <c r="AB55" s="16"/>
      <c r="AC55" s="16"/>
      <c r="AD55" s="16"/>
      <c r="AE55" s="16"/>
      <c r="AF55" s="16"/>
      <c r="AG55" s="16"/>
    </row>
    <row r="56" spans="1:33" s="6" customFormat="1" ht="15" customHeight="1" thickBot="1" x14ac:dyDescent="0.4">
      <c r="A56" s="23" t="s">
        <v>58</v>
      </c>
      <c r="B56" s="19">
        <v>109</v>
      </c>
      <c r="C56" s="19">
        <v>11</v>
      </c>
      <c r="D56" s="20">
        <f t="shared" si="0"/>
        <v>9.166666666666666E-2</v>
      </c>
      <c r="E56" s="24"/>
      <c r="F56" s="19">
        <v>0</v>
      </c>
      <c r="G56" s="19">
        <v>0</v>
      </c>
      <c r="H56" s="20" t="str">
        <f t="shared" si="1"/>
        <v>-</v>
      </c>
      <c r="I56" s="24"/>
      <c r="J56" s="14">
        <f t="shared" si="2"/>
        <v>109</v>
      </c>
      <c r="K56" s="14">
        <f t="shared" si="2"/>
        <v>11</v>
      </c>
      <c r="L56" s="20">
        <f t="shared" si="3"/>
        <v>9.166666666666666E-2</v>
      </c>
      <c r="M56" s="24"/>
      <c r="N56" s="19">
        <v>3</v>
      </c>
      <c r="O56" s="19">
        <v>9</v>
      </c>
      <c r="P56" s="20">
        <f t="shared" si="4"/>
        <v>0.75</v>
      </c>
      <c r="Q56" s="24"/>
      <c r="R56" s="19">
        <v>25</v>
      </c>
      <c r="S56" s="19">
        <v>31</v>
      </c>
      <c r="T56" s="20">
        <f t="shared" si="5"/>
        <v>0.5535714285714286</v>
      </c>
      <c r="U56" s="24"/>
      <c r="V56" s="14">
        <f t="shared" si="6"/>
        <v>137</v>
      </c>
      <c r="W56" s="14">
        <f t="shared" si="6"/>
        <v>51</v>
      </c>
      <c r="X56" s="20">
        <f t="shared" si="7"/>
        <v>0.27127659574468083</v>
      </c>
      <c r="Y56" s="16"/>
      <c r="Z56" s="16"/>
      <c r="AA56" s="16"/>
      <c r="AB56" s="16"/>
      <c r="AC56" s="16"/>
      <c r="AD56" s="16"/>
      <c r="AE56" s="16"/>
      <c r="AF56" s="16"/>
      <c r="AG56" s="16"/>
    </row>
    <row r="57" spans="1:33" s="6" customFormat="1" ht="15" customHeight="1" x14ac:dyDescent="0.35">
      <c r="A57" s="5"/>
      <c r="B57" s="5"/>
      <c r="C57" s="5"/>
      <c r="D57" s="5"/>
      <c r="E57" s="5"/>
      <c r="F57" s="5"/>
      <c r="G57" s="5"/>
      <c r="H57" s="5"/>
      <c r="I57" s="5"/>
      <c r="J57" s="5"/>
      <c r="K57" s="5"/>
      <c r="L57" s="5"/>
      <c r="M57" s="5"/>
      <c r="N57" s="5"/>
      <c r="O57" s="5"/>
      <c r="P57" s="5"/>
      <c r="Q57" s="5"/>
      <c r="R57" s="5"/>
      <c r="S57" s="5"/>
      <c r="T57" s="5"/>
      <c r="U57" s="5"/>
      <c r="V57" s="5"/>
      <c r="W57" s="5"/>
      <c r="X57" s="5"/>
      <c r="Y57" s="16"/>
      <c r="Z57" s="16"/>
      <c r="AA57" s="16"/>
      <c r="AB57" s="16"/>
      <c r="AC57" s="16"/>
      <c r="AD57" s="16"/>
      <c r="AE57" s="16"/>
      <c r="AF57" s="16"/>
      <c r="AG57" s="16"/>
    </row>
    <row r="58" spans="1:33" x14ac:dyDescent="0.35">
      <c r="A58" s="78" t="s">
        <v>59</v>
      </c>
      <c r="B58" s="78"/>
      <c r="C58" s="78"/>
      <c r="D58" s="78"/>
      <c r="E58" s="78"/>
      <c r="F58" s="78"/>
      <c r="G58" s="78"/>
      <c r="H58" s="78"/>
      <c r="I58" s="78"/>
      <c r="J58" s="78"/>
      <c r="K58" s="78"/>
      <c r="L58" s="78"/>
      <c r="M58" s="78"/>
      <c r="N58" s="78"/>
      <c r="O58" s="78"/>
      <c r="P58" s="78"/>
      <c r="Q58" s="78"/>
      <c r="R58" s="78"/>
      <c r="S58" s="78"/>
      <c r="T58" s="78"/>
      <c r="U58" s="78"/>
      <c r="V58" s="78"/>
      <c r="W58" s="78"/>
      <c r="X58" s="78"/>
    </row>
    <row r="59" spans="1:33" x14ac:dyDescent="0.35">
      <c r="A59" s="27" t="s">
        <v>69</v>
      </c>
      <c r="B59" s="27"/>
      <c r="C59" s="27"/>
      <c r="D59" s="27"/>
      <c r="E59" s="27"/>
      <c r="F59" s="27"/>
      <c r="G59" s="27"/>
      <c r="H59" s="27"/>
      <c r="I59" s="27"/>
      <c r="J59" s="27"/>
      <c r="K59" s="27"/>
      <c r="L59" s="27"/>
      <c r="M59" s="27"/>
      <c r="N59" s="27"/>
      <c r="O59" s="27"/>
      <c r="P59" s="27"/>
      <c r="Q59" s="27"/>
      <c r="R59" s="27"/>
      <c r="S59" s="27"/>
      <c r="T59" s="27"/>
      <c r="U59" s="27"/>
      <c r="V59" s="27"/>
      <c r="W59" s="27"/>
      <c r="X59" s="27"/>
    </row>
    <row r="60" spans="1:33" x14ac:dyDescent="0.35">
      <c r="A60" s="79"/>
      <c r="B60" s="79"/>
      <c r="C60" s="79"/>
      <c r="D60" s="79"/>
      <c r="E60" s="79"/>
      <c r="F60" s="79"/>
      <c r="G60" s="79"/>
      <c r="H60" s="79"/>
      <c r="I60" s="79"/>
      <c r="J60" s="79"/>
      <c r="K60" s="79"/>
      <c r="L60" s="79"/>
      <c r="M60" s="79"/>
      <c r="N60" s="79"/>
      <c r="O60" s="79"/>
      <c r="P60" s="79"/>
      <c r="Q60" s="79"/>
      <c r="R60" s="79"/>
      <c r="S60" s="79"/>
      <c r="T60" s="79"/>
      <c r="U60" s="79"/>
      <c r="V60" s="79"/>
      <c r="W60" s="79"/>
      <c r="X60" s="79"/>
    </row>
    <row r="61" spans="1:33" x14ac:dyDescent="0.35">
      <c r="A61" s="28" t="s">
        <v>60</v>
      </c>
    </row>
    <row r="62" spans="1:33" x14ac:dyDescent="0.35">
      <c r="A62" s="80" t="s">
        <v>61</v>
      </c>
      <c r="B62" s="80"/>
      <c r="C62" s="80"/>
      <c r="D62" s="80"/>
      <c r="E62" s="80"/>
      <c r="F62" s="80"/>
      <c r="G62" s="80"/>
      <c r="H62" s="80"/>
      <c r="I62" s="80"/>
      <c r="J62" s="80"/>
      <c r="K62" s="80"/>
      <c r="L62" s="80"/>
      <c r="M62" s="80"/>
      <c r="N62" s="80"/>
      <c r="O62" s="80"/>
      <c r="P62" s="80"/>
      <c r="Q62" s="80"/>
      <c r="R62" s="80"/>
      <c r="S62" s="80"/>
      <c r="T62" s="80"/>
      <c r="U62" s="80"/>
      <c r="V62" s="80"/>
      <c r="W62" s="80"/>
      <c r="X62" s="80"/>
    </row>
    <row r="64" spans="1:33" x14ac:dyDescent="0.35">
      <c r="A64" s="5" t="s">
        <v>62</v>
      </c>
      <c r="B64" s="29"/>
      <c r="C64" s="29"/>
      <c r="D64" s="29"/>
      <c r="E64" s="29"/>
      <c r="F64" s="29"/>
      <c r="G64" s="29"/>
      <c r="H64" s="29"/>
      <c r="I64" s="29"/>
      <c r="J64" s="29"/>
      <c r="K64" s="29"/>
      <c r="L64" s="29"/>
      <c r="M64" s="29"/>
      <c r="N64" s="29"/>
      <c r="O64" s="29"/>
      <c r="P64" s="29"/>
      <c r="Q64" s="29"/>
      <c r="R64" s="29"/>
      <c r="S64" s="29"/>
      <c r="T64" s="29"/>
      <c r="U64" s="29"/>
      <c r="V64" s="29"/>
      <c r="W64" s="29"/>
      <c r="X64" s="29"/>
    </row>
    <row r="65" spans="1:24" x14ac:dyDescent="0.35">
      <c r="A65" s="30" t="s">
        <v>63</v>
      </c>
      <c r="B65" s="29"/>
      <c r="C65" s="29"/>
      <c r="D65" s="29"/>
      <c r="E65" s="29"/>
      <c r="F65" s="29"/>
      <c r="G65" s="29"/>
      <c r="H65" s="29"/>
      <c r="I65" s="29"/>
      <c r="J65" s="29"/>
      <c r="K65" s="29"/>
      <c r="L65" s="29"/>
      <c r="M65" s="29"/>
      <c r="N65" s="29"/>
      <c r="O65" s="29"/>
      <c r="P65" s="29"/>
      <c r="Q65" s="29"/>
      <c r="R65" s="29"/>
      <c r="S65" s="29"/>
      <c r="T65" s="29"/>
      <c r="U65" s="29"/>
      <c r="V65" s="29"/>
      <c r="W65" s="29"/>
      <c r="X65" s="29"/>
    </row>
    <row r="67" spans="1:24" x14ac:dyDescent="0.35">
      <c r="A67" s="78" t="s">
        <v>64</v>
      </c>
      <c r="B67" s="78"/>
      <c r="C67" s="78"/>
      <c r="D67" s="78"/>
      <c r="E67" s="78"/>
      <c r="F67" s="78"/>
      <c r="G67" s="78"/>
      <c r="H67" s="78"/>
      <c r="I67" s="78"/>
      <c r="J67" s="78"/>
      <c r="K67" s="78"/>
      <c r="L67" s="78"/>
      <c r="M67" s="78"/>
      <c r="N67" s="78"/>
      <c r="O67" s="78"/>
      <c r="P67" s="78"/>
      <c r="Q67" s="78"/>
      <c r="R67" s="78"/>
      <c r="S67" s="78"/>
      <c r="T67" s="78"/>
      <c r="U67" s="78"/>
      <c r="V67" s="78"/>
      <c r="W67" s="78"/>
      <c r="X67" s="78"/>
    </row>
    <row r="68" spans="1:24" x14ac:dyDescent="0.35">
      <c r="A68" s="30"/>
      <c r="X68" s="6"/>
    </row>
    <row r="69" spans="1:24" x14ac:dyDescent="0.35">
      <c r="A69" s="5" t="s">
        <v>65</v>
      </c>
      <c r="X69" s="37" t="s">
        <v>66</v>
      </c>
    </row>
    <row r="70" spans="1:24" x14ac:dyDescent="0.35">
      <c r="A70" s="30" t="s">
        <v>67</v>
      </c>
      <c r="X70" s="31" t="s">
        <v>68</v>
      </c>
    </row>
  </sheetData>
  <mergeCells count="11">
    <mergeCell ref="A58:X58"/>
    <mergeCell ref="A60:X60"/>
    <mergeCell ref="A62:X62"/>
    <mergeCell ref="A67:X67"/>
    <mergeCell ref="A1:X1"/>
    <mergeCell ref="B6:D6"/>
    <mergeCell ref="F6:H6"/>
    <mergeCell ref="J6:L6"/>
    <mergeCell ref="N6:P6"/>
    <mergeCell ref="R6:T6"/>
    <mergeCell ref="V6:X6"/>
  </mergeCells>
  <hyperlinks>
    <hyperlink ref="A65" r:id="rId1" xr:uid="{00000000-0004-0000-0000-000000000000}"/>
    <hyperlink ref="A70" r:id="rId2" xr:uid="{00000000-0004-0000-0000-000001000000}"/>
    <hyperlink ref="X69"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70"/>
  <sheetViews>
    <sheetView workbookViewId="0">
      <selection activeCell="A4" sqref="A4:L4"/>
    </sheetView>
  </sheetViews>
  <sheetFormatPr defaultColWidth="9.1796875" defaultRowHeight="14.5" x14ac:dyDescent="0.35"/>
  <cols>
    <col min="1" max="1" width="50.7265625" style="5" customWidth="1"/>
    <col min="2" max="3" width="8.7265625" style="5" customWidth="1"/>
    <col min="4" max="4" width="12.7265625" style="5" customWidth="1"/>
    <col min="5" max="5" width="2.7265625" style="5" customWidth="1"/>
    <col min="6" max="7" width="8.7265625" style="5" customWidth="1"/>
    <col min="8" max="8" width="12.7265625" style="5" customWidth="1"/>
    <col min="9" max="9" width="2.7265625" style="5" customWidth="1"/>
    <col min="10" max="11" width="8.7265625" style="5" customWidth="1"/>
    <col min="12" max="12" width="12.7265625" style="5" customWidth="1"/>
    <col min="13" max="13" width="7.7265625" style="5" customWidth="1"/>
    <col min="14" max="15" width="8.7265625" style="5" customWidth="1"/>
    <col min="16" max="16" width="12.7265625" style="5" customWidth="1"/>
    <col min="17" max="17" width="2.7265625" style="5" customWidth="1"/>
    <col min="18" max="19" width="8.7265625" style="5" customWidth="1"/>
    <col min="20" max="20" width="12.7265625" style="5" customWidth="1"/>
    <col min="21" max="21" width="2.7265625" style="5" customWidth="1"/>
    <col min="22" max="23" width="8.7265625" style="5" customWidth="1"/>
    <col min="24" max="24" width="12.7265625" style="5" customWidth="1"/>
    <col min="25" max="16384" width="9.1796875" style="5"/>
  </cols>
  <sheetData>
    <row r="1" spans="1:34" s="1" customFormat="1" ht="23.25" customHeight="1" x14ac:dyDescent="0.5">
      <c r="A1" s="81" t="s">
        <v>71</v>
      </c>
      <c r="B1" s="81"/>
      <c r="C1" s="81"/>
      <c r="D1" s="81"/>
      <c r="E1" s="81"/>
      <c r="F1" s="81"/>
      <c r="G1" s="81"/>
      <c r="H1" s="81"/>
      <c r="I1" s="81"/>
      <c r="J1" s="81"/>
      <c r="K1" s="81"/>
      <c r="L1" s="81"/>
      <c r="M1" s="81"/>
      <c r="N1" s="81"/>
      <c r="O1" s="81"/>
      <c r="P1" s="81"/>
      <c r="Q1" s="81"/>
      <c r="R1" s="81"/>
      <c r="S1" s="81"/>
      <c r="T1" s="81"/>
      <c r="U1" s="81"/>
      <c r="V1" s="81"/>
      <c r="W1" s="81"/>
      <c r="X1" s="81"/>
    </row>
    <row r="2" spans="1:34" s="4" customFormat="1" x14ac:dyDescent="0.35">
      <c r="A2" s="2"/>
      <c r="B2" s="3"/>
      <c r="C2" s="3"/>
      <c r="D2" s="3"/>
      <c r="E2" s="3"/>
      <c r="F2" s="3"/>
      <c r="G2" s="3"/>
      <c r="H2" s="3"/>
      <c r="I2" s="3"/>
      <c r="J2" s="3"/>
      <c r="K2" s="3"/>
      <c r="L2" s="3"/>
      <c r="M2" s="3"/>
      <c r="N2" s="3"/>
      <c r="O2" s="3"/>
      <c r="P2" s="3"/>
      <c r="Q2" s="3"/>
      <c r="R2" s="3"/>
      <c r="S2" s="3"/>
      <c r="T2" s="3"/>
      <c r="U2" s="3"/>
      <c r="V2" s="3"/>
      <c r="W2" s="3"/>
      <c r="X2" s="3"/>
    </row>
    <row r="3" spans="1:34" s="4" customFormat="1" x14ac:dyDescent="0.35">
      <c r="A3" s="2"/>
      <c r="B3" s="3"/>
      <c r="C3" s="3"/>
      <c r="D3" s="3"/>
      <c r="E3" s="3"/>
      <c r="F3" s="3"/>
      <c r="G3" s="3"/>
      <c r="H3" s="3"/>
      <c r="I3" s="3"/>
      <c r="J3" s="3"/>
      <c r="K3" s="3"/>
      <c r="L3" s="3"/>
      <c r="M3" s="3"/>
      <c r="N3" s="3"/>
      <c r="O3" s="3"/>
      <c r="P3" s="3"/>
      <c r="Q3" s="3"/>
      <c r="R3" s="3"/>
      <c r="S3" s="3"/>
      <c r="T3" s="3"/>
      <c r="U3" s="3"/>
      <c r="V3" s="3"/>
      <c r="W3" s="3"/>
      <c r="X3" s="3"/>
    </row>
    <row r="4" spans="1:34" s="4" customFormat="1" x14ac:dyDescent="0.35">
      <c r="A4" s="2"/>
      <c r="B4" s="3"/>
      <c r="C4" s="3"/>
      <c r="D4" s="3"/>
      <c r="E4" s="3"/>
      <c r="F4" s="3"/>
      <c r="G4" s="3"/>
      <c r="H4" s="3"/>
      <c r="I4" s="3"/>
      <c r="J4" s="3"/>
      <c r="K4" s="3"/>
      <c r="L4" s="3"/>
      <c r="M4" s="3"/>
      <c r="N4" s="3"/>
      <c r="O4" s="3"/>
      <c r="P4" s="3"/>
      <c r="Q4" s="3"/>
      <c r="R4" s="3"/>
      <c r="S4" s="3"/>
      <c r="T4" s="3"/>
      <c r="U4" s="3"/>
      <c r="V4" s="3"/>
      <c r="W4" s="3"/>
      <c r="X4" s="3"/>
    </row>
    <row r="5" spans="1:34" s="4" customFormat="1" x14ac:dyDescent="0.35">
      <c r="A5" s="2"/>
      <c r="B5" s="3"/>
      <c r="C5" s="3"/>
      <c r="D5" s="3"/>
      <c r="E5" s="3"/>
      <c r="F5" s="3"/>
      <c r="G5" s="3"/>
      <c r="H5" s="3"/>
      <c r="I5" s="3"/>
      <c r="J5" s="3"/>
      <c r="K5" s="3"/>
      <c r="L5" s="3"/>
      <c r="M5" s="3"/>
      <c r="N5" s="3"/>
      <c r="O5" s="3"/>
      <c r="P5" s="3"/>
      <c r="Q5" s="3"/>
      <c r="R5" s="3"/>
      <c r="S5" s="3"/>
      <c r="T5" s="3"/>
      <c r="U5" s="3"/>
      <c r="V5" s="3"/>
      <c r="W5" s="3"/>
      <c r="X5" s="3"/>
    </row>
    <row r="6" spans="1:34" s="6" customFormat="1" ht="15.75" customHeight="1" thickBot="1" x14ac:dyDescent="0.4">
      <c r="A6" s="5"/>
      <c r="B6" s="82" t="s">
        <v>1</v>
      </c>
      <c r="C6" s="82"/>
      <c r="D6" s="82"/>
      <c r="E6" s="3"/>
      <c r="F6" s="82" t="s">
        <v>70</v>
      </c>
      <c r="G6" s="82"/>
      <c r="H6" s="82"/>
      <c r="I6" s="3"/>
      <c r="J6" s="83" t="s">
        <v>2</v>
      </c>
      <c r="K6" s="83"/>
      <c r="L6" s="83"/>
      <c r="M6" s="3"/>
      <c r="N6" s="82" t="s">
        <v>3</v>
      </c>
      <c r="O6" s="82"/>
      <c r="P6" s="82"/>
      <c r="Q6" s="3"/>
      <c r="R6" s="82" t="s">
        <v>4</v>
      </c>
      <c r="S6" s="82"/>
      <c r="T6" s="82"/>
      <c r="U6" s="3"/>
      <c r="V6" s="83" t="s">
        <v>5</v>
      </c>
      <c r="W6" s="83"/>
      <c r="X6" s="83"/>
    </row>
    <row r="7" spans="1:34" s="12" customFormat="1" ht="44" thickBot="1" x14ac:dyDescent="0.4">
      <c r="A7" s="7" t="s">
        <v>6</v>
      </c>
      <c r="B7" s="35" t="s">
        <v>7</v>
      </c>
      <c r="C7" s="35" t="s">
        <v>8</v>
      </c>
      <c r="D7" s="9" t="s">
        <v>9</v>
      </c>
      <c r="E7" s="35"/>
      <c r="F7" s="35" t="s">
        <v>7</v>
      </c>
      <c r="G7" s="35" t="s">
        <v>8</v>
      </c>
      <c r="H7" s="9" t="s">
        <v>9</v>
      </c>
      <c r="I7" s="35"/>
      <c r="J7" s="36" t="s">
        <v>7</v>
      </c>
      <c r="K7" s="36" t="s">
        <v>8</v>
      </c>
      <c r="L7" s="11" t="s">
        <v>9</v>
      </c>
      <c r="M7" s="35"/>
      <c r="N7" s="35" t="s">
        <v>7</v>
      </c>
      <c r="O7" s="35" t="s">
        <v>8</v>
      </c>
      <c r="P7" s="9" t="s">
        <v>9</v>
      </c>
      <c r="Q7" s="35"/>
      <c r="R7" s="35" t="s">
        <v>7</v>
      </c>
      <c r="S7" s="35" t="s">
        <v>8</v>
      </c>
      <c r="T7" s="9" t="s">
        <v>9</v>
      </c>
      <c r="U7" s="35"/>
      <c r="V7" s="36" t="s">
        <v>7</v>
      </c>
      <c r="W7" s="36" t="s">
        <v>8</v>
      </c>
      <c r="X7" s="11" t="s">
        <v>9</v>
      </c>
    </row>
    <row r="8" spans="1:34" s="6" customFormat="1" ht="15" customHeight="1" x14ac:dyDescent="0.35">
      <c r="A8" s="13" t="s">
        <v>10</v>
      </c>
      <c r="B8" s="14">
        <f>B9+B49</f>
        <v>953</v>
      </c>
      <c r="C8" s="14">
        <f>C9+C49</f>
        <v>153</v>
      </c>
      <c r="D8" s="15">
        <f>IF(B8+C8=0,"-",(C8/(B8+C8)))</f>
        <v>0.13833634719710669</v>
      </c>
      <c r="E8" s="14"/>
      <c r="F8" s="14">
        <f>F9+F49</f>
        <v>1387</v>
      </c>
      <c r="G8" s="14">
        <f>G9+G49</f>
        <v>121</v>
      </c>
      <c r="H8" s="15">
        <f>IF(F8+G8=0,"-",(G8/(F8+G8)))</f>
        <v>8.0238726790450923E-2</v>
      </c>
      <c r="I8" s="14"/>
      <c r="J8" s="14">
        <f>J9+J49</f>
        <v>2340</v>
      </c>
      <c r="K8" s="14">
        <f>K9+K49</f>
        <v>274</v>
      </c>
      <c r="L8" s="15">
        <f>IF(J8+K8=0,"-",(K8/(J8+K8)))</f>
        <v>0.10482019892884469</v>
      </c>
      <c r="M8" s="14"/>
      <c r="N8" s="14">
        <f>N9+N49</f>
        <v>45</v>
      </c>
      <c r="O8" s="14">
        <f>O9+O49</f>
        <v>79</v>
      </c>
      <c r="P8" s="15">
        <f>IF(N8+O8=0,"-",(O8/(N8+O8)))</f>
        <v>0.63709677419354838</v>
      </c>
      <c r="Q8" s="14"/>
      <c r="R8" s="14">
        <f>R9+R49</f>
        <v>476</v>
      </c>
      <c r="S8" s="14">
        <f>S9+S49</f>
        <v>553</v>
      </c>
      <c r="T8" s="15">
        <f>IF(R8+S8=0,"-",(S8/(R8+S8)))</f>
        <v>0.5374149659863946</v>
      </c>
      <c r="U8" s="14"/>
      <c r="V8" s="14">
        <f>V9+V49</f>
        <v>2861</v>
      </c>
      <c r="W8" s="14">
        <f>W9+W49</f>
        <v>906</v>
      </c>
      <c r="X8" s="15">
        <f>IF(V8+W8=0,"-",(W8/(V8+W8)))</f>
        <v>0.24050968940801698</v>
      </c>
      <c r="Y8" s="16"/>
      <c r="Z8" s="16"/>
      <c r="AA8" s="16"/>
      <c r="AB8" s="16"/>
      <c r="AC8" s="16"/>
      <c r="AD8" s="16"/>
      <c r="AE8" s="16"/>
      <c r="AF8" s="16"/>
      <c r="AG8" s="16"/>
      <c r="AH8" s="17"/>
    </row>
    <row r="9" spans="1:34" s="6" customFormat="1" ht="15" customHeight="1" x14ac:dyDescent="0.35">
      <c r="A9" s="18" t="s">
        <v>11</v>
      </c>
      <c r="B9" s="14">
        <f>SUM(B10:B48)</f>
        <v>579</v>
      </c>
      <c r="C9" s="14">
        <f>SUM(C10:C48)</f>
        <v>87</v>
      </c>
      <c r="D9" s="15">
        <f>IF(B9+C9=0,"-",(C9/(B9+C9)))</f>
        <v>0.13063063063063063</v>
      </c>
      <c r="E9" s="14"/>
      <c r="F9" s="14">
        <f>SUM(F10:F48)</f>
        <v>1338</v>
      </c>
      <c r="G9" s="14">
        <f>SUM(G10:G48)</f>
        <v>115</v>
      </c>
      <c r="H9" s="15">
        <f>IF(F9+G9=0,"-",(G9/(F9+G9)))</f>
        <v>7.9146593255333797E-2</v>
      </c>
      <c r="I9" s="14"/>
      <c r="J9" s="14">
        <f>SUM(J10:J48)</f>
        <v>1917</v>
      </c>
      <c r="K9" s="14">
        <f>SUM(K10:K48)</f>
        <v>202</v>
      </c>
      <c r="L9" s="15">
        <f>IF(J9+K9=0,"-",(K9/(J9+K9)))</f>
        <v>9.5327984898537041E-2</v>
      </c>
      <c r="M9" s="14"/>
      <c r="N9" s="14">
        <f>SUM(N10:N48)</f>
        <v>36</v>
      </c>
      <c r="O9" s="14">
        <f>SUM(O10:O48)</f>
        <v>55</v>
      </c>
      <c r="P9" s="15">
        <f>IF(N9+O9=0,"-",(O9/(N9+O9)))</f>
        <v>0.60439560439560436</v>
      </c>
      <c r="Q9" s="14"/>
      <c r="R9" s="14">
        <f>SUM(R10:R48)</f>
        <v>329</v>
      </c>
      <c r="S9" s="14">
        <f>SUM(S10:S48)</f>
        <v>398</v>
      </c>
      <c r="T9" s="15">
        <f>IF(R9+S9=0,"-",(S9/(R9+S9)))</f>
        <v>0.54745529573590102</v>
      </c>
      <c r="U9" s="14"/>
      <c r="V9" s="14">
        <f>SUM(V10:V48)</f>
        <v>2282</v>
      </c>
      <c r="W9" s="14">
        <f>SUM(W10:W48)</f>
        <v>655</v>
      </c>
      <c r="X9" s="15">
        <f>IF(V9+W9=0,"-",(W9/(V9+W9)))</f>
        <v>0.22301668369084099</v>
      </c>
      <c r="Y9" s="16"/>
      <c r="Z9" s="16"/>
      <c r="AA9" s="16"/>
      <c r="AB9" s="16"/>
      <c r="AC9" s="16"/>
      <c r="AD9" s="16"/>
      <c r="AE9" s="16"/>
      <c r="AF9" s="16"/>
      <c r="AG9" s="16"/>
    </row>
    <row r="10" spans="1:34" s="6" customFormat="1" ht="15" customHeight="1" x14ac:dyDescent="0.35">
      <c r="A10" s="5" t="s">
        <v>12</v>
      </c>
      <c r="B10" s="19">
        <v>23</v>
      </c>
      <c r="C10" s="19">
        <v>2</v>
      </c>
      <c r="D10" s="20">
        <f>IF(B10+C10=0,"-",(C10/(B10+C10)))</f>
        <v>0.08</v>
      </c>
      <c r="E10" s="19"/>
      <c r="F10" s="19">
        <v>26</v>
      </c>
      <c r="G10" s="19">
        <v>4</v>
      </c>
      <c r="H10" s="20">
        <f>IF(F10+G10=0,"-",(G10/(F10+G10)))</f>
        <v>0.13333333333333333</v>
      </c>
      <c r="I10" s="19"/>
      <c r="J10" s="14">
        <f>B10+F10</f>
        <v>49</v>
      </c>
      <c r="K10" s="14">
        <f>C10+G10</f>
        <v>6</v>
      </c>
      <c r="L10" s="20">
        <f>IF(J10+K10=0,"-",(K10/(J10+K10)))</f>
        <v>0.10909090909090909</v>
      </c>
      <c r="M10" s="19"/>
      <c r="N10" s="19">
        <v>2</v>
      </c>
      <c r="O10" s="19">
        <v>0</v>
      </c>
      <c r="P10" s="20">
        <f>IF(N10+O10=0,"-",(O10/(N10+O10)))</f>
        <v>0</v>
      </c>
      <c r="Q10" s="19"/>
      <c r="R10" s="19">
        <v>11</v>
      </c>
      <c r="S10" s="19">
        <v>13</v>
      </c>
      <c r="T10" s="20">
        <f>IF(R10+S10=0,"-",(S10/(R10+S10)))</f>
        <v>0.54166666666666663</v>
      </c>
      <c r="U10" s="19"/>
      <c r="V10" s="14">
        <f>J10+N10+R10</f>
        <v>62</v>
      </c>
      <c r="W10" s="14">
        <f>K10+O10+S10</f>
        <v>19</v>
      </c>
      <c r="X10" s="20">
        <f>IF(V10+W10=0,"-",(W10/(V10+W10)))</f>
        <v>0.23456790123456789</v>
      </c>
      <c r="Y10" s="16"/>
      <c r="Z10" s="16"/>
      <c r="AA10" s="16"/>
      <c r="AB10" s="16"/>
      <c r="AC10" s="16"/>
      <c r="AD10" s="16"/>
      <c r="AE10" s="16"/>
      <c r="AF10" s="16"/>
      <c r="AG10" s="16"/>
    </row>
    <row r="11" spans="1:34" s="6" customFormat="1" ht="15" customHeight="1" x14ac:dyDescent="0.35">
      <c r="A11" s="5" t="s">
        <v>13</v>
      </c>
      <c r="B11" s="19">
        <v>23</v>
      </c>
      <c r="C11" s="19">
        <v>2</v>
      </c>
      <c r="D11" s="20">
        <f t="shared" ref="D11:D56" si="0">IF(B11+C11=0,"-",(C11/(B11+C11)))</f>
        <v>0.08</v>
      </c>
      <c r="E11" s="19"/>
      <c r="F11" s="19">
        <v>29</v>
      </c>
      <c r="G11" s="19">
        <v>4</v>
      </c>
      <c r="H11" s="20">
        <f t="shared" ref="H11:H56" si="1">IF(F11+G11=0,"-",(G11/(F11+G11)))</f>
        <v>0.12121212121212122</v>
      </c>
      <c r="I11" s="19"/>
      <c r="J11" s="14">
        <f t="shared" ref="J11:J56" si="2">B11+F11</f>
        <v>52</v>
      </c>
      <c r="K11" s="14">
        <f t="shared" ref="K11:K56" si="3">C11+G11</f>
        <v>6</v>
      </c>
      <c r="L11" s="20">
        <f t="shared" ref="L11:L56" si="4">IF(J11+K11=0,"-",(K11/(J11+K11)))</f>
        <v>0.10344827586206896</v>
      </c>
      <c r="M11" s="19"/>
      <c r="N11" s="19">
        <v>0</v>
      </c>
      <c r="O11" s="19">
        <v>0</v>
      </c>
      <c r="P11" s="20" t="str">
        <f t="shared" ref="P11:P56" si="5">IF(N11+O11=0,"-",(O11/(N11+O11)))</f>
        <v>-</v>
      </c>
      <c r="Q11" s="19"/>
      <c r="R11" s="19">
        <v>7</v>
      </c>
      <c r="S11" s="19">
        <v>19</v>
      </c>
      <c r="T11" s="20">
        <f t="shared" ref="T11:T56" si="6">IF(R11+S11=0,"-",(S11/(R11+S11)))</f>
        <v>0.73076923076923073</v>
      </c>
      <c r="U11" s="19"/>
      <c r="V11" s="14">
        <f t="shared" ref="V11:V56" si="7">J11+N11+R11</f>
        <v>59</v>
      </c>
      <c r="W11" s="14">
        <f t="shared" ref="W11:W56" si="8">K11+O11+S11</f>
        <v>25</v>
      </c>
      <c r="X11" s="20">
        <f t="shared" ref="X11:X56" si="9">IF(V11+W11=0,"-",(W11/(V11+W11)))</f>
        <v>0.29761904761904762</v>
      </c>
      <c r="Y11" s="16"/>
      <c r="Z11" s="16"/>
      <c r="AA11" s="16"/>
      <c r="AB11" s="16"/>
      <c r="AC11" s="16"/>
      <c r="AD11" s="16"/>
      <c r="AE11" s="16"/>
      <c r="AF11" s="16"/>
      <c r="AG11" s="16"/>
    </row>
    <row r="12" spans="1:34" s="6" customFormat="1" ht="15" customHeight="1" x14ac:dyDescent="0.35">
      <c r="A12" s="5" t="s">
        <v>14</v>
      </c>
      <c r="B12" s="19">
        <v>18</v>
      </c>
      <c r="C12" s="19">
        <v>3</v>
      </c>
      <c r="D12" s="20">
        <f t="shared" si="0"/>
        <v>0.14285714285714285</v>
      </c>
      <c r="E12" s="19"/>
      <c r="F12" s="19">
        <v>20</v>
      </c>
      <c r="G12" s="19">
        <v>0</v>
      </c>
      <c r="H12" s="20">
        <f t="shared" si="1"/>
        <v>0</v>
      </c>
      <c r="I12" s="19"/>
      <c r="J12" s="14">
        <f t="shared" si="2"/>
        <v>38</v>
      </c>
      <c r="K12" s="14">
        <f t="shared" si="3"/>
        <v>3</v>
      </c>
      <c r="L12" s="20">
        <f t="shared" si="4"/>
        <v>7.3170731707317069E-2</v>
      </c>
      <c r="M12" s="19"/>
      <c r="N12" s="19">
        <v>2</v>
      </c>
      <c r="O12" s="19">
        <v>7</v>
      </c>
      <c r="P12" s="20">
        <f t="shared" si="5"/>
        <v>0.77777777777777779</v>
      </c>
      <c r="Q12" s="19"/>
      <c r="R12" s="19">
        <v>19</v>
      </c>
      <c r="S12" s="19">
        <v>23</v>
      </c>
      <c r="T12" s="20">
        <f t="shared" si="6"/>
        <v>0.54761904761904767</v>
      </c>
      <c r="U12" s="19"/>
      <c r="V12" s="14">
        <f t="shared" si="7"/>
        <v>59</v>
      </c>
      <c r="W12" s="14">
        <f t="shared" si="8"/>
        <v>33</v>
      </c>
      <c r="X12" s="20">
        <f t="shared" si="9"/>
        <v>0.35869565217391303</v>
      </c>
      <c r="Y12" s="16"/>
      <c r="Z12" s="16"/>
      <c r="AA12" s="16"/>
      <c r="AB12" s="16"/>
      <c r="AC12" s="16"/>
      <c r="AD12" s="16"/>
      <c r="AE12" s="16"/>
      <c r="AF12" s="16"/>
      <c r="AG12" s="16"/>
    </row>
    <row r="13" spans="1:34" s="6" customFormat="1" ht="15" customHeight="1" x14ac:dyDescent="0.35">
      <c r="A13" s="5" t="s">
        <v>15</v>
      </c>
      <c r="B13" s="19">
        <v>10</v>
      </c>
      <c r="C13" s="19">
        <v>1</v>
      </c>
      <c r="D13" s="20">
        <f t="shared" si="0"/>
        <v>9.0909090909090912E-2</v>
      </c>
      <c r="E13" s="19"/>
      <c r="F13" s="19">
        <v>18</v>
      </c>
      <c r="G13" s="19">
        <v>2</v>
      </c>
      <c r="H13" s="20">
        <f t="shared" si="1"/>
        <v>0.1</v>
      </c>
      <c r="I13" s="19"/>
      <c r="J13" s="14">
        <f t="shared" si="2"/>
        <v>28</v>
      </c>
      <c r="K13" s="14">
        <f t="shared" si="3"/>
        <v>3</v>
      </c>
      <c r="L13" s="20">
        <f t="shared" si="4"/>
        <v>9.6774193548387094E-2</v>
      </c>
      <c r="M13" s="19"/>
      <c r="N13" s="19">
        <v>0</v>
      </c>
      <c r="O13" s="19">
        <v>0</v>
      </c>
      <c r="P13" s="20" t="str">
        <f t="shared" si="5"/>
        <v>-</v>
      </c>
      <c r="Q13" s="19"/>
      <c r="R13" s="19">
        <v>4</v>
      </c>
      <c r="S13" s="19">
        <v>9</v>
      </c>
      <c r="T13" s="20">
        <f t="shared" si="6"/>
        <v>0.69230769230769229</v>
      </c>
      <c r="U13" s="19"/>
      <c r="V13" s="14">
        <f t="shared" si="7"/>
        <v>32</v>
      </c>
      <c r="W13" s="14">
        <f t="shared" si="8"/>
        <v>12</v>
      </c>
      <c r="X13" s="20">
        <f t="shared" si="9"/>
        <v>0.27272727272727271</v>
      </c>
      <c r="Y13" s="16"/>
      <c r="Z13" s="16"/>
      <c r="AA13" s="16"/>
      <c r="AB13" s="16"/>
      <c r="AC13" s="16"/>
      <c r="AD13" s="16"/>
      <c r="AE13" s="16"/>
      <c r="AF13" s="16"/>
      <c r="AG13" s="16"/>
    </row>
    <row r="14" spans="1:34" s="6" customFormat="1" ht="15" customHeight="1" x14ac:dyDescent="0.35">
      <c r="A14" s="5" t="s">
        <v>16</v>
      </c>
      <c r="B14" s="19">
        <v>7</v>
      </c>
      <c r="C14" s="19">
        <v>0</v>
      </c>
      <c r="D14" s="20">
        <f t="shared" si="0"/>
        <v>0</v>
      </c>
      <c r="E14" s="19"/>
      <c r="F14" s="19">
        <v>27</v>
      </c>
      <c r="G14" s="19">
        <v>3</v>
      </c>
      <c r="H14" s="20">
        <f t="shared" si="1"/>
        <v>0.1</v>
      </c>
      <c r="I14" s="19"/>
      <c r="J14" s="14">
        <f t="shared" si="2"/>
        <v>34</v>
      </c>
      <c r="K14" s="14">
        <f t="shared" si="3"/>
        <v>3</v>
      </c>
      <c r="L14" s="20">
        <f t="shared" si="4"/>
        <v>8.1081081081081086E-2</v>
      </c>
      <c r="M14" s="19"/>
      <c r="N14" s="19">
        <v>5</v>
      </c>
      <c r="O14" s="19">
        <v>4</v>
      </c>
      <c r="P14" s="20">
        <f t="shared" si="5"/>
        <v>0.44444444444444442</v>
      </c>
      <c r="Q14" s="19"/>
      <c r="R14" s="19">
        <v>12</v>
      </c>
      <c r="S14" s="19">
        <v>12</v>
      </c>
      <c r="T14" s="20">
        <f t="shared" si="6"/>
        <v>0.5</v>
      </c>
      <c r="U14" s="19"/>
      <c r="V14" s="14">
        <f t="shared" si="7"/>
        <v>51</v>
      </c>
      <c r="W14" s="14">
        <f t="shared" si="8"/>
        <v>19</v>
      </c>
      <c r="X14" s="20">
        <f t="shared" si="9"/>
        <v>0.27142857142857141</v>
      </c>
      <c r="Y14" s="16"/>
      <c r="Z14" s="16"/>
      <c r="AA14" s="16"/>
      <c r="AB14" s="16"/>
      <c r="AC14" s="16"/>
      <c r="AD14" s="16"/>
      <c r="AE14" s="16"/>
      <c r="AF14" s="16"/>
      <c r="AG14" s="16"/>
    </row>
    <row r="15" spans="1:34" s="6" customFormat="1" ht="15" customHeight="1" x14ac:dyDescent="0.35">
      <c r="A15" s="5" t="s">
        <v>17</v>
      </c>
      <c r="B15" s="19">
        <v>18</v>
      </c>
      <c r="C15" s="19">
        <v>1</v>
      </c>
      <c r="D15" s="20">
        <f t="shared" si="0"/>
        <v>5.2631578947368418E-2</v>
      </c>
      <c r="E15" s="19"/>
      <c r="F15" s="19">
        <v>19</v>
      </c>
      <c r="G15" s="19">
        <v>2</v>
      </c>
      <c r="H15" s="20">
        <f t="shared" si="1"/>
        <v>9.5238095238095233E-2</v>
      </c>
      <c r="I15" s="19"/>
      <c r="J15" s="14">
        <f t="shared" si="2"/>
        <v>37</v>
      </c>
      <c r="K15" s="14">
        <f t="shared" si="3"/>
        <v>3</v>
      </c>
      <c r="L15" s="20">
        <f t="shared" si="4"/>
        <v>7.4999999999999997E-2</v>
      </c>
      <c r="M15" s="19"/>
      <c r="N15" s="19">
        <v>0</v>
      </c>
      <c r="O15" s="19">
        <v>0</v>
      </c>
      <c r="P15" s="20" t="str">
        <f t="shared" si="5"/>
        <v>-</v>
      </c>
      <c r="Q15" s="19"/>
      <c r="R15" s="19">
        <v>19</v>
      </c>
      <c r="S15" s="19">
        <v>19</v>
      </c>
      <c r="T15" s="20">
        <f t="shared" si="6"/>
        <v>0.5</v>
      </c>
      <c r="U15" s="19"/>
      <c r="V15" s="14">
        <f t="shared" si="7"/>
        <v>56</v>
      </c>
      <c r="W15" s="14">
        <f t="shared" si="8"/>
        <v>22</v>
      </c>
      <c r="X15" s="20">
        <f t="shared" si="9"/>
        <v>0.28205128205128205</v>
      </c>
      <c r="Y15" s="16"/>
      <c r="Z15" s="16"/>
      <c r="AA15" s="16"/>
      <c r="AB15" s="16"/>
      <c r="AC15" s="16"/>
      <c r="AD15" s="16"/>
      <c r="AE15" s="16"/>
      <c r="AF15" s="16"/>
      <c r="AG15" s="16"/>
    </row>
    <row r="16" spans="1:34" s="6" customFormat="1" ht="15" customHeight="1" x14ac:dyDescent="0.35">
      <c r="A16" s="5" t="s">
        <v>18</v>
      </c>
      <c r="B16" s="19">
        <v>21</v>
      </c>
      <c r="C16" s="19">
        <v>1</v>
      </c>
      <c r="D16" s="20">
        <f t="shared" si="0"/>
        <v>4.5454545454545456E-2</v>
      </c>
      <c r="E16" s="19"/>
      <c r="F16" s="19">
        <v>10</v>
      </c>
      <c r="G16" s="19">
        <v>1</v>
      </c>
      <c r="H16" s="20">
        <f t="shared" si="1"/>
        <v>9.0909090909090912E-2</v>
      </c>
      <c r="I16" s="19"/>
      <c r="J16" s="14">
        <f t="shared" si="2"/>
        <v>31</v>
      </c>
      <c r="K16" s="14">
        <f t="shared" si="3"/>
        <v>2</v>
      </c>
      <c r="L16" s="20">
        <f t="shared" si="4"/>
        <v>6.0606060606060608E-2</v>
      </c>
      <c r="M16" s="19"/>
      <c r="N16" s="19">
        <v>0</v>
      </c>
      <c r="O16" s="19">
        <v>1</v>
      </c>
      <c r="P16" s="20">
        <f t="shared" si="5"/>
        <v>1</v>
      </c>
      <c r="Q16" s="19"/>
      <c r="R16" s="19">
        <v>8</v>
      </c>
      <c r="S16" s="19">
        <v>5</v>
      </c>
      <c r="T16" s="20">
        <f t="shared" si="6"/>
        <v>0.38461538461538464</v>
      </c>
      <c r="U16" s="19"/>
      <c r="V16" s="14">
        <f t="shared" si="7"/>
        <v>39</v>
      </c>
      <c r="W16" s="14">
        <f t="shared" si="8"/>
        <v>8</v>
      </c>
      <c r="X16" s="20">
        <f t="shared" si="9"/>
        <v>0.1702127659574468</v>
      </c>
      <c r="Y16" s="16"/>
      <c r="Z16" s="16"/>
      <c r="AA16" s="16"/>
      <c r="AB16" s="16"/>
      <c r="AC16" s="16"/>
      <c r="AD16" s="16"/>
      <c r="AE16" s="16"/>
      <c r="AF16" s="16"/>
      <c r="AG16" s="16"/>
    </row>
    <row r="17" spans="1:33" s="6" customFormat="1" ht="15" customHeight="1" x14ac:dyDescent="0.35">
      <c r="A17" s="5" t="s">
        <v>19</v>
      </c>
      <c r="B17" s="19">
        <v>3</v>
      </c>
      <c r="C17" s="19">
        <v>2</v>
      </c>
      <c r="D17" s="20">
        <f t="shared" si="0"/>
        <v>0.4</v>
      </c>
      <c r="E17" s="19"/>
      <c r="F17" s="19">
        <v>23</v>
      </c>
      <c r="G17" s="19">
        <v>0</v>
      </c>
      <c r="H17" s="20">
        <f t="shared" si="1"/>
        <v>0</v>
      </c>
      <c r="I17" s="19"/>
      <c r="J17" s="14">
        <f t="shared" si="2"/>
        <v>26</v>
      </c>
      <c r="K17" s="14">
        <f t="shared" si="3"/>
        <v>2</v>
      </c>
      <c r="L17" s="20">
        <f t="shared" si="4"/>
        <v>7.1428571428571425E-2</v>
      </c>
      <c r="M17" s="19"/>
      <c r="N17" s="19">
        <v>2</v>
      </c>
      <c r="O17" s="19">
        <v>1</v>
      </c>
      <c r="P17" s="20">
        <f t="shared" si="5"/>
        <v>0.33333333333333331</v>
      </c>
      <c r="Q17" s="19"/>
      <c r="R17" s="19">
        <v>3</v>
      </c>
      <c r="S17" s="19">
        <v>4</v>
      </c>
      <c r="T17" s="20">
        <f t="shared" si="6"/>
        <v>0.5714285714285714</v>
      </c>
      <c r="U17" s="19"/>
      <c r="V17" s="14">
        <f t="shared" si="7"/>
        <v>31</v>
      </c>
      <c r="W17" s="14">
        <f t="shared" si="8"/>
        <v>7</v>
      </c>
      <c r="X17" s="20">
        <f t="shared" si="9"/>
        <v>0.18421052631578946</v>
      </c>
      <c r="Y17" s="16"/>
      <c r="Z17" s="16"/>
      <c r="AA17" s="16"/>
      <c r="AB17" s="16"/>
      <c r="AC17" s="16"/>
      <c r="AD17" s="16"/>
      <c r="AE17" s="16"/>
      <c r="AF17" s="16"/>
      <c r="AG17" s="16"/>
    </row>
    <row r="18" spans="1:33" s="6" customFormat="1" ht="15" customHeight="1" x14ac:dyDescent="0.35">
      <c r="A18" s="5" t="s">
        <v>20</v>
      </c>
      <c r="B18" s="19">
        <v>1</v>
      </c>
      <c r="C18" s="19">
        <v>0</v>
      </c>
      <c r="D18" s="20">
        <f t="shared" si="0"/>
        <v>0</v>
      </c>
      <c r="E18" s="19"/>
      <c r="F18" s="19">
        <v>31</v>
      </c>
      <c r="G18" s="19">
        <v>3</v>
      </c>
      <c r="H18" s="20">
        <f t="shared" si="1"/>
        <v>8.8235294117647065E-2</v>
      </c>
      <c r="I18" s="19"/>
      <c r="J18" s="14">
        <f t="shared" si="2"/>
        <v>32</v>
      </c>
      <c r="K18" s="14">
        <f t="shared" si="3"/>
        <v>3</v>
      </c>
      <c r="L18" s="20">
        <f t="shared" si="4"/>
        <v>8.5714285714285715E-2</v>
      </c>
      <c r="M18" s="19"/>
      <c r="N18" s="19">
        <v>0</v>
      </c>
      <c r="O18" s="19">
        <v>0</v>
      </c>
      <c r="P18" s="20" t="str">
        <f t="shared" si="5"/>
        <v>-</v>
      </c>
      <c r="Q18" s="19"/>
      <c r="R18" s="19">
        <v>0</v>
      </c>
      <c r="S18" s="19">
        <v>1</v>
      </c>
      <c r="T18" s="20">
        <f t="shared" si="6"/>
        <v>1</v>
      </c>
      <c r="U18" s="19"/>
      <c r="V18" s="14">
        <f t="shared" si="7"/>
        <v>32</v>
      </c>
      <c r="W18" s="14">
        <f t="shared" si="8"/>
        <v>4</v>
      </c>
      <c r="X18" s="20">
        <f t="shared" si="9"/>
        <v>0.1111111111111111</v>
      </c>
      <c r="Y18" s="16"/>
      <c r="Z18" s="16"/>
      <c r="AA18" s="16"/>
      <c r="AB18" s="16"/>
      <c r="AC18" s="16"/>
      <c r="AD18" s="16"/>
      <c r="AE18" s="16"/>
      <c r="AF18" s="16"/>
      <c r="AG18" s="16"/>
    </row>
    <row r="19" spans="1:33" s="6" customFormat="1" ht="15" customHeight="1" x14ac:dyDescent="0.35">
      <c r="A19" s="21" t="s">
        <v>21</v>
      </c>
      <c r="B19" s="19">
        <v>3</v>
      </c>
      <c r="C19" s="19">
        <v>0</v>
      </c>
      <c r="D19" s="20">
        <f t="shared" si="0"/>
        <v>0</v>
      </c>
      <c r="E19" s="19"/>
      <c r="F19" s="19">
        <v>26</v>
      </c>
      <c r="G19" s="19">
        <v>2</v>
      </c>
      <c r="H19" s="20">
        <f t="shared" si="1"/>
        <v>7.1428571428571425E-2</v>
      </c>
      <c r="I19" s="19"/>
      <c r="J19" s="14">
        <f t="shared" si="2"/>
        <v>29</v>
      </c>
      <c r="K19" s="14">
        <f t="shared" si="3"/>
        <v>2</v>
      </c>
      <c r="L19" s="20">
        <f t="shared" si="4"/>
        <v>6.4516129032258063E-2</v>
      </c>
      <c r="M19" s="19"/>
      <c r="N19" s="19">
        <v>0</v>
      </c>
      <c r="O19" s="19">
        <v>4</v>
      </c>
      <c r="P19" s="20">
        <f t="shared" si="5"/>
        <v>1</v>
      </c>
      <c r="Q19" s="19"/>
      <c r="R19" s="19">
        <v>4</v>
      </c>
      <c r="S19" s="19">
        <v>10</v>
      </c>
      <c r="T19" s="20">
        <f t="shared" si="6"/>
        <v>0.7142857142857143</v>
      </c>
      <c r="U19" s="19"/>
      <c r="V19" s="14">
        <f t="shared" si="7"/>
        <v>33</v>
      </c>
      <c r="W19" s="14">
        <f t="shared" si="8"/>
        <v>16</v>
      </c>
      <c r="X19" s="20">
        <f t="shared" si="9"/>
        <v>0.32653061224489793</v>
      </c>
      <c r="Y19" s="16"/>
      <c r="Z19" s="16"/>
      <c r="AA19" s="16"/>
      <c r="AB19" s="16"/>
      <c r="AC19" s="16"/>
      <c r="AD19" s="16"/>
      <c r="AE19" s="16"/>
      <c r="AF19" s="16"/>
      <c r="AG19" s="16"/>
    </row>
    <row r="20" spans="1:33" s="6" customFormat="1" ht="15" customHeight="1" x14ac:dyDescent="0.35">
      <c r="A20" s="21" t="s">
        <v>22</v>
      </c>
      <c r="B20" s="19">
        <v>27</v>
      </c>
      <c r="C20" s="19">
        <v>8</v>
      </c>
      <c r="D20" s="20">
        <f t="shared" si="0"/>
        <v>0.22857142857142856</v>
      </c>
      <c r="E20" s="19"/>
      <c r="F20" s="19">
        <v>97</v>
      </c>
      <c r="G20" s="19">
        <v>11</v>
      </c>
      <c r="H20" s="20">
        <f t="shared" si="1"/>
        <v>0.10185185185185185</v>
      </c>
      <c r="I20" s="19"/>
      <c r="J20" s="14">
        <f t="shared" si="2"/>
        <v>124</v>
      </c>
      <c r="K20" s="14">
        <f t="shared" si="3"/>
        <v>19</v>
      </c>
      <c r="L20" s="20">
        <f t="shared" si="4"/>
        <v>0.13286713286713286</v>
      </c>
      <c r="M20" s="19"/>
      <c r="N20" s="19">
        <v>1</v>
      </c>
      <c r="O20" s="19">
        <v>1</v>
      </c>
      <c r="P20" s="20">
        <f t="shared" si="5"/>
        <v>0.5</v>
      </c>
      <c r="Q20" s="19"/>
      <c r="R20" s="19">
        <v>19</v>
      </c>
      <c r="S20" s="19">
        <v>7</v>
      </c>
      <c r="T20" s="20">
        <f t="shared" si="6"/>
        <v>0.26923076923076922</v>
      </c>
      <c r="U20" s="19"/>
      <c r="V20" s="14">
        <f t="shared" si="7"/>
        <v>144</v>
      </c>
      <c r="W20" s="14">
        <f t="shared" si="8"/>
        <v>27</v>
      </c>
      <c r="X20" s="20">
        <f t="shared" si="9"/>
        <v>0.15789473684210525</v>
      </c>
      <c r="Y20" s="16"/>
      <c r="Z20" s="16"/>
      <c r="AA20" s="16"/>
      <c r="AB20" s="16"/>
      <c r="AC20" s="16"/>
      <c r="AD20" s="16"/>
      <c r="AE20" s="16"/>
      <c r="AF20" s="16"/>
      <c r="AG20" s="16"/>
    </row>
    <row r="21" spans="1:33" s="6" customFormat="1" ht="15" customHeight="1" x14ac:dyDescent="0.35">
      <c r="A21" s="5" t="s">
        <v>23</v>
      </c>
      <c r="B21" s="19">
        <v>20</v>
      </c>
      <c r="C21" s="19">
        <v>1</v>
      </c>
      <c r="D21" s="20">
        <f t="shared" si="0"/>
        <v>4.7619047619047616E-2</v>
      </c>
      <c r="E21" s="19"/>
      <c r="F21" s="19">
        <v>72</v>
      </c>
      <c r="G21" s="19">
        <v>6</v>
      </c>
      <c r="H21" s="20">
        <f t="shared" si="1"/>
        <v>7.6923076923076927E-2</v>
      </c>
      <c r="I21" s="19"/>
      <c r="J21" s="14">
        <f t="shared" si="2"/>
        <v>92</v>
      </c>
      <c r="K21" s="14">
        <f t="shared" si="3"/>
        <v>7</v>
      </c>
      <c r="L21" s="20">
        <f t="shared" si="4"/>
        <v>7.0707070707070704E-2</v>
      </c>
      <c r="M21" s="19"/>
      <c r="N21" s="19">
        <v>4</v>
      </c>
      <c r="O21" s="19">
        <v>0</v>
      </c>
      <c r="P21" s="20">
        <f t="shared" si="5"/>
        <v>0</v>
      </c>
      <c r="Q21" s="19"/>
      <c r="R21" s="19">
        <v>10</v>
      </c>
      <c r="S21" s="19">
        <v>15</v>
      </c>
      <c r="T21" s="20">
        <f t="shared" si="6"/>
        <v>0.6</v>
      </c>
      <c r="U21" s="19"/>
      <c r="V21" s="14">
        <f t="shared" si="7"/>
        <v>106</v>
      </c>
      <c r="W21" s="14">
        <f t="shared" si="8"/>
        <v>22</v>
      </c>
      <c r="X21" s="20">
        <f t="shared" si="9"/>
        <v>0.171875</v>
      </c>
      <c r="Y21" s="16"/>
      <c r="Z21" s="16"/>
      <c r="AA21" s="16"/>
      <c r="AB21" s="16"/>
      <c r="AC21" s="16"/>
      <c r="AD21" s="16"/>
      <c r="AE21" s="16"/>
      <c r="AF21" s="16"/>
      <c r="AG21" s="16"/>
    </row>
    <row r="22" spans="1:33" s="6" customFormat="1" ht="15" customHeight="1" x14ac:dyDescent="0.35">
      <c r="A22" s="5" t="s">
        <v>24</v>
      </c>
      <c r="B22" s="19">
        <v>15</v>
      </c>
      <c r="C22" s="19">
        <v>7</v>
      </c>
      <c r="D22" s="20">
        <f t="shared" si="0"/>
        <v>0.31818181818181818</v>
      </c>
      <c r="E22" s="19"/>
      <c r="F22" s="19">
        <v>25</v>
      </c>
      <c r="G22" s="19">
        <v>2</v>
      </c>
      <c r="H22" s="20">
        <f t="shared" si="1"/>
        <v>7.407407407407407E-2</v>
      </c>
      <c r="I22" s="19"/>
      <c r="J22" s="14">
        <f t="shared" si="2"/>
        <v>40</v>
      </c>
      <c r="K22" s="14">
        <f t="shared" si="3"/>
        <v>9</v>
      </c>
      <c r="L22" s="20">
        <f t="shared" si="4"/>
        <v>0.18367346938775511</v>
      </c>
      <c r="M22" s="19"/>
      <c r="N22" s="19">
        <v>0</v>
      </c>
      <c r="O22" s="19">
        <v>0</v>
      </c>
      <c r="P22" s="20" t="str">
        <f t="shared" si="5"/>
        <v>-</v>
      </c>
      <c r="Q22" s="19"/>
      <c r="R22" s="19">
        <v>10</v>
      </c>
      <c r="S22" s="19">
        <v>8</v>
      </c>
      <c r="T22" s="20">
        <f t="shared" si="6"/>
        <v>0.44444444444444442</v>
      </c>
      <c r="U22" s="19"/>
      <c r="V22" s="14">
        <f t="shared" si="7"/>
        <v>50</v>
      </c>
      <c r="W22" s="14">
        <f t="shared" si="8"/>
        <v>17</v>
      </c>
      <c r="X22" s="20">
        <f t="shared" si="9"/>
        <v>0.2537313432835821</v>
      </c>
      <c r="Y22" s="16"/>
      <c r="Z22" s="16"/>
      <c r="AA22" s="16"/>
      <c r="AB22" s="16"/>
      <c r="AC22" s="16"/>
      <c r="AD22" s="16"/>
      <c r="AE22" s="16"/>
      <c r="AF22" s="16"/>
      <c r="AG22" s="16"/>
    </row>
    <row r="23" spans="1:33" s="6" customFormat="1" ht="15" customHeight="1" x14ac:dyDescent="0.35">
      <c r="A23" s="5" t="s">
        <v>25</v>
      </c>
      <c r="B23" s="19">
        <v>6</v>
      </c>
      <c r="C23" s="19">
        <v>2</v>
      </c>
      <c r="D23" s="20">
        <f t="shared" si="0"/>
        <v>0.25</v>
      </c>
      <c r="E23" s="19"/>
      <c r="F23" s="19">
        <v>21</v>
      </c>
      <c r="G23" s="19">
        <v>1</v>
      </c>
      <c r="H23" s="20">
        <f t="shared" si="1"/>
        <v>4.5454545454545456E-2</v>
      </c>
      <c r="I23" s="19"/>
      <c r="J23" s="14">
        <f t="shared" si="2"/>
        <v>27</v>
      </c>
      <c r="K23" s="14">
        <f t="shared" si="3"/>
        <v>3</v>
      </c>
      <c r="L23" s="20">
        <f t="shared" si="4"/>
        <v>0.1</v>
      </c>
      <c r="M23" s="19"/>
      <c r="N23" s="19">
        <v>3</v>
      </c>
      <c r="O23" s="19">
        <v>1</v>
      </c>
      <c r="P23" s="20">
        <f t="shared" si="5"/>
        <v>0.25</v>
      </c>
      <c r="Q23" s="19"/>
      <c r="R23" s="19">
        <v>4</v>
      </c>
      <c r="S23" s="19">
        <v>19</v>
      </c>
      <c r="T23" s="20">
        <f t="shared" si="6"/>
        <v>0.82608695652173914</v>
      </c>
      <c r="U23" s="19"/>
      <c r="V23" s="14">
        <f t="shared" si="7"/>
        <v>34</v>
      </c>
      <c r="W23" s="14">
        <f t="shared" si="8"/>
        <v>23</v>
      </c>
      <c r="X23" s="20">
        <f t="shared" si="9"/>
        <v>0.40350877192982454</v>
      </c>
      <c r="Y23" s="16"/>
      <c r="Z23" s="16"/>
      <c r="AA23" s="16"/>
      <c r="AB23" s="16"/>
      <c r="AC23" s="16"/>
      <c r="AD23" s="16"/>
      <c r="AE23" s="16"/>
      <c r="AF23" s="16"/>
      <c r="AG23" s="16"/>
    </row>
    <row r="24" spans="1:33" s="6" customFormat="1" ht="15" customHeight="1" x14ac:dyDescent="0.35">
      <c r="A24" s="5" t="s">
        <v>26</v>
      </c>
      <c r="B24" s="19">
        <v>22</v>
      </c>
      <c r="C24" s="19">
        <v>0</v>
      </c>
      <c r="D24" s="20">
        <f t="shared" si="0"/>
        <v>0</v>
      </c>
      <c r="E24" s="19"/>
      <c r="F24" s="19">
        <v>88</v>
      </c>
      <c r="G24" s="19">
        <v>0</v>
      </c>
      <c r="H24" s="20">
        <f t="shared" si="1"/>
        <v>0</v>
      </c>
      <c r="I24" s="19"/>
      <c r="J24" s="14">
        <f t="shared" si="2"/>
        <v>110</v>
      </c>
      <c r="K24" s="14">
        <f t="shared" si="3"/>
        <v>0</v>
      </c>
      <c r="L24" s="20">
        <f t="shared" si="4"/>
        <v>0</v>
      </c>
      <c r="M24" s="19"/>
      <c r="N24" s="19">
        <v>1</v>
      </c>
      <c r="O24" s="19">
        <v>2</v>
      </c>
      <c r="P24" s="20">
        <f t="shared" si="5"/>
        <v>0.66666666666666663</v>
      </c>
      <c r="Q24" s="19"/>
      <c r="R24" s="19">
        <v>22</v>
      </c>
      <c r="S24" s="19">
        <v>39</v>
      </c>
      <c r="T24" s="20">
        <f t="shared" si="6"/>
        <v>0.63934426229508201</v>
      </c>
      <c r="U24" s="19"/>
      <c r="V24" s="14">
        <f t="shared" si="7"/>
        <v>133</v>
      </c>
      <c r="W24" s="14">
        <f t="shared" si="8"/>
        <v>41</v>
      </c>
      <c r="X24" s="20">
        <f t="shared" si="9"/>
        <v>0.23563218390804597</v>
      </c>
      <c r="Y24" s="16"/>
      <c r="Z24" s="16"/>
      <c r="AA24" s="16"/>
      <c r="AB24" s="16"/>
      <c r="AC24" s="16"/>
      <c r="AD24" s="16"/>
      <c r="AE24" s="16"/>
      <c r="AF24" s="16"/>
      <c r="AG24" s="16"/>
    </row>
    <row r="25" spans="1:33" s="6" customFormat="1" ht="15" customHeight="1" x14ac:dyDescent="0.35">
      <c r="A25" s="5" t="s">
        <v>27</v>
      </c>
      <c r="B25" s="19">
        <v>16</v>
      </c>
      <c r="C25" s="19">
        <v>19</v>
      </c>
      <c r="D25" s="20">
        <f t="shared" si="0"/>
        <v>0.54285714285714282</v>
      </c>
      <c r="E25" s="19"/>
      <c r="F25" s="19">
        <v>32</v>
      </c>
      <c r="G25" s="19">
        <v>6</v>
      </c>
      <c r="H25" s="20">
        <f t="shared" si="1"/>
        <v>0.15789473684210525</v>
      </c>
      <c r="I25" s="19"/>
      <c r="J25" s="14">
        <f t="shared" si="2"/>
        <v>48</v>
      </c>
      <c r="K25" s="14">
        <f t="shared" si="3"/>
        <v>25</v>
      </c>
      <c r="L25" s="20">
        <f t="shared" si="4"/>
        <v>0.34246575342465752</v>
      </c>
      <c r="M25" s="19"/>
      <c r="N25" s="19">
        <v>2</v>
      </c>
      <c r="O25" s="19">
        <v>4</v>
      </c>
      <c r="P25" s="20">
        <f t="shared" si="5"/>
        <v>0.66666666666666663</v>
      </c>
      <c r="Q25" s="19"/>
      <c r="R25" s="19">
        <v>6</v>
      </c>
      <c r="S25" s="19">
        <v>3</v>
      </c>
      <c r="T25" s="20">
        <f t="shared" si="6"/>
        <v>0.33333333333333331</v>
      </c>
      <c r="U25" s="19"/>
      <c r="V25" s="14">
        <f t="shared" si="7"/>
        <v>56</v>
      </c>
      <c r="W25" s="14">
        <f t="shared" si="8"/>
        <v>32</v>
      </c>
      <c r="X25" s="20">
        <f t="shared" si="9"/>
        <v>0.36363636363636365</v>
      </c>
      <c r="Y25" s="16"/>
      <c r="Z25" s="16"/>
      <c r="AA25" s="16"/>
      <c r="AB25" s="16"/>
      <c r="AC25" s="16"/>
      <c r="AD25" s="16"/>
      <c r="AE25" s="16"/>
      <c r="AF25" s="16"/>
      <c r="AG25" s="16"/>
    </row>
    <row r="26" spans="1:33" s="6" customFormat="1" ht="15" customHeight="1" x14ac:dyDescent="0.35">
      <c r="A26" s="5" t="s">
        <v>28</v>
      </c>
      <c r="B26" s="19">
        <v>53</v>
      </c>
      <c r="C26" s="19">
        <v>3</v>
      </c>
      <c r="D26" s="20">
        <f t="shared" si="0"/>
        <v>5.3571428571428568E-2</v>
      </c>
      <c r="E26" s="19"/>
      <c r="F26" s="19">
        <v>90</v>
      </c>
      <c r="G26" s="19">
        <v>9</v>
      </c>
      <c r="H26" s="20">
        <f t="shared" si="1"/>
        <v>9.0909090909090912E-2</v>
      </c>
      <c r="I26" s="19"/>
      <c r="J26" s="14">
        <f t="shared" si="2"/>
        <v>143</v>
      </c>
      <c r="K26" s="14">
        <f t="shared" si="3"/>
        <v>12</v>
      </c>
      <c r="L26" s="20">
        <f t="shared" si="4"/>
        <v>7.7419354838709681E-2</v>
      </c>
      <c r="M26" s="19"/>
      <c r="N26" s="19">
        <v>0</v>
      </c>
      <c r="O26" s="19">
        <v>2</v>
      </c>
      <c r="P26" s="20">
        <f t="shared" si="5"/>
        <v>1</v>
      </c>
      <c r="Q26" s="19"/>
      <c r="R26" s="19">
        <v>22</v>
      </c>
      <c r="S26" s="19">
        <v>30</v>
      </c>
      <c r="T26" s="20">
        <f t="shared" si="6"/>
        <v>0.57692307692307687</v>
      </c>
      <c r="U26" s="19"/>
      <c r="V26" s="14">
        <f t="shared" si="7"/>
        <v>165</v>
      </c>
      <c r="W26" s="14">
        <f t="shared" si="8"/>
        <v>44</v>
      </c>
      <c r="X26" s="20">
        <f t="shared" si="9"/>
        <v>0.21052631578947367</v>
      </c>
      <c r="Y26" s="16"/>
      <c r="Z26" s="16"/>
      <c r="AA26" s="16"/>
      <c r="AB26" s="16"/>
      <c r="AC26" s="16"/>
      <c r="AD26" s="16"/>
      <c r="AE26" s="16"/>
      <c r="AF26" s="16"/>
      <c r="AG26" s="16"/>
    </row>
    <row r="27" spans="1:33" s="6" customFormat="1" ht="15" customHeight="1" x14ac:dyDescent="0.35">
      <c r="A27" s="5" t="s">
        <v>29</v>
      </c>
      <c r="B27" s="19">
        <v>18</v>
      </c>
      <c r="C27" s="19">
        <v>3</v>
      </c>
      <c r="D27" s="20">
        <f t="shared" si="0"/>
        <v>0.14285714285714285</v>
      </c>
      <c r="E27" s="19"/>
      <c r="F27" s="19">
        <v>34</v>
      </c>
      <c r="G27" s="19">
        <v>3</v>
      </c>
      <c r="H27" s="20">
        <f t="shared" si="1"/>
        <v>8.1081081081081086E-2</v>
      </c>
      <c r="I27" s="19"/>
      <c r="J27" s="14">
        <f t="shared" si="2"/>
        <v>52</v>
      </c>
      <c r="K27" s="14">
        <f t="shared" si="3"/>
        <v>6</v>
      </c>
      <c r="L27" s="20">
        <f t="shared" si="4"/>
        <v>0.10344827586206896</v>
      </c>
      <c r="M27" s="19"/>
      <c r="N27" s="19">
        <v>1</v>
      </c>
      <c r="O27" s="19">
        <v>1</v>
      </c>
      <c r="P27" s="20">
        <f t="shared" si="5"/>
        <v>0.5</v>
      </c>
      <c r="Q27" s="19"/>
      <c r="R27" s="19">
        <v>12</v>
      </c>
      <c r="S27" s="19">
        <v>2</v>
      </c>
      <c r="T27" s="20">
        <f t="shared" si="6"/>
        <v>0.14285714285714285</v>
      </c>
      <c r="U27" s="19"/>
      <c r="V27" s="14">
        <f t="shared" si="7"/>
        <v>65</v>
      </c>
      <c r="W27" s="14">
        <f t="shared" si="8"/>
        <v>9</v>
      </c>
      <c r="X27" s="20">
        <f t="shared" si="9"/>
        <v>0.12162162162162163</v>
      </c>
      <c r="Y27" s="16"/>
      <c r="Z27" s="16"/>
      <c r="AA27" s="16"/>
      <c r="AB27" s="16"/>
      <c r="AC27" s="16"/>
      <c r="AD27" s="16"/>
      <c r="AE27" s="16"/>
      <c r="AF27" s="16"/>
      <c r="AG27" s="16"/>
    </row>
    <row r="28" spans="1:33" s="6" customFormat="1" ht="15" customHeight="1" x14ac:dyDescent="0.35">
      <c r="A28" s="5" t="s">
        <v>30</v>
      </c>
      <c r="B28" s="19">
        <v>36</v>
      </c>
      <c r="C28" s="19">
        <v>1</v>
      </c>
      <c r="D28" s="20">
        <f t="shared" si="0"/>
        <v>2.7027027027027029E-2</v>
      </c>
      <c r="E28" s="19"/>
      <c r="F28" s="19">
        <v>31</v>
      </c>
      <c r="G28" s="19">
        <v>4</v>
      </c>
      <c r="H28" s="20">
        <f t="shared" si="1"/>
        <v>0.11428571428571428</v>
      </c>
      <c r="I28" s="19"/>
      <c r="J28" s="14">
        <f t="shared" si="2"/>
        <v>67</v>
      </c>
      <c r="K28" s="14">
        <f t="shared" si="3"/>
        <v>5</v>
      </c>
      <c r="L28" s="20">
        <f t="shared" si="4"/>
        <v>6.9444444444444448E-2</v>
      </c>
      <c r="M28" s="19"/>
      <c r="N28" s="19">
        <v>0</v>
      </c>
      <c r="O28" s="19">
        <v>0</v>
      </c>
      <c r="P28" s="20" t="str">
        <f t="shared" si="5"/>
        <v>-</v>
      </c>
      <c r="Q28" s="19"/>
      <c r="R28" s="19">
        <v>9</v>
      </c>
      <c r="S28" s="19">
        <v>11</v>
      </c>
      <c r="T28" s="20">
        <f t="shared" si="6"/>
        <v>0.55000000000000004</v>
      </c>
      <c r="U28" s="19"/>
      <c r="V28" s="14">
        <f t="shared" si="7"/>
        <v>76</v>
      </c>
      <c r="W28" s="14">
        <f t="shared" si="8"/>
        <v>16</v>
      </c>
      <c r="X28" s="20">
        <f t="shared" si="9"/>
        <v>0.17391304347826086</v>
      </c>
      <c r="Y28" s="16"/>
      <c r="Z28" s="16"/>
      <c r="AA28" s="16"/>
      <c r="AB28" s="16"/>
      <c r="AC28" s="16"/>
      <c r="AD28" s="16"/>
      <c r="AE28" s="16"/>
      <c r="AF28" s="16"/>
      <c r="AG28" s="16"/>
    </row>
    <row r="29" spans="1:33" s="6" customFormat="1" ht="15" customHeight="1" x14ac:dyDescent="0.35">
      <c r="A29" s="5" t="s">
        <v>31</v>
      </c>
      <c r="B29" s="19">
        <v>22</v>
      </c>
      <c r="C29" s="19">
        <v>0</v>
      </c>
      <c r="D29" s="20">
        <f t="shared" si="0"/>
        <v>0</v>
      </c>
      <c r="E29" s="19"/>
      <c r="F29" s="19">
        <v>43</v>
      </c>
      <c r="G29" s="19">
        <v>3</v>
      </c>
      <c r="H29" s="20">
        <f t="shared" si="1"/>
        <v>6.5217391304347824E-2</v>
      </c>
      <c r="I29" s="19"/>
      <c r="J29" s="14">
        <f t="shared" si="2"/>
        <v>65</v>
      </c>
      <c r="K29" s="14">
        <f t="shared" si="3"/>
        <v>3</v>
      </c>
      <c r="L29" s="20">
        <f t="shared" si="4"/>
        <v>4.4117647058823532E-2</v>
      </c>
      <c r="M29" s="19"/>
      <c r="N29" s="19">
        <v>0</v>
      </c>
      <c r="O29" s="19">
        <v>2</v>
      </c>
      <c r="P29" s="20">
        <f t="shared" si="5"/>
        <v>1</v>
      </c>
      <c r="Q29" s="19"/>
      <c r="R29" s="19">
        <v>13</v>
      </c>
      <c r="S29" s="19">
        <v>21</v>
      </c>
      <c r="T29" s="20">
        <f t="shared" si="6"/>
        <v>0.61764705882352944</v>
      </c>
      <c r="U29" s="19"/>
      <c r="V29" s="14">
        <f t="shared" si="7"/>
        <v>78</v>
      </c>
      <c r="W29" s="14">
        <f t="shared" si="8"/>
        <v>26</v>
      </c>
      <c r="X29" s="20">
        <f t="shared" si="9"/>
        <v>0.25</v>
      </c>
      <c r="Y29" s="16"/>
      <c r="Z29" s="16"/>
      <c r="AA29" s="16"/>
      <c r="AB29" s="16"/>
      <c r="AC29" s="16"/>
      <c r="AD29" s="16"/>
      <c r="AE29" s="16"/>
      <c r="AF29" s="16"/>
      <c r="AG29" s="16"/>
    </row>
    <row r="30" spans="1:33" s="6" customFormat="1" ht="15" customHeight="1" x14ac:dyDescent="0.35">
      <c r="A30" s="5" t="s">
        <v>32</v>
      </c>
      <c r="B30" s="19">
        <v>0</v>
      </c>
      <c r="C30" s="19">
        <v>0</v>
      </c>
      <c r="D30" s="20" t="str">
        <f t="shared" si="0"/>
        <v>-</v>
      </c>
      <c r="E30" s="19"/>
      <c r="F30" s="19">
        <v>0</v>
      </c>
      <c r="G30" s="19">
        <v>0</v>
      </c>
      <c r="H30" s="20" t="str">
        <f t="shared" si="1"/>
        <v>-</v>
      </c>
      <c r="I30" s="19"/>
      <c r="J30" s="14">
        <f t="shared" si="2"/>
        <v>0</v>
      </c>
      <c r="K30" s="14">
        <f t="shared" si="3"/>
        <v>0</v>
      </c>
      <c r="L30" s="20" t="str">
        <f t="shared" si="4"/>
        <v>-</v>
      </c>
      <c r="M30" s="19"/>
      <c r="N30" s="19">
        <v>0</v>
      </c>
      <c r="O30" s="19">
        <v>0</v>
      </c>
      <c r="P30" s="20" t="str">
        <f t="shared" si="5"/>
        <v>-</v>
      </c>
      <c r="Q30" s="19"/>
      <c r="R30" s="19">
        <v>2</v>
      </c>
      <c r="S30" s="19">
        <v>0</v>
      </c>
      <c r="T30" s="20">
        <f t="shared" si="6"/>
        <v>0</v>
      </c>
      <c r="U30" s="19"/>
      <c r="V30" s="14">
        <f t="shared" si="7"/>
        <v>2</v>
      </c>
      <c r="W30" s="14">
        <f t="shared" si="8"/>
        <v>0</v>
      </c>
      <c r="X30" s="20">
        <f t="shared" si="9"/>
        <v>0</v>
      </c>
      <c r="Y30" s="16"/>
      <c r="Z30" s="16"/>
      <c r="AA30" s="16"/>
      <c r="AB30" s="16"/>
      <c r="AC30" s="16"/>
      <c r="AD30" s="16"/>
      <c r="AE30" s="16"/>
      <c r="AF30" s="16"/>
      <c r="AG30" s="16"/>
    </row>
    <row r="31" spans="1:33" s="6" customFormat="1" ht="15" customHeight="1" x14ac:dyDescent="0.35">
      <c r="A31" s="6" t="s">
        <v>33</v>
      </c>
      <c r="B31" s="19">
        <v>25</v>
      </c>
      <c r="C31" s="19">
        <v>4</v>
      </c>
      <c r="D31" s="20">
        <f t="shared" si="0"/>
        <v>0.13793103448275862</v>
      </c>
      <c r="E31" s="19"/>
      <c r="F31" s="19">
        <v>53</v>
      </c>
      <c r="G31" s="19">
        <v>3</v>
      </c>
      <c r="H31" s="20">
        <f t="shared" si="1"/>
        <v>5.3571428571428568E-2</v>
      </c>
      <c r="I31" s="19"/>
      <c r="J31" s="14">
        <f t="shared" si="2"/>
        <v>78</v>
      </c>
      <c r="K31" s="14">
        <f t="shared" si="3"/>
        <v>7</v>
      </c>
      <c r="L31" s="20">
        <f t="shared" si="4"/>
        <v>8.2352941176470587E-2</v>
      </c>
      <c r="M31" s="19"/>
      <c r="N31" s="19">
        <v>3</v>
      </c>
      <c r="O31" s="19">
        <v>5</v>
      </c>
      <c r="P31" s="20">
        <f t="shared" si="5"/>
        <v>0.625</v>
      </c>
      <c r="Q31" s="19"/>
      <c r="R31" s="19">
        <v>25</v>
      </c>
      <c r="S31" s="19">
        <v>27</v>
      </c>
      <c r="T31" s="20">
        <f t="shared" si="6"/>
        <v>0.51923076923076927</v>
      </c>
      <c r="U31" s="19"/>
      <c r="V31" s="14">
        <f t="shared" si="7"/>
        <v>106</v>
      </c>
      <c r="W31" s="14">
        <f t="shared" si="8"/>
        <v>39</v>
      </c>
      <c r="X31" s="20">
        <f t="shared" si="9"/>
        <v>0.26896551724137929</v>
      </c>
      <c r="Y31" s="16"/>
      <c r="Z31" s="16"/>
      <c r="AA31" s="16"/>
      <c r="AB31" s="16"/>
      <c r="AC31" s="16"/>
      <c r="AD31" s="16"/>
      <c r="AE31" s="16"/>
      <c r="AF31" s="16"/>
      <c r="AG31" s="16"/>
    </row>
    <row r="32" spans="1:33" s="6" customFormat="1" ht="15" customHeight="1" x14ac:dyDescent="0.35">
      <c r="A32" s="6" t="s">
        <v>34</v>
      </c>
      <c r="B32" s="19">
        <v>51</v>
      </c>
      <c r="C32" s="19">
        <v>5</v>
      </c>
      <c r="D32" s="20">
        <f t="shared" si="0"/>
        <v>8.9285714285714288E-2</v>
      </c>
      <c r="E32" s="19"/>
      <c r="F32" s="19">
        <v>53</v>
      </c>
      <c r="G32" s="19">
        <v>4</v>
      </c>
      <c r="H32" s="20">
        <f t="shared" si="1"/>
        <v>7.0175438596491224E-2</v>
      </c>
      <c r="I32" s="19"/>
      <c r="J32" s="14">
        <f t="shared" si="2"/>
        <v>104</v>
      </c>
      <c r="K32" s="14">
        <f t="shared" si="3"/>
        <v>9</v>
      </c>
      <c r="L32" s="20">
        <f t="shared" si="4"/>
        <v>7.9646017699115043E-2</v>
      </c>
      <c r="M32" s="19"/>
      <c r="N32" s="19">
        <v>0</v>
      </c>
      <c r="O32" s="19">
        <v>0</v>
      </c>
      <c r="P32" s="20" t="str">
        <f t="shared" si="5"/>
        <v>-</v>
      </c>
      <c r="Q32" s="19"/>
      <c r="R32" s="19">
        <v>24</v>
      </c>
      <c r="S32" s="19">
        <v>21</v>
      </c>
      <c r="T32" s="20">
        <f t="shared" si="6"/>
        <v>0.46666666666666667</v>
      </c>
      <c r="U32" s="19"/>
      <c r="V32" s="14">
        <f t="shared" si="7"/>
        <v>128</v>
      </c>
      <c r="W32" s="14">
        <f t="shared" si="8"/>
        <v>30</v>
      </c>
      <c r="X32" s="20">
        <f t="shared" si="9"/>
        <v>0.189873417721519</v>
      </c>
      <c r="Y32" s="16"/>
      <c r="Z32" s="16"/>
      <c r="AA32" s="16"/>
      <c r="AB32" s="16"/>
      <c r="AC32" s="16"/>
      <c r="AD32" s="16"/>
      <c r="AE32" s="16"/>
      <c r="AF32" s="16"/>
      <c r="AG32" s="16"/>
    </row>
    <row r="33" spans="1:33" s="6" customFormat="1" ht="15" customHeight="1" x14ac:dyDescent="0.35">
      <c r="A33" s="5" t="s">
        <v>35</v>
      </c>
      <c r="B33" s="19">
        <v>21</v>
      </c>
      <c r="C33" s="19">
        <v>4</v>
      </c>
      <c r="D33" s="20">
        <f t="shared" si="0"/>
        <v>0.16</v>
      </c>
      <c r="E33" s="19"/>
      <c r="F33" s="19">
        <v>25</v>
      </c>
      <c r="G33" s="19">
        <v>2</v>
      </c>
      <c r="H33" s="20">
        <f t="shared" si="1"/>
        <v>7.407407407407407E-2</v>
      </c>
      <c r="I33" s="19"/>
      <c r="J33" s="14">
        <f t="shared" si="2"/>
        <v>46</v>
      </c>
      <c r="K33" s="14">
        <f t="shared" si="3"/>
        <v>6</v>
      </c>
      <c r="L33" s="20">
        <f t="shared" si="4"/>
        <v>0.11538461538461539</v>
      </c>
      <c r="M33" s="19"/>
      <c r="N33" s="19">
        <v>2</v>
      </c>
      <c r="O33" s="19">
        <v>0</v>
      </c>
      <c r="P33" s="20">
        <f t="shared" si="5"/>
        <v>0</v>
      </c>
      <c r="Q33" s="19"/>
      <c r="R33" s="19">
        <v>2</v>
      </c>
      <c r="S33" s="19">
        <v>10</v>
      </c>
      <c r="T33" s="20">
        <f t="shared" si="6"/>
        <v>0.83333333333333337</v>
      </c>
      <c r="U33" s="19"/>
      <c r="V33" s="14">
        <f t="shared" si="7"/>
        <v>50</v>
      </c>
      <c r="W33" s="14">
        <f t="shared" si="8"/>
        <v>16</v>
      </c>
      <c r="X33" s="20">
        <f t="shared" si="9"/>
        <v>0.24242424242424243</v>
      </c>
      <c r="Y33" s="16"/>
      <c r="Z33" s="16"/>
      <c r="AA33" s="16"/>
      <c r="AB33" s="16"/>
      <c r="AC33" s="16"/>
      <c r="AD33" s="16"/>
      <c r="AE33" s="16"/>
      <c r="AF33" s="16"/>
      <c r="AG33" s="16"/>
    </row>
    <row r="34" spans="1:33" s="6" customFormat="1" ht="15" customHeight="1" x14ac:dyDescent="0.35">
      <c r="A34" s="6" t="s">
        <v>36</v>
      </c>
      <c r="B34" s="19">
        <v>9</v>
      </c>
      <c r="C34" s="19">
        <v>1</v>
      </c>
      <c r="D34" s="20">
        <f t="shared" si="0"/>
        <v>0.1</v>
      </c>
      <c r="E34" s="19"/>
      <c r="F34" s="19">
        <v>41</v>
      </c>
      <c r="G34" s="19">
        <v>4</v>
      </c>
      <c r="H34" s="20">
        <f t="shared" si="1"/>
        <v>8.8888888888888892E-2</v>
      </c>
      <c r="I34" s="19"/>
      <c r="J34" s="14">
        <f t="shared" si="2"/>
        <v>50</v>
      </c>
      <c r="K34" s="14">
        <f t="shared" si="3"/>
        <v>5</v>
      </c>
      <c r="L34" s="20">
        <f t="shared" si="4"/>
        <v>9.0909090909090912E-2</v>
      </c>
      <c r="M34" s="19"/>
      <c r="N34" s="19">
        <v>0</v>
      </c>
      <c r="O34" s="19">
        <v>2</v>
      </c>
      <c r="P34" s="20">
        <f t="shared" si="5"/>
        <v>1</v>
      </c>
      <c r="Q34" s="19"/>
      <c r="R34" s="19">
        <v>2</v>
      </c>
      <c r="S34" s="19">
        <v>1</v>
      </c>
      <c r="T34" s="20">
        <f t="shared" si="6"/>
        <v>0.33333333333333331</v>
      </c>
      <c r="U34" s="19"/>
      <c r="V34" s="14">
        <f t="shared" si="7"/>
        <v>52</v>
      </c>
      <c r="W34" s="14">
        <f t="shared" si="8"/>
        <v>8</v>
      </c>
      <c r="X34" s="20">
        <f t="shared" si="9"/>
        <v>0.13333333333333333</v>
      </c>
      <c r="Y34" s="16"/>
      <c r="Z34" s="16"/>
      <c r="AA34" s="16"/>
      <c r="AB34" s="16"/>
      <c r="AC34" s="16"/>
      <c r="AD34" s="16"/>
      <c r="AE34" s="16"/>
      <c r="AF34" s="16"/>
      <c r="AG34" s="16"/>
    </row>
    <row r="35" spans="1:33" s="6" customFormat="1" ht="15" customHeight="1" x14ac:dyDescent="0.35">
      <c r="A35" s="6" t="s">
        <v>37</v>
      </c>
      <c r="B35" s="19">
        <v>19</v>
      </c>
      <c r="C35" s="19">
        <v>0</v>
      </c>
      <c r="D35" s="20">
        <f t="shared" si="0"/>
        <v>0</v>
      </c>
      <c r="E35" s="19"/>
      <c r="F35" s="19">
        <v>48</v>
      </c>
      <c r="G35" s="19">
        <v>8</v>
      </c>
      <c r="H35" s="20">
        <f t="shared" si="1"/>
        <v>0.14285714285714285</v>
      </c>
      <c r="I35" s="19"/>
      <c r="J35" s="14">
        <f t="shared" si="2"/>
        <v>67</v>
      </c>
      <c r="K35" s="14">
        <f t="shared" si="3"/>
        <v>8</v>
      </c>
      <c r="L35" s="20">
        <f t="shared" si="4"/>
        <v>0.10666666666666667</v>
      </c>
      <c r="M35" s="19"/>
      <c r="N35" s="19">
        <v>2</v>
      </c>
      <c r="O35" s="19">
        <v>2</v>
      </c>
      <c r="P35" s="20">
        <f t="shared" si="5"/>
        <v>0.5</v>
      </c>
      <c r="Q35" s="19"/>
      <c r="R35" s="19">
        <v>6</v>
      </c>
      <c r="S35" s="19">
        <v>10</v>
      </c>
      <c r="T35" s="20">
        <f t="shared" si="6"/>
        <v>0.625</v>
      </c>
      <c r="U35" s="19"/>
      <c r="V35" s="14">
        <f t="shared" si="7"/>
        <v>75</v>
      </c>
      <c r="W35" s="14">
        <f t="shared" si="8"/>
        <v>20</v>
      </c>
      <c r="X35" s="20">
        <f t="shared" si="9"/>
        <v>0.21052631578947367</v>
      </c>
      <c r="Y35" s="16"/>
      <c r="Z35" s="16"/>
      <c r="AA35" s="16"/>
      <c r="AB35" s="16"/>
      <c r="AC35" s="16"/>
      <c r="AD35" s="16"/>
      <c r="AE35" s="16"/>
      <c r="AF35" s="16"/>
      <c r="AG35" s="16"/>
    </row>
    <row r="36" spans="1:33" s="6" customFormat="1" ht="15" customHeight="1" x14ac:dyDescent="0.35">
      <c r="A36" s="5" t="s">
        <v>38</v>
      </c>
      <c r="B36" s="19">
        <v>0</v>
      </c>
      <c r="C36" s="19">
        <v>0</v>
      </c>
      <c r="D36" s="20" t="str">
        <f t="shared" si="0"/>
        <v>-</v>
      </c>
      <c r="E36" s="19"/>
      <c r="F36" s="19">
        <v>0</v>
      </c>
      <c r="G36" s="19">
        <v>0</v>
      </c>
      <c r="H36" s="20" t="str">
        <f t="shared" si="1"/>
        <v>-</v>
      </c>
      <c r="I36" s="19"/>
      <c r="J36" s="14">
        <f t="shared" si="2"/>
        <v>0</v>
      </c>
      <c r="K36" s="14">
        <f t="shared" si="3"/>
        <v>0</v>
      </c>
      <c r="L36" s="20" t="str">
        <f t="shared" si="4"/>
        <v>-</v>
      </c>
      <c r="M36" s="19"/>
      <c r="N36" s="19">
        <v>4</v>
      </c>
      <c r="O36" s="19">
        <v>6</v>
      </c>
      <c r="P36" s="20">
        <f t="shared" si="5"/>
        <v>0.6</v>
      </c>
      <c r="Q36" s="19"/>
      <c r="R36" s="19">
        <v>0</v>
      </c>
      <c r="S36" s="19">
        <v>0</v>
      </c>
      <c r="T36" s="20" t="str">
        <f t="shared" si="6"/>
        <v>-</v>
      </c>
      <c r="U36" s="19"/>
      <c r="V36" s="14">
        <f t="shared" si="7"/>
        <v>4</v>
      </c>
      <c r="W36" s="14">
        <f t="shared" si="8"/>
        <v>6</v>
      </c>
      <c r="X36" s="20">
        <f t="shared" si="9"/>
        <v>0.6</v>
      </c>
      <c r="Y36" s="16"/>
      <c r="Z36" s="16"/>
      <c r="AA36" s="16"/>
      <c r="AB36" s="16"/>
      <c r="AC36" s="16"/>
      <c r="AD36" s="16"/>
      <c r="AE36" s="16"/>
      <c r="AF36" s="16"/>
      <c r="AG36" s="16"/>
    </row>
    <row r="37" spans="1:33" s="6" customFormat="1" ht="15" customHeight="1" x14ac:dyDescent="0.35">
      <c r="A37" s="6" t="s">
        <v>39</v>
      </c>
      <c r="B37" s="19">
        <v>4</v>
      </c>
      <c r="C37" s="19">
        <v>0</v>
      </c>
      <c r="D37" s="20">
        <f t="shared" si="0"/>
        <v>0</v>
      </c>
      <c r="E37" s="19"/>
      <c r="F37" s="19">
        <v>50</v>
      </c>
      <c r="G37" s="19">
        <v>3</v>
      </c>
      <c r="H37" s="20">
        <f t="shared" si="1"/>
        <v>5.6603773584905662E-2</v>
      </c>
      <c r="I37" s="19"/>
      <c r="J37" s="14">
        <f t="shared" si="2"/>
        <v>54</v>
      </c>
      <c r="K37" s="14">
        <f t="shared" si="3"/>
        <v>3</v>
      </c>
      <c r="L37" s="20">
        <f t="shared" si="4"/>
        <v>5.2631578947368418E-2</v>
      </c>
      <c r="M37" s="19"/>
      <c r="N37" s="19">
        <v>1</v>
      </c>
      <c r="O37" s="19">
        <v>2</v>
      </c>
      <c r="P37" s="20">
        <f t="shared" si="5"/>
        <v>0.66666666666666663</v>
      </c>
      <c r="Q37" s="19"/>
      <c r="R37" s="19">
        <v>8</v>
      </c>
      <c r="S37" s="19">
        <v>12</v>
      </c>
      <c r="T37" s="20">
        <f t="shared" si="6"/>
        <v>0.6</v>
      </c>
      <c r="U37" s="19"/>
      <c r="V37" s="14">
        <f t="shared" si="7"/>
        <v>63</v>
      </c>
      <c r="W37" s="14">
        <f t="shared" si="8"/>
        <v>17</v>
      </c>
      <c r="X37" s="20">
        <f t="shared" si="9"/>
        <v>0.21249999999999999</v>
      </c>
      <c r="Y37" s="16"/>
      <c r="Z37" s="16"/>
      <c r="AA37" s="16"/>
      <c r="AB37" s="16"/>
      <c r="AC37" s="16"/>
      <c r="AD37" s="16"/>
      <c r="AE37" s="16"/>
      <c r="AF37" s="16"/>
      <c r="AG37" s="16"/>
    </row>
    <row r="38" spans="1:33" s="6" customFormat="1" ht="15" customHeight="1" x14ac:dyDescent="0.35">
      <c r="A38" s="6" t="s">
        <v>40</v>
      </c>
      <c r="B38" s="19">
        <v>10</v>
      </c>
      <c r="C38" s="19">
        <v>3</v>
      </c>
      <c r="D38" s="20">
        <f t="shared" si="0"/>
        <v>0.23076923076923078</v>
      </c>
      <c r="E38" s="19"/>
      <c r="F38" s="19">
        <v>31</v>
      </c>
      <c r="G38" s="19">
        <v>3</v>
      </c>
      <c r="H38" s="20">
        <f t="shared" si="1"/>
        <v>8.8235294117647065E-2</v>
      </c>
      <c r="I38" s="19"/>
      <c r="J38" s="14">
        <f t="shared" si="2"/>
        <v>41</v>
      </c>
      <c r="K38" s="14">
        <f t="shared" si="3"/>
        <v>6</v>
      </c>
      <c r="L38" s="20">
        <f t="shared" si="4"/>
        <v>0.1276595744680851</v>
      </c>
      <c r="M38" s="19"/>
      <c r="N38" s="19">
        <v>0</v>
      </c>
      <c r="O38" s="19">
        <v>0</v>
      </c>
      <c r="P38" s="20" t="str">
        <f t="shared" si="5"/>
        <v>-</v>
      </c>
      <c r="Q38" s="19"/>
      <c r="R38" s="19">
        <v>6</v>
      </c>
      <c r="S38" s="19">
        <v>4</v>
      </c>
      <c r="T38" s="20">
        <f t="shared" si="6"/>
        <v>0.4</v>
      </c>
      <c r="U38" s="19"/>
      <c r="V38" s="14">
        <f t="shared" si="7"/>
        <v>47</v>
      </c>
      <c r="W38" s="14">
        <f t="shared" si="8"/>
        <v>10</v>
      </c>
      <c r="X38" s="20">
        <f t="shared" si="9"/>
        <v>0.17543859649122806</v>
      </c>
      <c r="Y38" s="16"/>
      <c r="Z38" s="16"/>
      <c r="AA38" s="16"/>
      <c r="AB38" s="16"/>
      <c r="AC38" s="16"/>
      <c r="AD38" s="16"/>
      <c r="AE38" s="16"/>
      <c r="AF38" s="16"/>
      <c r="AG38" s="16"/>
    </row>
    <row r="39" spans="1:33" s="6" customFormat="1" ht="15" customHeight="1" x14ac:dyDescent="0.35">
      <c r="A39" s="6" t="s">
        <v>41</v>
      </c>
      <c r="B39" s="19">
        <v>1</v>
      </c>
      <c r="C39" s="19">
        <v>0</v>
      </c>
      <c r="D39" s="20">
        <f t="shared" si="0"/>
        <v>0</v>
      </c>
      <c r="E39" s="19"/>
      <c r="F39" s="19">
        <v>18</v>
      </c>
      <c r="G39" s="19">
        <v>0</v>
      </c>
      <c r="H39" s="20">
        <f t="shared" si="1"/>
        <v>0</v>
      </c>
      <c r="I39" s="19"/>
      <c r="J39" s="14">
        <f t="shared" si="2"/>
        <v>19</v>
      </c>
      <c r="K39" s="14">
        <f t="shared" si="3"/>
        <v>0</v>
      </c>
      <c r="L39" s="20">
        <f t="shared" si="4"/>
        <v>0</v>
      </c>
      <c r="M39" s="19"/>
      <c r="N39" s="19">
        <v>0</v>
      </c>
      <c r="O39" s="19">
        <v>1</v>
      </c>
      <c r="P39" s="20">
        <f t="shared" si="5"/>
        <v>1</v>
      </c>
      <c r="Q39" s="19"/>
      <c r="R39" s="19">
        <v>1</v>
      </c>
      <c r="S39" s="19">
        <v>3</v>
      </c>
      <c r="T39" s="20">
        <f t="shared" si="6"/>
        <v>0.75</v>
      </c>
      <c r="U39" s="19"/>
      <c r="V39" s="14">
        <f t="shared" si="7"/>
        <v>20</v>
      </c>
      <c r="W39" s="14">
        <f t="shared" si="8"/>
        <v>4</v>
      </c>
      <c r="X39" s="20">
        <f t="shared" si="9"/>
        <v>0.16666666666666666</v>
      </c>
      <c r="Y39" s="16"/>
      <c r="Z39" s="16"/>
      <c r="AA39" s="16"/>
      <c r="AB39" s="16"/>
      <c r="AC39" s="16"/>
      <c r="AD39" s="16"/>
      <c r="AE39" s="16"/>
      <c r="AF39" s="16"/>
      <c r="AG39" s="16"/>
    </row>
    <row r="40" spans="1:33" s="6" customFormat="1" ht="15" customHeight="1" x14ac:dyDescent="0.35">
      <c r="A40" s="5" t="s">
        <v>42</v>
      </c>
      <c r="B40" s="19">
        <v>13</v>
      </c>
      <c r="C40" s="19">
        <v>0</v>
      </c>
      <c r="D40" s="20">
        <f t="shared" si="0"/>
        <v>0</v>
      </c>
      <c r="E40" s="19"/>
      <c r="F40" s="19">
        <v>32</v>
      </c>
      <c r="G40" s="19">
        <v>4</v>
      </c>
      <c r="H40" s="20">
        <f t="shared" si="1"/>
        <v>0.1111111111111111</v>
      </c>
      <c r="I40" s="19"/>
      <c r="J40" s="14">
        <f t="shared" si="2"/>
        <v>45</v>
      </c>
      <c r="K40" s="14">
        <f t="shared" si="3"/>
        <v>4</v>
      </c>
      <c r="L40" s="20">
        <f t="shared" si="4"/>
        <v>8.1632653061224483E-2</v>
      </c>
      <c r="M40" s="19"/>
      <c r="N40" s="19">
        <v>1</v>
      </c>
      <c r="O40" s="19">
        <v>0</v>
      </c>
      <c r="P40" s="20">
        <f t="shared" si="5"/>
        <v>0</v>
      </c>
      <c r="Q40" s="19"/>
      <c r="R40" s="19">
        <v>8</v>
      </c>
      <c r="S40" s="19">
        <v>11</v>
      </c>
      <c r="T40" s="20">
        <f t="shared" si="6"/>
        <v>0.57894736842105265</v>
      </c>
      <c r="U40" s="19"/>
      <c r="V40" s="14">
        <f t="shared" si="7"/>
        <v>54</v>
      </c>
      <c r="W40" s="14">
        <f t="shared" si="8"/>
        <v>15</v>
      </c>
      <c r="X40" s="20">
        <f t="shared" si="9"/>
        <v>0.21739130434782608</v>
      </c>
      <c r="Y40" s="16"/>
      <c r="Z40" s="16"/>
      <c r="AA40" s="16"/>
      <c r="AB40" s="16"/>
      <c r="AC40" s="16"/>
      <c r="AD40" s="16"/>
      <c r="AE40" s="16"/>
      <c r="AF40" s="16"/>
      <c r="AG40" s="16"/>
    </row>
    <row r="41" spans="1:33" s="6" customFormat="1" ht="15" customHeight="1" x14ac:dyDescent="0.35">
      <c r="A41" s="5" t="s">
        <v>43</v>
      </c>
      <c r="B41" s="19">
        <v>0</v>
      </c>
      <c r="C41" s="19">
        <v>0</v>
      </c>
      <c r="D41" s="20" t="str">
        <f t="shared" si="0"/>
        <v>-</v>
      </c>
      <c r="E41" s="19"/>
      <c r="F41" s="19">
        <v>70</v>
      </c>
      <c r="G41" s="19">
        <v>4</v>
      </c>
      <c r="H41" s="20">
        <f t="shared" si="1"/>
        <v>5.4054054054054057E-2</v>
      </c>
      <c r="I41" s="19"/>
      <c r="J41" s="14">
        <f t="shared" si="2"/>
        <v>70</v>
      </c>
      <c r="K41" s="14">
        <f t="shared" si="3"/>
        <v>4</v>
      </c>
      <c r="L41" s="20">
        <f t="shared" si="4"/>
        <v>5.4054054054054057E-2</v>
      </c>
      <c r="M41" s="19"/>
      <c r="N41" s="19">
        <v>0</v>
      </c>
      <c r="O41" s="19">
        <v>0</v>
      </c>
      <c r="P41" s="20" t="str">
        <f t="shared" si="5"/>
        <v>-</v>
      </c>
      <c r="Q41" s="19"/>
      <c r="R41" s="19">
        <v>2</v>
      </c>
      <c r="S41" s="19">
        <v>2</v>
      </c>
      <c r="T41" s="20">
        <f t="shared" si="6"/>
        <v>0.5</v>
      </c>
      <c r="U41" s="19"/>
      <c r="V41" s="14">
        <f t="shared" si="7"/>
        <v>72</v>
      </c>
      <c r="W41" s="14">
        <f t="shared" si="8"/>
        <v>6</v>
      </c>
      <c r="X41" s="20">
        <f t="shared" si="9"/>
        <v>7.6923076923076927E-2</v>
      </c>
      <c r="Y41" s="16"/>
      <c r="Z41" s="16"/>
      <c r="AA41" s="16"/>
      <c r="AB41" s="16"/>
      <c r="AC41" s="16"/>
      <c r="AD41" s="16"/>
      <c r="AE41" s="16"/>
      <c r="AF41" s="16"/>
      <c r="AG41" s="16"/>
    </row>
    <row r="42" spans="1:33" s="6" customFormat="1" ht="15" customHeight="1" x14ac:dyDescent="0.35">
      <c r="A42" s="5" t="s">
        <v>44</v>
      </c>
      <c r="B42" s="19">
        <v>4</v>
      </c>
      <c r="C42" s="19">
        <v>1</v>
      </c>
      <c r="D42" s="20">
        <f t="shared" si="0"/>
        <v>0.2</v>
      </c>
      <c r="E42" s="19"/>
      <c r="F42" s="19">
        <v>22</v>
      </c>
      <c r="G42" s="19">
        <v>4</v>
      </c>
      <c r="H42" s="20">
        <f t="shared" si="1"/>
        <v>0.15384615384615385</v>
      </c>
      <c r="I42" s="19"/>
      <c r="J42" s="14">
        <f t="shared" si="2"/>
        <v>26</v>
      </c>
      <c r="K42" s="14">
        <f t="shared" si="3"/>
        <v>5</v>
      </c>
      <c r="L42" s="20">
        <f t="shared" si="4"/>
        <v>0.16129032258064516</v>
      </c>
      <c r="M42" s="19"/>
      <c r="N42" s="19">
        <v>0</v>
      </c>
      <c r="O42" s="19">
        <v>1</v>
      </c>
      <c r="P42" s="20">
        <f t="shared" si="5"/>
        <v>1</v>
      </c>
      <c r="Q42" s="19"/>
      <c r="R42" s="19">
        <v>3</v>
      </c>
      <c r="S42" s="19">
        <v>6</v>
      </c>
      <c r="T42" s="20">
        <f t="shared" si="6"/>
        <v>0.66666666666666663</v>
      </c>
      <c r="U42" s="19"/>
      <c r="V42" s="14">
        <f t="shared" si="7"/>
        <v>29</v>
      </c>
      <c r="W42" s="14">
        <f t="shared" si="8"/>
        <v>12</v>
      </c>
      <c r="X42" s="20">
        <f t="shared" si="9"/>
        <v>0.29268292682926828</v>
      </c>
      <c r="Y42" s="16"/>
      <c r="Z42" s="16"/>
      <c r="AA42" s="16"/>
      <c r="AB42" s="16"/>
      <c r="AC42" s="16"/>
      <c r="AD42" s="16"/>
      <c r="AE42" s="16"/>
      <c r="AF42" s="16"/>
      <c r="AG42" s="16"/>
    </row>
    <row r="43" spans="1:33" s="6" customFormat="1" ht="15" customHeight="1" x14ac:dyDescent="0.35">
      <c r="A43" s="5" t="s">
        <v>45</v>
      </c>
      <c r="B43" s="19">
        <v>6</v>
      </c>
      <c r="C43" s="19">
        <v>2</v>
      </c>
      <c r="D43" s="20">
        <f t="shared" si="0"/>
        <v>0.25</v>
      </c>
      <c r="E43" s="19"/>
      <c r="F43" s="19">
        <v>14</v>
      </c>
      <c r="G43" s="19">
        <v>2</v>
      </c>
      <c r="H43" s="20">
        <f t="shared" si="1"/>
        <v>0.125</v>
      </c>
      <c r="I43" s="19"/>
      <c r="J43" s="14">
        <f t="shared" si="2"/>
        <v>20</v>
      </c>
      <c r="K43" s="14">
        <f t="shared" si="3"/>
        <v>4</v>
      </c>
      <c r="L43" s="20">
        <f t="shared" si="4"/>
        <v>0.16666666666666666</v>
      </c>
      <c r="M43" s="19"/>
      <c r="N43" s="19">
        <v>0</v>
      </c>
      <c r="O43" s="19">
        <v>0</v>
      </c>
      <c r="P43" s="20" t="str">
        <f t="shared" si="5"/>
        <v>-</v>
      </c>
      <c r="Q43" s="19"/>
      <c r="R43" s="19">
        <v>7</v>
      </c>
      <c r="S43" s="19">
        <v>3</v>
      </c>
      <c r="T43" s="20">
        <f t="shared" si="6"/>
        <v>0.3</v>
      </c>
      <c r="U43" s="19"/>
      <c r="V43" s="14">
        <f t="shared" si="7"/>
        <v>27</v>
      </c>
      <c r="W43" s="14">
        <f t="shared" si="8"/>
        <v>7</v>
      </c>
      <c r="X43" s="20">
        <f t="shared" si="9"/>
        <v>0.20588235294117646</v>
      </c>
      <c r="Y43" s="16"/>
      <c r="Z43" s="16"/>
      <c r="AA43" s="16"/>
      <c r="AB43" s="16"/>
      <c r="AC43" s="16"/>
      <c r="AD43" s="16"/>
      <c r="AE43" s="16"/>
      <c r="AF43" s="16"/>
      <c r="AG43" s="16"/>
    </row>
    <row r="44" spans="1:33" s="6" customFormat="1" ht="15" customHeight="1" x14ac:dyDescent="0.35">
      <c r="A44" s="5" t="s">
        <v>46</v>
      </c>
      <c r="B44" s="19">
        <v>2</v>
      </c>
      <c r="C44" s="19">
        <v>0</v>
      </c>
      <c r="D44" s="20">
        <f t="shared" si="0"/>
        <v>0</v>
      </c>
      <c r="E44" s="19"/>
      <c r="F44" s="19">
        <v>45</v>
      </c>
      <c r="G44" s="19">
        <v>4</v>
      </c>
      <c r="H44" s="20">
        <f t="shared" si="1"/>
        <v>8.1632653061224483E-2</v>
      </c>
      <c r="I44" s="19"/>
      <c r="J44" s="14">
        <f t="shared" si="2"/>
        <v>47</v>
      </c>
      <c r="K44" s="14">
        <f t="shared" si="3"/>
        <v>4</v>
      </c>
      <c r="L44" s="20">
        <f t="shared" si="4"/>
        <v>7.8431372549019607E-2</v>
      </c>
      <c r="M44" s="19"/>
      <c r="N44" s="19">
        <v>0</v>
      </c>
      <c r="O44" s="19">
        <v>0</v>
      </c>
      <c r="P44" s="20" t="str">
        <f t="shared" si="5"/>
        <v>-</v>
      </c>
      <c r="Q44" s="19"/>
      <c r="R44" s="19">
        <v>4</v>
      </c>
      <c r="S44" s="19">
        <v>2</v>
      </c>
      <c r="T44" s="20">
        <f t="shared" si="6"/>
        <v>0.33333333333333331</v>
      </c>
      <c r="U44" s="19"/>
      <c r="V44" s="14">
        <f t="shared" si="7"/>
        <v>51</v>
      </c>
      <c r="W44" s="14">
        <f t="shared" si="8"/>
        <v>6</v>
      </c>
      <c r="X44" s="20">
        <f t="shared" si="9"/>
        <v>0.10526315789473684</v>
      </c>
      <c r="Y44" s="16"/>
      <c r="Z44" s="16"/>
      <c r="AA44" s="16"/>
      <c r="AB44" s="16"/>
      <c r="AC44" s="16"/>
      <c r="AD44" s="16"/>
      <c r="AE44" s="16"/>
      <c r="AF44" s="16"/>
      <c r="AG44" s="16"/>
    </row>
    <row r="45" spans="1:33" s="6" customFormat="1" ht="15" customHeight="1" x14ac:dyDescent="0.35">
      <c r="A45" s="5" t="s">
        <v>47</v>
      </c>
      <c r="B45" s="19">
        <v>8</v>
      </c>
      <c r="C45" s="19">
        <v>0</v>
      </c>
      <c r="D45" s="20">
        <f t="shared" si="0"/>
        <v>0</v>
      </c>
      <c r="E45" s="19"/>
      <c r="F45" s="19">
        <v>9</v>
      </c>
      <c r="G45" s="19">
        <v>0</v>
      </c>
      <c r="H45" s="20">
        <f t="shared" si="1"/>
        <v>0</v>
      </c>
      <c r="I45" s="19"/>
      <c r="J45" s="14">
        <f t="shared" si="2"/>
        <v>17</v>
      </c>
      <c r="K45" s="14">
        <f t="shared" si="3"/>
        <v>0</v>
      </c>
      <c r="L45" s="20">
        <f t="shared" si="4"/>
        <v>0</v>
      </c>
      <c r="M45" s="19"/>
      <c r="N45" s="19">
        <v>0</v>
      </c>
      <c r="O45" s="19">
        <v>3</v>
      </c>
      <c r="P45" s="20">
        <f t="shared" si="5"/>
        <v>1</v>
      </c>
      <c r="Q45" s="19"/>
      <c r="R45" s="19">
        <v>1</v>
      </c>
      <c r="S45" s="19">
        <v>0</v>
      </c>
      <c r="T45" s="20">
        <f t="shared" si="6"/>
        <v>0</v>
      </c>
      <c r="U45" s="19"/>
      <c r="V45" s="14">
        <f t="shared" si="7"/>
        <v>18</v>
      </c>
      <c r="W45" s="14">
        <f t="shared" si="8"/>
        <v>3</v>
      </c>
      <c r="X45" s="20">
        <f t="shared" si="9"/>
        <v>0.14285714285714285</v>
      </c>
      <c r="Y45" s="16"/>
      <c r="Z45" s="16"/>
      <c r="AA45" s="16"/>
      <c r="AB45" s="16"/>
      <c r="AC45" s="16"/>
      <c r="AD45" s="16"/>
      <c r="AE45" s="16"/>
      <c r="AF45" s="16"/>
      <c r="AG45" s="16"/>
    </row>
    <row r="46" spans="1:33" s="6" customFormat="1" ht="15" customHeight="1" x14ac:dyDescent="0.35">
      <c r="A46" s="5" t="s">
        <v>48</v>
      </c>
      <c r="B46" s="19">
        <v>26</v>
      </c>
      <c r="C46" s="19">
        <v>5</v>
      </c>
      <c r="D46" s="20">
        <f t="shared" si="0"/>
        <v>0.16129032258064516</v>
      </c>
      <c r="E46" s="19"/>
      <c r="F46" s="19">
        <v>18</v>
      </c>
      <c r="G46" s="19">
        <v>2</v>
      </c>
      <c r="H46" s="20">
        <f t="shared" si="1"/>
        <v>0.1</v>
      </c>
      <c r="I46" s="19"/>
      <c r="J46" s="14">
        <f t="shared" si="2"/>
        <v>44</v>
      </c>
      <c r="K46" s="14">
        <f t="shared" si="3"/>
        <v>7</v>
      </c>
      <c r="L46" s="20">
        <f t="shared" si="4"/>
        <v>0.13725490196078433</v>
      </c>
      <c r="M46" s="19"/>
      <c r="N46" s="19">
        <v>0</v>
      </c>
      <c r="O46" s="19">
        <v>3</v>
      </c>
      <c r="P46" s="20">
        <f t="shared" si="5"/>
        <v>1</v>
      </c>
      <c r="Q46" s="19"/>
      <c r="R46" s="19">
        <v>9</v>
      </c>
      <c r="S46" s="19">
        <v>11</v>
      </c>
      <c r="T46" s="20">
        <f t="shared" si="6"/>
        <v>0.55000000000000004</v>
      </c>
      <c r="U46" s="19"/>
      <c r="V46" s="14">
        <f t="shared" si="7"/>
        <v>53</v>
      </c>
      <c r="W46" s="14">
        <f t="shared" si="8"/>
        <v>21</v>
      </c>
      <c r="X46" s="20">
        <f t="shared" si="9"/>
        <v>0.28378378378378377</v>
      </c>
      <c r="Y46" s="16"/>
      <c r="Z46" s="16"/>
      <c r="AA46" s="16"/>
      <c r="AB46" s="16"/>
      <c r="AC46" s="16"/>
      <c r="AD46" s="16"/>
      <c r="AE46" s="16"/>
      <c r="AF46" s="16"/>
      <c r="AG46" s="16"/>
    </row>
    <row r="47" spans="1:33" s="6" customFormat="1" ht="15" customHeight="1" x14ac:dyDescent="0.35">
      <c r="A47" s="5" t="s">
        <v>49</v>
      </c>
      <c r="B47" s="19">
        <v>18</v>
      </c>
      <c r="C47" s="19">
        <v>6</v>
      </c>
      <c r="D47" s="20">
        <f t="shared" si="0"/>
        <v>0.25</v>
      </c>
      <c r="E47" s="19"/>
      <c r="F47" s="19">
        <v>45</v>
      </c>
      <c r="G47" s="19">
        <v>2</v>
      </c>
      <c r="H47" s="20">
        <f t="shared" si="1"/>
        <v>4.2553191489361701E-2</v>
      </c>
      <c r="I47" s="19"/>
      <c r="J47" s="14">
        <f t="shared" si="2"/>
        <v>63</v>
      </c>
      <c r="K47" s="14">
        <f t="shared" si="3"/>
        <v>8</v>
      </c>
      <c r="L47" s="20">
        <f t="shared" si="4"/>
        <v>0.11267605633802817</v>
      </c>
      <c r="M47" s="19"/>
      <c r="N47" s="19">
        <v>0</v>
      </c>
      <c r="O47" s="19">
        <v>0</v>
      </c>
      <c r="P47" s="20" t="str">
        <f t="shared" si="5"/>
        <v>-</v>
      </c>
      <c r="Q47" s="19"/>
      <c r="R47" s="19">
        <v>5</v>
      </c>
      <c r="S47" s="19">
        <v>5</v>
      </c>
      <c r="T47" s="20">
        <f t="shared" si="6"/>
        <v>0.5</v>
      </c>
      <c r="U47" s="19"/>
      <c r="V47" s="14">
        <f t="shared" si="7"/>
        <v>68</v>
      </c>
      <c r="W47" s="14">
        <f t="shared" si="8"/>
        <v>13</v>
      </c>
      <c r="X47" s="20">
        <f t="shared" si="9"/>
        <v>0.16049382716049382</v>
      </c>
      <c r="Y47" s="16"/>
      <c r="Z47" s="16"/>
      <c r="AA47" s="16"/>
      <c r="AB47" s="16"/>
      <c r="AC47" s="16"/>
      <c r="AD47" s="16"/>
      <c r="AE47" s="16"/>
      <c r="AF47" s="16"/>
      <c r="AG47" s="16"/>
    </row>
    <row r="48" spans="1:33" s="6" customFormat="1" ht="15" customHeight="1" x14ac:dyDescent="0.35">
      <c r="A48" s="5" t="s">
        <v>50</v>
      </c>
      <c r="B48" s="19">
        <v>0</v>
      </c>
      <c r="C48" s="19">
        <v>0</v>
      </c>
      <c r="D48" s="20" t="str">
        <f t="shared" si="0"/>
        <v>-</v>
      </c>
      <c r="E48" s="19"/>
      <c r="F48" s="19">
        <v>2</v>
      </c>
      <c r="G48" s="19">
        <v>0</v>
      </c>
      <c r="H48" s="20">
        <f t="shared" si="1"/>
        <v>0</v>
      </c>
      <c r="I48" s="19"/>
      <c r="J48" s="14">
        <f t="shared" si="2"/>
        <v>2</v>
      </c>
      <c r="K48" s="14">
        <f t="shared" si="3"/>
        <v>0</v>
      </c>
      <c r="L48" s="20">
        <f t="shared" si="4"/>
        <v>0</v>
      </c>
      <c r="M48" s="19"/>
      <c r="N48" s="19">
        <v>0</v>
      </c>
      <c r="O48" s="19">
        <v>0</v>
      </c>
      <c r="P48" s="20" t="str">
        <f t="shared" si="5"/>
        <v>-</v>
      </c>
      <c r="Q48" s="19"/>
      <c r="R48" s="19">
        <v>0</v>
      </c>
      <c r="S48" s="19">
        <v>0</v>
      </c>
      <c r="T48" s="20" t="str">
        <f t="shared" si="6"/>
        <v>-</v>
      </c>
      <c r="U48" s="19"/>
      <c r="V48" s="14">
        <f t="shared" si="7"/>
        <v>2</v>
      </c>
      <c r="W48" s="14">
        <f t="shared" si="8"/>
        <v>0</v>
      </c>
      <c r="X48" s="20">
        <f t="shared" si="9"/>
        <v>0</v>
      </c>
      <c r="Y48" s="16"/>
      <c r="Z48" s="16"/>
      <c r="AA48" s="16"/>
      <c r="AB48" s="16"/>
      <c r="AC48" s="16"/>
      <c r="AD48" s="16"/>
      <c r="AE48" s="16"/>
      <c r="AF48" s="16"/>
      <c r="AG48" s="16"/>
    </row>
    <row r="49" spans="1:33" s="6" customFormat="1" ht="15" customHeight="1" x14ac:dyDescent="0.35">
      <c r="A49" s="22" t="s">
        <v>51</v>
      </c>
      <c r="B49" s="14">
        <f>SUM(B50:B56)</f>
        <v>374</v>
      </c>
      <c r="C49" s="14">
        <f>SUM(C50:C56)</f>
        <v>66</v>
      </c>
      <c r="D49" s="15">
        <f t="shared" si="0"/>
        <v>0.15</v>
      </c>
      <c r="E49" s="14"/>
      <c r="F49" s="14">
        <f>SUM(F50:F56)</f>
        <v>49</v>
      </c>
      <c r="G49" s="14">
        <f>SUM(G50:G56)</f>
        <v>6</v>
      </c>
      <c r="H49" s="15">
        <f t="shared" si="1"/>
        <v>0.10909090909090909</v>
      </c>
      <c r="I49" s="14"/>
      <c r="J49" s="14">
        <f t="shared" si="2"/>
        <v>423</v>
      </c>
      <c r="K49" s="14">
        <f t="shared" si="3"/>
        <v>72</v>
      </c>
      <c r="L49" s="15">
        <f t="shared" si="4"/>
        <v>0.14545454545454545</v>
      </c>
      <c r="M49" s="14"/>
      <c r="N49" s="14">
        <f>SUM(N50:N56)</f>
        <v>9</v>
      </c>
      <c r="O49" s="14">
        <f>SUM(O50:O56)</f>
        <v>24</v>
      </c>
      <c r="P49" s="15">
        <f t="shared" si="5"/>
        <v>0.72727272727272729</v>
      </c>
      <c r="Q49" s="14"/>
      <c r="R49" s="14">
        <f>SUM(R50:R56)</f>
        <v>147</v>
      </c>
      <c r="S49" s="14">
        <f>SUM(S50:S56)</f>
        <v>155</v>
      </c>
      <c r="T49" s="15">
        <f t="shared" si="6"/>
        <v>0.51324503311258274</v>
      </c>
      <c r="U49" s="14"/>
      <c r="V49" s="14">
        <f t="shared" si="7"/>
        <v>579</v>
      </c>
      <c r="W49" s="14">
        <f t="shared" si="8"/>
        <v>251</v>
      </c>
      <c r="X49" s="15">
        <f t="shared" si="9"/>
        <v>0.30240963855421688</v>
      </c>
      <c r="Y49" s="16"/>
      <c r="Z49" s="16"/>
      <c r="AA49" s="16"/>
      <c r="AB49" s="16"/>
      <c r="AC49" s="16"/>
      <c r="AD49" s="16"/>
      <c r="AE49" s="16"/>
      <c r="AF49" s="16"/>
      <c r="AG49" s="16"/>
    </row>
    <row r="50" spans="1:33" s="6" customFormat="1" ht="15" customHeight="1" x14ac:dyDescent="0.35">
      <c r="A50" s="5" t="s">
        <v>52</v>
      </c>
      <c r="B50" s="19">
        <v>38</v>
      </c>
      <c r="C50" s="19">
        <v>17</v>
      </c>
      <c r="D50" s="20">
        <f t="shared" si="0"/>
        <v>0.30909090909090908</v>
      </c>
      <c r="E50" s="19"/>
      <c r="F50" s="19">
        <v>0</v>
      </c>
      <c r="G50" s="19">
        <v>0</v>
      </c>
      <c r="H50" s="20" t="str">
        <f t="shared" si="1"/>
        <v>-</v>
      </c>
      <c r="I50" s="19"/>
      <c r="J50" s="14">
        <f t="shared" si="2"/>
        <v>38</v>
      </c>
      <c r="K50" s="14">
        <f t="shared" si="3"/>
        <v>17</v>
      </c>
      <c r="L50" s="20">
        <f t="shared" si="4"/>
        <v>0.30909090909090908</v>
      </c>
      <c r="M50" s="19"/>
      <c r="N50" s="19">
        <v>0</v>
      </c>
      <c r="O50" s="19">
        <v>0</v>
      </c>
      <c r="P50" s="20" t="str">
        <f t="shared" si="5"/>
        <v>-</v>
      </c>
      <c r="Q50" s="19"/>
      <c r="R50" s="19">
        <v>43</v>
      </c>
      <c r="S50" s="19">
        <v>37</v>
      </c>
      <c r="T50" s="20">
        <f t="shared" si="6"/>
        <v>0.46250000000000002</v>
      </c>
      <c r="U50" s="19"/>
      <c r="V50" s="14">
        <f t="shared" si="7"/>
        <v>81</v>
      </c>
      <c r="W50" s="14">
        <f t="shared" si="8"/>
        <v>54</v>
      </c>
      <c r="X50" s="20">
        <f t="shared" si="9"/>
        <v>0.4</v>
      </c>
      <c r="Y50" s="16"/>
      <c r="Z50" s="16"/>
      <c r="AA50" s="16"/>
      <c r="AB50" s="16"/>
      <c r="AC50" s="16"/>
      <c r="AD50" s="16"/>
      <c r="AE50" s="16"/>
      <c r="AF50" s="16"/>
      <c r="AG50" s="16"/>
    </row>
    <row r="51" spans="1:33" s="6" customFormat="1" ht="15" customHeight="1" x14ac:dyDescent="0.35">
      <c r="A51" s="5" t="s">
        <v>53</v>
      </c>
      <c r="B51" s="19">
        <v>26</v>
      </c>
      <c r="C51" s="19">
        <v>6</v>
      </c>
      <c r="D51" s="20">
        <f t="shared" si="0"/>
        <v>0.1875</v>
      </c>
      <c r="E51" s="19"/>
      <c r="F51" s="19">
        <v>13</v>
      </c>
      <c r="G51" s="19">
        <v>3</v>
      </c>
      <c r="H51" s="20">
        <f t="shared" si="1"/>
        <v>0.1875</v>
      </c>
      <c r="I51" s="19"/>
      <c r="J51" s="14">
        <f t="shared" si="2"/>
        <v>39</v>
      </c>
      <c r="K51" s="14">
        <f t="shared" si="3"/>
        <v>9</v>
      </c>
      <c r="L51" s="20">
        <f t="shared" si="4"/>
        <v>0.1875</v>
      </c>
      <c r="M51" s="19"/>
      <c r="N51" s="19">
        <v>1</v>
      </c>
      <c r="O51" s="19">
        <v>6</v>
      </c>
      <c r="P51" s="20">
        <f t="shared" si="5"/>
        <v>0.8571428571428571</v>
      </c>
      <c r="Q51" s="19"/>
      <c r="R51" s="19">
        <v>13</v>
      </c>
      <c r="S51" s="19">
        <v>4</v>
      </c>
      <c r="T51" s="20">
        <f t="shared" si="6"/>
        <v>0.23529411764705882</v>
      </c>
      <c r="U51" s="19"/>
      <c r="V51" s="14">
        <f t="shared" si="7"/>
        <v>53</v>
      </c>
      <c r="W51" s="14">
        <f t="shared" si="8"/>
        <v>19</v>
      </c>
      <c r="X51" s="20">
        <f t="shared" si="9"/>
        <v>0.2638888888888889</v>
      </c>
      <c r="Y51" s="16"/>
      <c r="Z51" s="16"/>
      <c r="AA51" s="16"/>
      <c r="AB51" s="16"/>
      <c r="AC51" s="16"/>
      <c r="AD51" s="16"/>
      <c r="AE51" s="16"/>
      <c r="AF51" s="16"/>
      <c r="AG51" s="16"/>
    </row>
    <row r="52" spans="1:33" s="6" customFormat="1" ht="15" customHeight="1" x14ac:dyDescent="0.35">
      <c r="A52" s="5" t="s">
        <v>54</v>
      </c>
      <c r="B52" s="19">
        <v>30</v>
      </c>
      <c r="C52" s="19">
        <v>2</v>
      </c>
      <c r="D52" s="20">
        <f t="shared" si="0"/>
        <v>6.25E-2</v>
      </c>
      <c r="E52" s="19"/>
      <c r="F52" s="19">
        <v>24</v>
      </c>
      <c r="G52" s="19">
        <v>2</v>
      </c>
      <c r="H52" s="20">
        <f t="shared" si="1"/>
        <v>7.6923076923076927E-2</v>
      </c>
      <c r="I52" s="19"/>
      <c r="J52" s="14">
        <f t="shared" si="2"/>
        <v>54</v>
      </c>
      <c r="K52" s="14">
        <f t="shared" si="3"/>
        <v>4</v>
      </c>
      <c r="L52" s="20">
        <f t="shared" si="4"/>
        <v>6.8965517241379309E-2</v>
      </c>
      <c r="M52" s="19"/>
      <c r="N52" s="19">
        <v>1</v>
      </c>
      <c r="O52" s="19">
        <v>2</v>
      </c>
      <c r="P52" s="20">
        <f t="shared" si="5"/>
        <v>0.66666666666666663</v>
      </c>
      <c r="Q52" s="19"/>
      <c r="R52" s="19">
        <v>16</v>
      </c>
      <c r="S52" s="19">
        <v>21</v>
      </c>
      <c r="T52" s="20">
        <f t="shared" si="6"/>
        <v>0.56756756756756754</v>
      </c>
      <c r="U52" s="19"/>
      <c r="V52" s="14">
        <f t="shared" si="7"/>
        <v>71</v>
      </c>
      <c r="W52" s="14">
        <f t="shared" si="8"/>
        <v>27</v>
      </c>
      <c r="X52" s="20">
        <f t="shared" si="9"/>
        <v>0.27551020408163263</v>
      </c>
      <c r="Y52" s="16"/>
      <c r="Z52" s="16"/>
      <c r="AA52" s="16"/>
      <c r="AB52" s="16"/>
      <c r="AC52" s="16"/>
      <c r="AD52" s="16"/>
      <c r="AE52" s="16"/>
      <c r="AF52" s="16"/>
      <c r="AG52" s="16"/>
    </row>
    <row r="53" spans="1:33" s="6" customFormat="1" ht="15" customHeight="1" x14ac:dyDescent="0.35">
      <c r="A53" s="2" t="s">
        <v>55</v>
      </c>
      <c r="B53" s="19">
        <v>4</v>
      </c>
      <c r="C53" s="19">
        <v>2</v>
      </c>
      <c r="D53" s="20">
        <f t="shared" si="0"/>
        <v>0.33333333333333331</v>
      </c>
      <c r="E53" s="19"/>
      <c r="F53" s="19">
        <v>5</v>
      </c>
      <c r="G53" s="19">
        <v>1</v>
      </c>
      <c r="H53" s="20">
        <f t="shared" si="1"/>
        <v>0.16666666666666666</v>
      </c>
      <c r="I53" s="19"/>
      <c r="J53" s="14">
        <f t="shared" si="2"/>
        <v>9</v>
      </c>
      <c r="K53" s="14">
        <f t="shared" si="3"/>
        <v>3</v>
      </c>
      <c r="L53" s="20">
        <f t="shared" si="4"/>
        <v>0.25</v>
      </c>
      <c r="M53" s="19"/>
      <c r="N53" s="19">
        <v>0</v>
      </c>
      <c r="O53" s="19">
        <v>1</v>
      </c>
      <c r="P53" s="20">
        <f t="shared" si="5"/>
        <v>1</v>
      </c>
      <c r="Q53" s="19"/>
      <c r="R53" s="19">
        <v>12</v>
      </c>
      <c r="S53" s="19">
        <v>13</v>
      </c>
      <c r="T53" s="20">
        <f t="shared" si="6"/>
        <v>0.52</v>
      </c>
      <c r="U53" s="19"/>
      <c r="V53" s="14">
        <f t="shared" si="7"/>
        <v>21</v>
      </c>
      <c r="W53" s="14">
        <f t="shared" si="8"/>
        <v>17</v>
      </c>
      <c r="X53" s="20">
        <f t="shared" si="9"/>
        <v>0.44736842105263158</v>
      </c>
      <c r="Y53" s="16"/>
      <c r="Z53" s="16"/>
      <c r="AA53" s="16"/>
      <c r="AB53" s="16"/>
      <c r="AC53" s="16"/>
      <c r="AD53" s="16"/>
      <c r="AE53" s="16"/>
      <c r="AF53" s="16"/>
      <c r="AG53" s="16"/>
    </row>
    <row r="54" spans="1:33" s="6" customFormat="1" ht="15" customHeight="1" x14ac:dyDescent="0.35">
      <c r="A54" s="2" t="s">
        <v>56</v>
      </c>
      <c r="B54" s="19">
        <v>57</v>
      </c>
      <c r="C54" s="19">
        <v>16</v>
      </c>
      <c r="D54" s="20">
        <f t="shared" si="0"/>
        <v>0.21917808219178081</v>
      </c>
      <c r="E54" s="19"/>
      <c r="F54" s="19">
        <v>0</v>
      </c>
      <c r="G54" s="19">
        <v>0</v>
      </c>
      <c r="H54" s="20" t="str">
        <f t="shared" si="1"/>
        <v>-</v>
      </c>
      <c r="I54" s="19"/>
      <c r="J54" s="14">
        <f t="shared" si="2"/>
        <v>57</v>
      </c>
      <c r="K54" s="14">
        <f t="shared" si="3"/>
        <v>16</v>
      </c>
      <c r="L54" s="20">
        <f t="shared" si="4"/>
        <v>0.21917808219178081</v>
      </c>
      <c r="M54" s="19"/>
      <c r="N54" s="19">
        <v>0</v>
      </c>
      <c r="O54" s="19">
        <v>2</v>
      </c>
      <c r="P54" s="20">
        <f t="shared" si="5"/>
        <v>1</v>
      </c>
      <c r="Q54" s="19"/>
      <c r="R54" s="19">
        <v>5</v>
      </c>
      <c r="S54" s="19">
        <v>14</v>
      </c>
      <c r="T54" s="20">
        <f t="shared" si="6"/>
        <v>0.73684210526315785</v>
      </c>
      <c r="U54" s="19"/>
      <c r="V54" s="14">
        <f t="shared" si="7"/>
        <v>62</v>
      </c>
      <c r="W54" s="14">
        <f t="shared" si="8"/>
        <v>32</v>
      </c>
      <c r="X54" s="20">
        <f t="shared" si="9"/>
        <v>0.34042553191489361</v>
      </c>
      <c r="Y54" s="16"/>
      <c r="Z54" s="16"/>
      <c r="AA54" s="16"/>
      <c r="AB54" s="16"/>
      <c r="AC54" s="16"/>
      <c r="AD54" s="16"/>
      <c r="AE54" s="16"/>
      <c r="AF54" s="16"/>
      <c r="AG54" s="16"/>
    </row>
    <row r="55" spans="1:33" s="6" customFormat="1" ht="15" customHeight="1" x14ac:dyDescent="0.35">
      <c r="A55" s="2" t="s">
        <v>57</v>
      </c>
      <c r="B55" s="19">
        <v>35</v>
      </c>
      <c r="C55" s="19">
        <v>1</v>
      </c>
      <c r="D55" s="20">
        <f t="shared" si="0"/>
        <v>2.7777777777777776E-2</v>
      </c>
      <c r="E55" s="19"/>
      <c r="F55" s="19">
        <v>7</v>
      </c>
      <c r="G55" s="19">
        <v>0</v>
      </c>
      <c r="H55" s="20">
        <f t="shared" si="1"/>
        <v>0</v>
      </c>
      <c r="I55" s="19"/>
      <c r="J55" s="14">
        <f t="shared" si="2"/>
        <v>42</v>
      </c>
      <c r="K55" s="14">
        <f t="shared" si="3"/>
        <v>1</v>
      </c>
      <c r="L55" s="20">
        <f t="shared" si="4"/>
        <v>2.3255813953488372E-2</v>
      </c>
      <c r="M55" s="19"/>
      <c r="N55" s="19">
        <v>0</v>
      </c>
      <c r="O55" s="19">
        <v>0</v>
      </c>
      <c r="P55" s="20" t="str">
        <f t="shared" si="5"/>
        <v>-</v>
      </c>
      <c r="Q55" s="19"/>
      <c r="R55" s="19">
        <v>25</v>
      </c>
      <c r="S55" s="19">
        <v>25</v>
      </c>
      <c r="T55" s="20">
        <f t="shared" si="6"/>
        <v>0.5</v>
      </c>
      <c r="U55" s="19"/>
      <c r="V55" s="14">
        <f t="shared" si="7"/>
        <v>67</v>
      </c>
      <c r="W55" s="14">
        <f t="shared" si="8"/>
        <v>26</v>
      </c>
      <c r="X55" s="20">
        <f t="shared" si="9"/>
        <v>0.27956989247311825</v>
      </c>
      <c r="Y55" s="16"/>
      <c r="Z55" s="16"/>
      <c r="AA55" s="16"/>
      <c r="AB55" s="16"/>
      <c r="AC55" s="16"/>
      <c r="AD55" s="16"/>
      <c r="AE55" s="16"/>
      <c r="AF55" s="16"/>
      <c r="AG55" s="16"/>
    </row>
    <row r="56" spans="1:33" s="6" customFormat="1" ht="15" customHeight="1" thickBot="1" x14ac:dyDescent="0.4">
      <c r="A56" s="23" t="s">
        <v>58</v>
      </c>
      <c r="B56" s="19">
        <v>184</v>
      </c>
      <c r="C56" s="19">
        <v>22</v>
      </c>
      <c r="D56" s="20">
        <f t="shared" si="0"/>
        <v>0.10679611650485436</v>
      </c>
      <c r="E56" s="24"/>
      <c r="F56" s="19">
        <v>0</v>
      </c>
      <c r="G56" s="19">
        <v>0</v>
      </c>
      <c r="H56" s="20" t="str">
        <f t="shared" si="1"/>
        <v>-</v>
      </c>
      <c r="I56" s="24"/>
      <c r="J56" s="14">
        <f t="shared" si="2"/>
        <v>184</v>
      </c>
      <c r="K56" s="14">
        <f t="shared" si="3"/>
        <v>22</v>
      </c>
      <c r="L56" s="20">
        <f t="shared" si="4"/>
        <v>0.10679611650485436</v>
      </c>
      <c r="M56" s="24"/>
      <c r="N56" s="19">
        <v>7</v>
      </c>
      <c r="O56" s="19">
        <v>13</v>
      </c>
      <c r="P56" s="20">
        <f t="shared" si="5"/>
        <v>0.65</v>
      </c>
      <c r="Q56" s="24"/>
      <c r="R56" s="19">
        <v>33</v>
      </c>
      <c r="S56" s="19">
        <v>41</v>
      </c>
      <c r="T56" s="20">
        <f t="shared" si="6"/>
        <v>0.55405405405405406</v>
      </c>
      <c r="U56" s="24"/>
      <c r="V56" s="14">
        <f t="shared" si="7"/>
        <v>224</v>
      </c>
      <c r="W56" s="14">
        <f t="shared" si="8"/>
        <v>76</v>
      </c>
      <c r="X56" s="20">
        <f t="shared" si="9"/>
        <v>0.25333333333333335</v>
      </c>
      <c r="Y56" s="16"/>
      <c r="Z56" s="16"/>
      <c r="AA56" s="16"/>
      <c r="AB56" s="16"/>
      <c r="AC56" s="16"/>
      <c r="AD56" s="16"/>
      <c r="AE56" s="16"/>
      <c r="AF56" s="16"/>
      <c r="AG56" s="16"/>
    </row>
    <row r="57" spans="1:33" s="6" customFormat="1" ht="15" customHeight="1" x14ac:dyDescent="0.35">
      <c r="A57" s="5"/>
      <c r="B57" s="5"/>
      <c r="C57" s="5"/>
      <c r="D57" s="5"/>
      <c r="E57" s="5"/>
      <c r="F57" s="5"/>
      <c r="G57" s="5"/>
      <c r="H57" s="5"/>
      <c r="I57" s="5"/>
      <c r="J57" s="5"/>
      <c r="K57" s="5"/>
      <c r="L57" s="5"/>
      <c r="M57" s="5"/>
      <c r="N57" s="5"/>
      <c r="O57" s="5"/>
      <c r="P57" s="5"/>
      <c r="Q57" s="5"/>
      <c r="R57" s="5"/>
      <c r="S57" s="5"/>
      <c r="T57" s="5"/>
      <c r="U57" s="5"/>
      <c r="V57" s="5"/>
      <c r="W57" s="5"/>
      <c r="X57" s="5"/>
      <c r="Y57" s="16"/>
      <c r="Z57" s="16"/>
      <c r="AA57" s="16"/>
      <c r="AB57" s="16"/>
      <c r="AC57" s="16"/>
      <c r="AD57" s="16"/>
      <c r="AE57" s="16"/>
      <c r="AF57" s="16"/>
      <c r="AG57" s="16"/>
    </row>
    <row r="58" spans="1:33" x14ac:dyDescent="0.35">
      <c r="A58" s="78" t="s">
        <v>59</v>
      </c>
      <c r="B58" s="78"/>
      <c r="C58" s="78"/>
      <c r="D58" s="78"/>
      <c r="E58" s="78"/>
      <c r="F58" s="78"/>
      <c r="G58" s="78"/>
      <c r="H58" s="78"/>
      <c r="I58" s="78"/>
      <c r="J58" s="78"/>
      <c r="K58" s="78"/>
      <c r="L58" s="78"/>
      <c r="M58" s="78"/>
      <c r="N58" s="78"/>
      <c r="O58" s="78"/>
      <c r="P58" s="78"/>
      <c r="Q58" s="78"/>
      <c r="R58" s="78"/>
      <c r="S58" s="78"/>
      <c r="T58" s="78"/>
      <c r="U58" s="78"/>
      <c r="V58" s="78"/>
      <c r="W58" s="78"/>
      <c r="X58" s="78"/>
    </row>
    <row r="59" spans="1:33" x14ac:dyDescent="0.35">
      <c r="A59" s="32" t="s">
        <v>69</v>
      </c>
      <c r="B59" s="32"/>
      <c r="C59" s="32"/>
      <c r="D59" s="32"/>
      <c r="E59" s="32"/>
      <c r="F59" s="32"/>
      <c r="G59" s="32"/>
      <c r="H59" s="32"/>
      <c r="I59" s="32"/>
      <c r="J59" s="32"/>
      <c r="K59" s="32"/>
      <c r="L59" s="32"/>
      <c r="M59" s="32"/>
      <c r="N59" s="32"/>
      <c r="O59" s="32"/>
      <c r="P59" s="32"/>
      <c r="Q59" s="32"/>
      <c r="R59" s="32"/>
      <c r="S59" s="32"/>
      <c r="T59" s="32"/>
      <c r="U59" s="32"/>
      <c r="V59" s="32"/>
      <c r="W59" s="32"/>
      <c r="X59" s="32"/>
    </row>
    <row r="60" spans="1:33" x14ac:dyDescent="0.35">
      <c r="A60" s="79"/>
      <c r="B60" s="79"/>
      <c r="C60" s="79"/>
      <c r="D60" s="79"/>
      <c r="E60" s="79"/>
      <c r="F60" s="79"/>
      <c r="G60" s="79"/>
      <c r="H60" s="79"/>
      <c r="I60" s="79"/>
      <c r="J60" s="79"/>
      <c r="K60" s="79"/>
      <c r="L60" s="79"/>
      <c r="M60" s="79"/>
      <c r="N60" s="79"/>
      <c r="O60" s="79"/>
      <c r="P60" s="79"/>
      <c r="Q60" s="79"/>
      <c r="R60" s="79"/>
      <c r="S60" s="79"/>
      <c r="T60" s="79"/>
      <c r="U60" s="79"/>
      <c r="V60" s="79"/>
      <c r="W60" s="79"/>
      <c r="X60" s="79"/>
    </row>
    <row r="61" spans="1:33" x14ac:dyDescent="0.35">
      <c r="A61" s="28" t="s">
        <v>60</v>
      </c>
    </row>
    <row r="62" spans="1:33" x14ac:dyDescent="0.35">
      <c r="A62" s="80" t="s">
        <v>61</v>
      </c>
      <c r="B62" s="80"/>
      <c r="C62" s="80"/>
      <c r="D62" s="80"/>
      <c r="E62" s="80"/>
      <c r="F62" s="80"/>
      <c r="G62" s="80"/>
      <c r="H62" s="80"/>
      <c r="I62" s="80"/>
      <c r="J62" s="80"/>
      <c r="K62" s="80"/>
      <c r="L62" s="80"/>
      <c r="M62" s="80"/>
      <c r="N62" s="80"/>
      <c r="O62" s="80"/>
      <c r="P62" s="80"/>
      <c r="Q62" s="80"/>
      <c r="R62" s="80"/>
      <c r="S62" s="80"/>
      <c r="T62" s="80"/>
      <c r="U62" s="80"/>
      <c r="V62" s="80"/>
      <c r="W62" s="80"/>
      <c r="X62" s="80"/>
    </row>
    <row r="64" spans="1:33" x14ac:dyDescent="0.35">
      <c r="A64" s="5" t="s">
        <v>62</v>
      </c>
      <c r="B64" s="29"/>
      <c r="C64" s="29"/>
      <c r="D64" s="29"/>
      <c r="E64" s="29"/>
      <c r="F64" s="29"/>
      <c r="G64" s="29"/>
      <c r="H64" s="29"/>
      <c r="I64" s="29"/>
      <c r="J64" s="29"/>
      <c r="K64" s="29"/>
      <c r="L64" s="29"/>
      <c r="M64" s="29"/>
      <c r="N64" s="29"/>
      <c r="O64" s="29"/>
      <c r="P64" s="29"/>
      <c r="Q64" s="29"/>
      <c r="R64" s="29"/>
      <c r="S64" s="29"/>
      <c r="T64" s="29"/>
      <c r="U64" s="29"/>
      <c r="V64" s="29"/>
      <c r="W64" s="29"/>
      <c r="X64" s="29"/>
    </row>
    <row r="65" spans="1:24" x14ac:dyDescent="0.35">
      <c r="A65" s="30" t="s">
        <v>63</v>
      </c>
      <c r="B65" s="29"/>
      <c r="C65" s="29"/>
      <c r="D65" s="29"/>
      <c r="E65" s="29"/>
      <c r="F65" s="29"/>
      <c r="G65" s="29"/>
      <c r="H65" s="29"/>
      <c r="I65" s="29"/>
      <c r="J65" s="29"/>
      <c r="K65" s="29"/>
      <c r="L65" s="29"/>
      <c r="M65" s="29"/>
      <c r="N65" s="29"/>
      <c r="O65" s="29"/>
      <c r="P65" s="29"/>
      <c r="Q65" s="29"/>
      <c r="R65" s="29"/>
      <c r="S65" s="29"/>
      <c r="T65" s="29"/>
      <c r="U65" s="29"/>
      <c r="V65" s="29"/>
      <c r="W65" s="29"/>
      <c r="X65" s="29"/>
    </row>
    <row r="67" spans="1:24" x14ac:dyDescent="0.35">
      <c r="A67" s="78" t="s">
        <v>64</v>
      </c>
      <c r="B67" s="78"/>
      <c r="C67" s="78"/>
      <c r="D67" s="78"/>
      <c r="E67" s="78"/>
      <c r="F67" s="78"/>
      <c r="G67" s="78"/>
      <c r="H67" s="78"/>
      <c r="I67" s="78"/>
      <c r="J67" s="78"/>
      <c r="K67" s="78"/>
      <c r="L67" s="78"/>
      <c r="M67" s="78"/>
      <c r="N67" s="78"/>
      <c r="O67" s="78"/>
      <c r="P67" s="78"/>
      <c r="Q67" s="78"/>
      <c r="R67" s="78"/>
      <c r="S67" s="78"/>
      <c r="T67" s="78"/>
      <c r="U67" s="78"/>
      <c r="V67" s="78"/>
      <c r="W67" s="78"/>
      <c r="X67" s="78"/>
    </row>
    <row r="68" spans="1:24" x14ac:dyDescent="0.35">
      <c r="A68" s="30"/>
      <c r="X68" s="6"/>
    </row>
    <row r="69" spans="1:24" x14ac:dyDescent="0.35">
      <c r="A69" s="5" t="s">
        <v>65</v>
      </c>
      <c r="X69" s="37" t="s">
        <v>66</v>
      </c>
    </row>
    <row r="70" spans="1:24" x14ac:dyDescent="0.35">
      <c r="A70" s="30" t="s">
        <v>67</v>
      </c>
      <c r="X70" s="31" t="s">
        <v>68</v>
      </c>
    </row>
  </sheetData>
  <mergeCells count="11">
    <mergeCell ref="A58:X58"/>
    <mergeCell ref="A60:X60"/>
    <mergeCell ref="A62:X62"/>
    <mergeCell ref="A67:X67"/>
    <mergeCell ref="A1:X1"/>
    <mergeCell ref="B6:D6"/>
    <mergeCell ref="F6:H6"/>
    <mergeCell ref="J6:L6"/>
    <mergeCell ref="N6:P6"/>
    <mergeCell ref="R6:T6"/>
    <mergeCell ref="V6:X6"/>
  </mergeCells>
  <hyperlinks>
    <hyperlink ref="A65" r:id="rId1" xr:uid="{00000000-0004-0000-0100-000000000000}"/>
    <hyperlink ref="A70" r:id="rId2" xr:uid="{00000000-0004-0000-0100-000001000000}"/>
    <hyperlink ref="X69" r:id="rId3" xr:uid="{00000000-0004-0000-0100-00000200000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E3C6B-06E2-43A6-8702-8D99D68B61DF}">
  <sheetPr codeName="Sheet8"/>
  <dimension ref="A1:AH70"/>
  <sheetViews>
    <sheetView workbookViewId="0">
      <selection activeCell="A4" sqref="A4:L4"/>
    </sheetView>
  </sheetViews>
  <sheetFormatPr defaultColWidth="9.1796875" defaultRowHeight="14.5" x14ac:dyDescent="0.35"/>
  <cols>
    <col min="1" max="1" width="50.7265625" style="5" customWidth="1"/>
    <col min="2" max="3" width="8.7265625" style="5" customWidth="1"/>
    <col min="4" max="4" width="12.7265625" style="5" customWidth="1"/>
    <col min="5" max="5" width="2.7265625" style="5" customWidth="1"/>
    <col min="6" max="7" width="8.7265625" style="5" customWidth="1"/>
    <col min="8" max="8" width="12.7265625" style="5" customWidth="1"/>
    <col min="9" max="9" width="2.7265625" style="5" customWidth="1"/>
    <col min="10" max="11" width="8.7265625" style="5" customWidth="1"/>
    <col min="12" max="12" width="12.7265625" style="5" customWidth="1"/>
    <col min="13" max="13" width="7.7265625" style="5" customWidth="1"/>
    <col min="14" max="15" width="8.7265625" style="5" customWidth="1"/>
    <col min="16" max="16" width="12.7265625" style="5" customWidth="1"/>
    <col min="17" max="17" width="2.7265625" style="5" customWidth="1"/>
    <col min="18" max="19" width="8.7265625" style="5" customWidth="1"/>
    <col min="20" max="20" width="12.7265625" style="5" customWidth="1"/>
    <col min="21" max="21" width="2.7265625" style="5" customWidth="1"/>
    <col min="22" max="23" width="8.7265625" style="5" customWidth="1"/>
    <col min="24" max="24" width="12.7265625" style="5" customWidth="1"/>
    <col min="25" max="16384" width="9.1796875" style="5"/>
  </cols>
  <sheetData>
    <row r="1" spans="1:34" s="1" customFormat="1" ht="23.25" customHeight="1" x14ac:dyDescent="0.5">
      <c r="A1" s="81" t="s">
        <v>71</v>
      </c>
      <c r="B1" s="81"/>
      <c r="C1" s="81"/>
      <c r="D1" s="81"/>
      <c r="E1" s="81"/>
      <c r="F1" s="81"/>
      <c r="G1" s="81"/>
      <c r="H1" s="81"/>
      <c r="I1" s="81"/>
      <c r="J1" s="81"/>
      <c r="K1" s="81"/>
      <c r="L1" s="81"/>
      <c r="M1" s="81"/>
      <c r="N1" s="81"/>
      <c r="O1" s="81"/>
      <c r="P1" s="81"/>
      <c r="Q1" s="81"/>
      <c r="R1" s="81"/>
      <c r="S1" s="81"/>
      <c r="T1" s="81"/>
      <c r="U1" s="81"/>
      <c r="V1" s="81"/>
      <c r="W1" s="81"/>
      <c r="X1" s="81"/>
    </row>
    <row r="2" spans="1:34" s="4" customFormat="1" x14ac:dyDescent="0.35">
      <c r="A2" s="2"/>
      <c r="B2" s="3"/>
      <c r="C2" s="3"/>
      <c r="D2" s="3"/>
      <c r="E2" s="3"/>
      <c r="F2" s="3"/>
      <c r="G2" s="3"/>
      <c r="H2" s="3"/>
      <c r="I2" s="3"/>
      <c r="J2" s="3"/>
      <c r="K2" s="3"/>
      <c r="L2" s="3"/>
      <c r="M2" s="3"/>
      <c r="N2" s="3"/>
      <c r="O2" s="3"/>
      <c r="P2" s="3"/>
      <c r="Q2" s="3"/>
      <c r="R2" s="3"/>
      <c r="S2" s="3"/>
      <c r="T2" s="3"/>
      <c r="U2" s="3"/>
      <c r="V2" s="3"/>
      <c r="W2" s="3"/>
      <c r="X2" s="3"/>
    </row>
    <row r="3" spans="1:34" s="4" customFormat="1" x14ac:dyDescent="0.35">
      <c r="A3" s="2"/>
      <c r="B3" s="3"/>
      <c r="C3" s="3"/>
      <c r="D3" s="3"/>
      <c r="E3" s="3"/>
      <c r="F3" s="3"/>
      <c r="G3" s="3"/>
      <c r="H3" s="3"/>
      <c r="I3" s="3"/>
      <c r="J3" s="3"/>
      <c r="K3" s="3"/>
      <c r="L3" s="3"/>
      <c r="M3" s="3"/>
      <c r="N3" s="3"/>
      <c r="O3" s="3"/>
      <c r="P3" s="3"/>
      <c r="Q3" s="3"/>
      <c r="R3" s="3"/>
      <c r="S3" s="3"/>
      <c r="T3" s="3"/>
      <c r="U3" s="3"/>
      <c r="V3" s="3"/>
      <c r="W3" s="3"/>
      <c r="X3" s="3"/>
    </row>
    <row r="4" spans="1:34" s="4" customFormat="1" x14ac:dyDescent="0.35">
      <c r="A4" s="2"/>
      <c r="B4" s="3"/>
      <c r="C4" s="3"/>
      <c r="D4" s="3"/>
      <c r="E4" s="3"/>
      <c r="F4" s="3"/>
      <c r="G4" s="3"/>
      <c r="H4" s="3"/>
      <c r="I4" s="3"/>
      <c r="J4" s="3"/>
      <c r="K4" s="3"/>
      <c r="L4" s="3"/>
      <c r="M4" s="3"/>
      <c r="N4" s="3"/>
      <c r="O4" s="3"/>
      <c r="P4" s="3"/>
      <c r="Q4" s="3"/>
      <c r="R4" s="3"/>
      <c r="S4" s="3"/>
      <c r="T4" s="3"/>
      <c r="U4" s="3"/>
      <c r="V4" s="3"/>
      <c r="W4" s="3"/>
      <c r="X4" s="3"/>
    </row>
    <row r="5" spans="1:34" s="4" customFormat="1" x14ac:dyDescent="0.35">
      <c r="A5" s="2"/>
      <c r="B5" s="3"/>
      <c r="C5" s="3"/>
      <c r="D5" s="3"/>
      <c r="E5" s="3"/>
      <c r="F5" s="3"/>
      <c r="G5" s="3"/>
      <c r="H5" s="3"/>
      <c r="I5" s="3"/>
      <c r="J5" s="3"/>
      <c r="K5" s="3"/>
      <c r="L5" s="3"/>
      <c r="M5" s="3"/>
      <c r="N5" s="3"/>
      <c r="O5" s="3"/>
      <c r="P5" s="3"/>
      <c r="Q5" s="3"/>
      <c r="R5" s="3"/>
      <c r="S5" s="3"/>
      <c r="T5" s="3"/>
      <c r="U5" s="3"/>
      <c r="V5" s="3"/>
      <c r="W5" s="3"/>
      <c r="X5" s="3"/>
    </row>
    <row r="6" spans="1:34" s="6" customFormat="1" ht="15.75" customHeight="1" thickBot="1" x14ac:dyDescent="0.4">
      <c r="A6" s="5"/>
      <c r="B6" s="82" t="s">
        <v>89</v>
      </c>
      <c r="C6" s="82"/>
      <c r="D6" s="82"/>
      <c r="E6" s="3"/>
      <c r="F6" s="82" t="s">
        <v>96</v>
      </c>
      <c r="G6" s="82"/>
      <c r="H6" s="82"/>
      <c r="I6" s="3"/>
      <c r="J6" s="83" t="s">
        <v>2</v>
      </c>
      <c r="K6" s="83"/>
      <c r="L6" s="83"/>
      <c r="M6" s="3"/>
      <c r="N6" s="82" t="s">
        <v>3</v>
      </c>
      <c r="O6" s="82"/>
      <c r="P6" s="82"/>
      <c r="Q6" s="3"/>
      <c r="R6" s="82" t="s">
        <v>4</v>
      </c>
      <c r="S6" s="82"/>
      <c r="T6" s="82"/>
      <c r="U6" s="3"/>
      <c r="V6" s="83" t="s">
        <v>5</v>
      </c>
      <c r="W6" s="83"/>
      <c r="X6" s="83"/>
    </row>
    <row r="7" spans="1:34" s="12" customFormat="1" ht="44" thickBot="1" x14ac:dyDescent="0.4">
      <c r="A7" s="7" t="s">
        <v>6</v>
      </c>
      <c r="B7" s="63" t="s">
        <v>7</v>
      </c>
      <c r="C7" s="63" t="s">
        <v>8</v>
      </c>
      <c r="D7" s="9" t="s">
        <v>9</v>
      </c>
      <c r="E7" s="63"/>
      <c r="F7" s="63" t="s">
        <v>7</v>
      </c>
      <c r="G7" s="63" t="s">
        <v>8</v>
      </c>
      <c r="H7" s="9" t="s">
        <v>9</v>
      </c>
      <c r="I7" s="63"/>
      <c r="J7" s="64" t="s">
        <v>7</v>
      </c>
      <c r="K7" s="64" t="s">
        <v>8</v>
      </c>
      <c r="L7" s="11" t="s">
        <v>9</v>
      </c>
      <c r="M7" s="63"/>
      <c r="N7" s="63" t="s">
        <v>7</v>
      </c>
      <c r="O7" s="63" t="s">
        <v>8</v>
      </c>
      <c r="P7" s="9" t="s">
        <v>9</v>
      </c>
      <c r="Q7" s="63"/>
      <c r="R7" s="63" t="s">
        <v>7</v>
      </c>
      <c r="S7" s="63" t="s">
        <v>8</v>
      </c>
      <c r="T7" s="9" t="s">
        <v>9</v>
      </c>
      <c r="U7" s="63"/>
      <c r="V7" s="64" t="s">
        <v>7</v>
      </c>
      <c r="W7" s="64" t="s">
        <v>8</v>
      </c>
      <c r="X7" s="11" t="s">
        <v>9</v>
      </c>
    </row>
    <row r="8" spans="1:34" s="6" customFormat="1" ht="15" customHeight="1" x14ac:dyDescent="0.35">
      <c r="A8" s="13" t="s">
        <v>10</v>
      </c>
      <c r="B8" s="14">
        <f>B9+B49</f>
        <v>1320</v>
      </c>
      <c r="C8" s="14">
        <f>C9+C49</f>
        <v>274</v>
      </c>
      <c r="D8" s="15">
        <f>IF(B8+C8=0,"-",(C8/(B8+C8)))</f>
        <v>0.17189460476787954</v>
      </c>
      <c r="E8" s="14"/>
      <c r="F8" s="14">
        <f>F9+F49</f>
        <v>1333</v>
      </c>
      <c r="G8" s="14">
        <f>G9+G49</f>
        <v>254</v>
      </c>
      <c r="H8" s="15">
        <f>IF(F8+G8=0,"-",(G8/(F8+G8)))</f>
        <v>0.1600504095778198</v>
      </c>
      <c r="I8" s="14"/>
      <c r="J8" s="14">
        <f>J9+J49</f>
        <v>2653</v>
      </c>
      <c r="K8" s="14">
        <f>K9+K49</f>
        <v>528</v>
      </c>
      <c r="L8" s="15">
        <f>IF(J8+K8=0,"-",(K8/(J8+K8)))</f>
        <v>0.16598553913863565</v>
      </c>
      <c r="M8" s="14"/>
      <c r="N8" s="14">
        <f>N9+N49</f>
        <v>28</v>
      </c>
      <c r="O8" s="14">
        <f>O9+O49</f>
        <v>64</v>
      </c>
      <c r="P8" s="15">
        <f>IF(N8+O8=0,"-",(O8/(N8+O8)))</f>
        <v>0.69565217391304346</v>
      </c>
      <c r="Q8" s="14"/>
      <c r="R8" s="14">
        <f>R9+R49</f>
        <v>459</v>
      </c>
      <c r="S8" s="14">
        <f>S9+S49</f>
        <v>523</v>
      </c>
      <c r="T8" s="15">
        <f>IF(R8+S8=0,"-",(S8/(R8+S8)))</f>
        <v>0.53258655804480648</v>
      </c>
      <c r="U8" s="14"/>
      <c r="V8" s="14">
        <f>V9+V49</f>
        <v>3140</v>
      </c>
      <c r="W8" s="14">
        <f>W9+W49</f>
        <v>1115</v>
      </c>
      <c r="X8" s="15">
        <f>IF(V8+W8=0,"-",(W8/(V8+W8)))</f>
        <v>0.26204465334900118</v>
      </c>
      <c r="Y8" s="16"/>
      <c r="Z8" s="16"/>
      <c r="AA8" s="16"/>
      <c r="AB8" s="16"/>
      <c r="AC8" s="16"/>
      <c r="AD8" s="16"/>
      <c r="AE8" s="16"/>
      <c r="AF8" s="16"/>
      <c r="AG8" s="16"/>
      <c r="AH8" s="17"/>
    </row>
    <row r="9" spans="1:34" s="6" customFormat="1" ht="15" customHeight="1" x14ac:dyDescent="0.35">
      <c r="A9" s="18" t="s">
        <v>11</v>
      </c>
      <c r="B9" s="14">
        <f>SUM(B10:B48)</f>
        <v>629</v>
      </c>
      <c r="C9" s="14">
        <f>SUM(C10:C48)</f>
        <v>156</v>
      </c>
      <c r="D9" s="15">
        <f>IF(B9+C9=0,"-",(C9/(B9+C9)))</f>
        <v>0.19872611464968154</v>
      </c>
      <c r="E9" s="14"/>
      <c r="F9" s="14">
        <f>SUM(F10:F48)</f>
        <v>1292</v>
      </c>
      <c r="G9" s="14">
        <f>SUM(G10:G48)</f>
        <v>247</v>
      </c>
      <c r="H9" s="15">
        <f>IF(F9+G9=0,"-",(G9/(F9+G9)))</f>
        <v>0.16049382716049382</v>
      </c>
      <c r="I9" s="14"/>
      <c r="J9" s="14">
        <f>SUM(J10:J48)</f>
        <v>1921</v>
      </c>
      <c r="K9" s="14">
        <f>SUM(K10:K48)</f>
        <v>403</v>
      </c>
      <c r="L9" s="15">
        <f>IF(J9+K9=0,"-",(K9/(J9+K9)))</f>
        <v>0.173407917383821</v>
      </c>
      <c r="M9" s="14"/>
      <c r="N9" s="14">
        <f>SUM(N10:N48)</f>
        <v>23</v>
      </c>
      <c r="O9" s="14">
        <f>SUM(O10:O48)</f>
        <v>47</v>
      </c>
      <c r="P9" s="15">
        <f>IF(N9+O9=0,"-",(O9/(N9+O9)))</f>
        <v>0.67142857142857137</v>
      </c>
      <c r="Q9" s="14"/>
      <c r="R9" s="14">
        <f>SUM(R10:R48)</f>
        <v>308</v>
      </c>
      <c r="S9" s="14">
        <f>SUM(S10:S48)</f>
        <v>340</v>
      </c>
      <c r="T9" s="15">
        <f>IF(R9+S9=0,"-",(S9/(R9+S9)))</f>
        <v>0.52469135802469136</v>
      </c>
      <c r="U9" s="14"/>
      <c r="V9" s="14">
        <f>SUM(V10:V48)</f>
        <v>2252</v>
      </c>
      <c r="W9" s="14">
        <f>SUM(W10:W48)</f>
        <v>790</v>
      </c>
      <c r="X9" s="15">
        <f>IF(V9+W9=0,"-",(W9/(V9+W9)))</f>
        <v>0.25969756738987509</v>
      </c>
      <c r="Y9" s="16"/>
      <c r="Z9" s="16"/>
      <c r="AA9" s="16"/>
      <c r="AB9" s="16"/>
      <c r="AC9" s="16"/>
      <c r="AD9" s="16"/>
      <c r="AE9" s="16"/>
      <c r="AF9" s="16"/>
      <c r="AG9" s="16"/>
    </row>
    <row r="10" spans="1:34" s="6" customFormat="1" ht="15" customHeight="1" x14ac:dyDescent="0.35">
      <c r="A10" s="5" t="s">
        <v>12</v>
      </c>
      <c r="B10" s="19">
        <f>SUMPRODUCT((raw!$B$2:$B$369='(2018-19)'!$A10)*(raw!$E$2:$E$369='(2018-19)'!$B$6:$D$6)*(raw!$F$2:$F$369='(2018-19)'!B$7)*(raw!$G$2:$G$369))</f>
        <v>12</v>
      </c>
      <c r="C10" s="19">
        <f>SUMPRODUCT((raw!$B$2:$B$369='(2018-19)'!$A10)*(raw!$E$2:$E$369='(2018-19)'!$B$6:$D$6)*(raw!$F$2:$F$369='(2018-19)'!C$7)*(raw!$G$2:$G$369))</f>
        <v>3</v>
      </c>
      <c r="D10" s="20">
        <f>IF(B10+C10=0,"-",(C10/(B10+C10)))</f>
        <v>0.2</v>
      </c>
      <c r="E10" s="19"/>
      <c r="F10" s="19">
        <f>SUMPRODUCT((raw!$B$2:$B$369='(2018-19)'!$A10)*(raw!$E$2:$E$369='(2018-19)'!$F$6)*(raw!$F$2:$F$369='(2018-19)'!F$7)*(raw!$G$2:$G$369))</f>
        <v>17</v>
      </c>
      <c r="G10" s="19">
        <f>SUMPRODUCT((raw!$B$2:$B$369='(2018-19)'!$A10)*(raw!$E$2:$E$369='(2018-19)'!$F$6)*(raw!$F$2:$F$369='(2018-19)'!G$7)*(raw!$G$2:$G$369))</f>
        <v>2</v>
      </c>
      <c r="H10" s="20">
        <f>IF(F10+G10=0,"-",(G10/(F10+G10)))</f>
        <v>0.10526315789473684</v>
      </c>
      <c r="I10" s="19"/>
      <c r="J10" s="14">
        <f>B10+F10</f>
        <v>29</v>
      </c>
      <c r="K10" s="14">
        <f>C10+G10</f>
        <v>5</v>
      </c>
      <c r="L10" s="20">
        <f>IF(J10+K10=0,"-",(K10/(J10+K10)))</f>
        <v>0.14705882352941177</v>
      </c>
      <c r="M10" s="19"/>
      <c r="N10" s="19">
        <f>SUMPRODUCT((raw!$B$2:$B$369='(2018-19)'!$A10)*(raw!$E$2:$E$369='(2018-19)'!$N$6)*(raw!$F$2:$F$369='(2018-19)'!N$7)*(raw!$G$2:$G$369))</f>
        <v>0</v>
      </c>
      <c r="O10" s="19">
        <f>SUMPRODUCT((raw!$B$2:$B$369='(2018-19)'!$A10)*(raw!$E$2:$E$369='(2018-19)'!$N$6)*(raw!$F$2:$F$369='(2018-19)'!O$7)*(raw!$G$2:$G$369))</f>
        <v>3</v>
      </c>
      <c r="P10" s="20">
        <f>IF(N10+O10=0,"-",(O10/(N10+O10)))</f>
        <v>1</v>
      </c>
      <c r="Q10" s="19"/>
      <c r="R10" s="19">
        <f>SUMPRODUCT((raw!$B$2:$B$369='(2018-19)'!$A10)*(raw!$E$2:$E$369='(2018-19)'!$R$6)*(raw!$F$2:$F$369='(2018-19)'!R$7)*(raw!$G$2:$G$369))</f>
        <v>10</v>
      </c>
      <c r="S10" s="19">
        <f>SUMPRODUCT((raw!$B$2:$B$369='(2018-19)'!$A10)*(raw!$E$2:$E$369='(2018-19)'!$R$6)*(raw!$F$2:$F$369='(2018-19)'!S$7)*(raw!$G$2:$G$369))</f>
        <v>15</v>
      </c>
      <c r="T10" s="20">
        <f>IF(R10+S10=0,"-",(S10/(R10+S10)))</f>
        <v>0.6</v>
      </c>
      <c r="U10" s="19"/>
      <c r="V10" s="14">
        <f>J10+N10+R10</f>
        <v>39</v>
      </c>
      <c r="W10" s="14">
        <f>K10+O10+S10</f>
        <v>23</v>
      </c>
      <c r="X10" s="20">
        <f>IF(V10+W10=0,"-",(W10/(V10+W10)))</f>
        <v>0.37096774193548387</v>
      </c>
      <c r="Y10" s="16"/>
      <c r="Z10" s="16"/>
      <c r="AA10" s="16"/>
      <c r="AB10" s="16"/>
      <c r="AC10" s="16"/>
      <c r="AD10" s="16"/>
      <c r="AE10" s="16"/>
      <c r="AF10" s="16"/>
      <c r="AG10" s="16"/>
    </row>
    <row r="11" spans="1:34" s="6" customFormat="1" ht="15" customHeight="1" x14ac:dyDescent="0.35">
      <c r="A11" s="5" t="s">
        <v>13</v>
      </c>
      <c r="B11" s="19">
        <f>SUMPRODUCT((raw!$B$2:$B$369='(2018-19)'!$A11)*(raw!$E$2:$E$369='(2018-19)'!$B$6:$D$6)*(raw!$F$2:$F$369='(2018-19)'!B$7)*(raw!$G$2:$G$369))</f>
        <v>17</v>
      </c>
      <c r="C11" s="19">
        <f>SUMPRODUCT((raw!$B$2:$B$369='(2018-19)'!$A11)*(raw!$E$2:$E$369='(2018-19)'!$B$6:$D$6)*(raw!$F$2:$F$369='(2018-19)'!C$7)*(raw!$G$2:$G$369))</f>
        <v>1</v>
      </c>
      <c r="D11" s="20">
        <f t="shared" ref="D11:D56" si="0">IF(B11+C11=0,"-",(C11/(B11+C11)))</f>
        <v>5.5555555555555552E-2</v>
      </c>
      <c r="E11" s="19"/>
      <c r="F11" s="19">
        <f>SUMPRODUCT((raw!$B$2:$B$369='(2018-19)'!$A11)*(raw!$E$2:$E$369='(2018-19)'!$F$6)*(raw!$F$2:$F$369='(2018-19)'!F$7)*(raw!$G$2:$G$369))</f>
        <v>24</v>
      </c>
      <c r="G11" s="19">
        <f>SUMPRODUCT((raw!$B$2:$B$369='(2018-19)'!$A11)*(raw!$E$2:$E$369='(2018-19)'!$F$6)*(raw!$F$2:$F$369='(2018-19)'!G$7)*(raw!$G$2:$G$369))</f>
        <v>2</v>
      </c>
      <c r="H11" s="20">
        <f t="shared" ref="H11:H56" si="1">IF(F11+G11=0,"-",(G11/(F11+G11)))</f>
        <v>7.6923076923076927E-2</v>
      </c>
      <c r="I11" s="19"/>
      <c r="J11" s="14">
        <f t="shared" ref="J11:K56" si="2">B11+F11</f>
        <v>41</v>
      </c>
      <c r="K11" s="14">
        <f t="shared" si="2"/>
        <v>3</v>
      </c>
      <c r="L11" s="20">
        <f t="shared" ref="L11:L56" si="3">IF(J11+K11=0,"-",(K11/(J11+K11)))</f>
        <v>6.8181818181818177E-2</v>
      </c>
      <c r="M11" s="19"/>
      <c r="N11" s="19">
        <f>SUMPRODUCT((raw!$B$2:$B$369='(2018-19)'!$A11)*(raw!$E$2:$E$369='(2018-19)'!$N$6)*(raw!$F$2:$F$369='(2018-19)'!N$7)*(raw!$G$2:$G$369))</f>
        <v>0</v>
      </c>
      <c r="O11" s="19">
        <f>SUMPRODUCT((raw!$B$2:$B$369='(2018-19)'!$A11)*(raw!$E$2:$E$369='(2018-19)'!$N$6)*(raw!$F$2:$F$369='(2018-19)'!O$7)*(raw!$G$2:$G$369))</f>
        <v>2</v>
      </c>
      <c r="P11" s="20">
        <f t="shared" ref="P11:P56" si="4">IF(N11+O11=0,"-",(O11/(N11+O11)))</f>
        <v>1</v>
      </c>
      <c r="Q11" s="19"/>
      <c r="R11" s="19">
        <f>SUMPRODUCT((raw!$B$2:$B$369='(2018-19)'!$A11)*(raw!$E$2:$E$369='(2018-19)'!$R$6)*(raw!$F$2:$F$369='(2018-19)'!R$7)*(raw!$G$2:$G$369))</f>
        <v>13</v>
      </c>
      <c r="S11" s="19">
        <f>SUMPRODUCT((raw!$B$2:$B$369='(2018-19)'!$A11)*(raw!$E$2:$E$369='(2018-19)'!$R$6)*(raw!$F$2:$F$369='(2018-19)'!S$7)*(raw!$G$2:$G$369))</f>
        <v>9</v>
      </c>
      <c r="T11" s="20">
        <f t="shared" ref="T11:T56" si="5">IF(R11+S11=0,"-",(S11/(R11+S11)))</f>
        <v>0.40909090909090912</v>
      </c>
      <c r="U11" s="19"/>
      <c r="V11" s="14">
        <f t="shared" ref="V11:W56" si="6">J11+N11+R11</f>
        <v>54</v>
      </c>
      <c r="W11" s="14">
        <f t="shared" si="6"/>
        <v>14</v>
      </c>
      <c r="X11" s="20">
        <f t="shared" ref="X11:X56" si="7">IF(V11+W11=0,"-",(W11/(V11+W11)))</f>
        <v>0.20588235294117646</v>
      </c>
      <c r="Y11" s="16"/>
      <c r="Z11" s="16"/>
      <c r="AA11" s="16"/>
      <c r="AB11" s="16"/>
      <c r="AC11" s="16"/>
      <c r="AD11" s="16"/>
      <c r="AE11" s="16"/>
      <c r="AF11" s="16"/>
      <c r="AG11" s="16"/>
    </row>
    <row r="12" spans="1:34" s="6" customFormat="1" ht="15" customHeight="1" x14ac:dyDescent="0.35">
      <c r="A12" s="5" t="s">
        <v>14</v>
      </c>
      <c r="B12" s="19">
        <f>SUMPRODUCT((raw!$B$2:$B$369='(2018-19)'!$A12)*(raw!$E$2:$E$369='(2018-19)'!$B$6:$D$6)*(raw!$F$2:$F$369='(2018-19)'!B$7)*(raw!$G$2:$G$369))</f>
        <v>14</v>
      </c>
      <c r="C12" s="19">
        <f>SUMPRODUCT((raw!$B$2:$B$369='(2018-19)'!$A12)*(raw!$E$2:$E$369='(2018-19)'!$B$6:$D$6)*(raw!$F$2:$F$369='(2018-19)'!C$7)*(raw!$G$2:$G$369))</f>
        <v>0</v>
      </c>
      <c r="D12" s="20">
        <f t="shared" si="0"/>
        <v>0</v>
      </c>
      <c r="E12" s="19"/>
      <c r="F12" s="19">
        <f>SUMPRODUCT((raw!$B$2:$B$369='(2018-19)'!$A12)*(raw!$E$2:$E$369='(2018-19)'!$F$6)*(raw!$F$2:$F$369='(2018-19)'!F$7)*(raw!$G$2:$G$369))</f>
        <v>19</v>
      </c>
      <c r="G12" s="19">
        <f>SUMPRODUCT((raw!$B$2:$B$369='(2018-19)'!$A12)*(raw!$E$2:$E$369='(2018-19)'!$F$6)*(raw!$F$2:$F$369='(2018-19)'!G$7)*(raw!$G$2:$G$369))</f>
        <v>4</v>
      </c>
      <c r="H12" s="20">
        <f t="shared" si="1"/>
        <v>0.17391304347826086</v>
      </c>
      <c r="I12" s="19"/>
      <c r="J12" s="14">
        <f t="shared" si="2"/>
        <v>33</v>
      </c>
      <c r="K12" s="14">
        <f t="shared" si="2"/>
        <v>4</v>
      </c>
      <c r="L12" s="20">
        <f t="shared" si="3"/>
        <v>0.10810810810810811</v>
      </c>
      <c r="M12" s="19"/>
      <c r="N12" s="19">
        <f>SUMPRODUCT((raw!$B$2:$B$369='(2018-19)'!$A12)*(raw!$E$2:$E$369='(2018-19)'!$N$6)*(raw!$F$2:$F$369='(2018-19)'!N$7)*(raw!$G$2:$G$369))</f>
        <v>3</v>
      </c>
      <c r="O12" s="19">
        <f>SUMPRODUCT((raw!$B$2:$B$369='(2018-19)'!$A12)*(raw!$E$2:$E$369='(2018-19)'!$N$6)*(raw!$F$2:$F$369='(2018-19)'!O$7)*(raw!$G$2:$G$369))</f>
        <v>2</v>
      </c>
      <c r="P12" s="20">
        <f t="shared" si="4"/>
        <v>0.4</v>
      </c>
      <c r="Q12" s="19"/>
      <c r="R12" s="19">
        <f>SUMPRODUCT((raw!$B$2:$B$369='(2018-19)'!$A12)*(raw!$E$2:$E$369='(2018-19)'!$R$6)*(raw!$F$2:$F$369='(2018-19)'!R$7)*(raw!$G$2:$G$369))</f>
        <v>10</v>
      </c>
      <c r="S12" s="19">
        <f>SUMPRODUCT((raw!$B$2:$B$369='(2018-19)'!$A12)*(raw!$E$2:$E$369='(2018-19)'!$R$6)*(raw!$F$2:$F$369='(2018-19)'!S$7)*(raw!$G$2:$G$369))</f>
        <v>19</v>
      </c>
      <c r="T12" s="20">
        <f t="shared" si="5"/>
        <v>0.65517241379310343</v>
      </c>
      <c r="U12" s="19"/>
      <c r="V12" s="14">
        <f t="shared" si="6"/>
        <v>46</v>
      </c>
      <c r="W12" s="14">
        <f t="shared" si="6"/>
        <v>25</v>
      </c>
      <c r="X12" s="20">
        <f t="shared" si="7"/>
        <v>0.352112676056338</v>
      </c>
      <c r="Y12" s="16"/>
      <c r="Z12" s="16"/>
      <c r="AA12" s="16"/>
      <c r="AB12" s="16"/>
      <c r="AC12" s="16"/>
      <c r="AD12" s="16"/>
      <c r="AE12" s="16"/>
      <c r="AF12" s="16"/>
      <c r="AG12" s="16"/>
    </row>
    <row r="13" spans="1:34" s="6" customFormat="1" ht="15" customHeight="1" x14ac:dyDescent="0.35">
      <c r="A13" s="5" t="s">
        <v>15</v>
      </c>
      <c r="B13" s="19">
        <f>SUMPRODUCT((raw!$B$2:$B$369='(2018-19)'!$A13)*(raw!$E$2:$E$369='(2018-19)'!$B$6:$D$6)*(raw!$F$2:$F$369='(2018-19)'!B$7)*(raw!$G$2:$G$369))</f>
        <v>24</v>
      </c>
      <c r="C13" s="19">
        <f>SUMPRODUCT((raw!$B$2:$B$369='(2018-19)'!$A13)*(raw!$E$2:$E$369='(2018-19)'!$B$6:$D$6)*(raw!$F$2:$F$369='(2018-19)'!C$7)*(raw!$G$2:$G$369))</f>
        <v>4</v>
      </c>
      <c r="D13" s="20">
        <f t="shared" si="0"/>
        <v>0.14285714285714285</v>
      </c>
      <c r="E13" s="19"/>
      <c r="F13" s="19">
        <f>SUMPRODUCT((raw!$B$2:$B$369='(2018-19)'!$A13)*(raw!$E$2:$E$369='(2018-19)'!$F$6)*(raw!$F$2:$F$369='(2018-19)'!F$7)*(raw!$G$2:$G$369))</f>
        <v>16</v>
      </c>
      <c r="G13" s="19">
        <f>SUMPRODUCT((raw!$B$2:$B$369='(2018-19)'!$A13)*(raw!$E$2:$E$369='(2018-19)'!$F$6)*(raw!$F$2:$F$369='(2018-19)'!G$7)*(raw!$G$2:$G$369))</f>
        <v>3</v>
      </c>
      <c r="H13" s="20">
        <f t="shared" si="1"/>
        <v>0.15789473684210525</v>
      </c>
      <c r="I13" s="19"/>
      <c r="J13" s="14">
        <f t="shared" si="2"/>
        <v>40</v>
      </c>
      <c r="K13" s="14">
        <f t="shared" si="2"/>
        <v>7</v>
      </c>
      <c r="L13" s="20">
        <f t="shared" si="3"/>
        <v>0.14893617021276595</v>
      </c>
      <c r="M13" s="19"/>
      <c r="N13" s="19">
        <f>SUMPRODUCT((raw!$B$2:$B$369='(2018-19)'!$A13)*(raw!$E$2:$E$369='(2018-19)'!$N$6)*(raw!$F$2:$F$369='(2018-19)'!N$7)*(raw!$G$2:$G$369))</f>
        <v>0</v>
      </c>
      <c r="O13" s="19">
        <f>SUMPRODUCT((raw!$B$2:$B$369='(2018-19)'!$A13)*(raw!$E$2:$E$369='(2018-19)'!$N$6)*(raw!$F$2:$F$369='(2018-19)'!O$7)*(raw!$G$2:$G$369))</f>
        <v>0</v>
      </c>
      <c r="P13" s="20" t="str">
        <f t="shared" si="4"/>
        <v>-</v>
      </c>
      <c r="Q13" s="19"/>
      <c r="R13" s="19">
        <f>SUMPRODUCT((raw!$B$2:$B$369='(2018-19)'!$A13)*(raw!$E$2:$E$369='(2018-19)'!$R$6)*(raw!$F$2:$F$369='(2018-19)'!R$7)*(raw!$G$2:$G$369))</f>
        <v>2</v>
      </c>
      <c r="S13" s="19">
        <f>SUMPRODUCT((raw!$B$2:$B$369='(2018-19)'!$A13)*(raw!$E$2:$E$369='(2018-19)'!$R$6)*(raw!$F$2:$F$369='(2018-19)'!S$7)*(raw!$G$2:$G$369))</f>
        <v>4</v>
      </c>
      <c r="T13" s="20">
        <f t="shared" si="5"/>
        <v>0.66666666666666663</v>
      </c>
      <c r="U13" s="19"/>
      <c r="V13" s="14">
        <f t="shared" si="6"/>
        <v>42</v>
      </c>
      <c r="W13" s="14">
        <f t="shared" si="6"/>
        <v>11</v>
      </c>
      <c r="X13" s="20">
        <f t="shared" si="7"/>
        <v>0.20754716981132076</v>
      </c>
      <c r="Y13" s="16"/>
      <c r="Z13" s="16"/>
      <c r="AA13" s="16"/>
      <c r="AB13" s="16"/>
      <c r="AC13" s="16"/>
      <c r="AD13" s="16"/>
      <c r="AE13" s="16"/>
      <c r="AF13" s="16"/>
      <c r="AG13" s="16"/>
    </row>
    <row r="14" spans="1:34" s="6" customFormat="1" ht="15" customHeight="1" x14ac:dyDescent="0.35">
      <c r="A14" s="5" t="s">
        <v>16</v>
      </c>
      <c r="B14" s="19">
        <f>SUMPRODUCT((raw!$B$2:$B$369='(2018-19)'!$A14)*(raw!$E$2:$E$369='(2018-19)'!$B$6:$D$6)*(raw!$F$2:$F$369='(2018-19)'!B$7)*(raw!$G$2:$G$369))</f>
        <v>12</v>
      </c>
      <c r="C14" s="19">
        <f>SUMPRODUCT((raw!$B$2:$B$369='(2018-19)'!$A14)*(raw!$E$2:$E$369='(2018-19)'!$B$6:$D$6)*(raw!$F$2:$F$369='(2018-19)'!C$7)*(raw!$G$2:$G$369))</f>
        <v>2</v>
      </c>
      <c r="D14" s="20">
        <f t="shared" si="0"/>
        <v>0.14285714285714285</v>
      </c>
      <c r="E14" s="19"/>
      <c r="F14" s="19">
        <f>SUMPRODUCT((raw!$B$2:$B$369='(2018-19)'!$A14)*(raw!$E$2:$E$369='(2018-19)'!$F$6)*(raw!$F$2:$F$369='(2018-19)'!F$7)*(raw!$G$2:$G$369))</f>
        <v>34</v>
      </c>
      <c r="G14" s="19">
        <f>SUMPRODUCT((raw!$B$2:$B$369='(2018-19)'!$A14)*(raw!$E$2:$E$369='(2018-19)'!$F$6)*(raw!$F$2:$F$369='(2018-19)'!G$7)*(raw!$G$2:$G$369))</f>
        <v>2</v>
      </c>
      <c r="H14" s="20">
        <f t="shared" si="1"/>
        <v>5.5555555555555552E-2</v>
      </c>
      <c r="I14" s="19"/>
      <c r="J14" s="14">
        <f t="shared" si="2"/>
        <v>46</v>
      </c>
      <c r="K14" s="14">
        <f t="shared" si="2"/>
        <v>4</v>
      </c>
      <c r="L14" s="20">
        <f t="shared" si="3"/>
        <v>0.08</v>
      </c>
      <c r="M14" s="19"/>
      <c r="N14" s="19">
        <f>SUMPRODUCT((raw!$B$2:$B$369='(2018-19)'!$A14)*(raw!$E$2:$E$369='(2018-19)'!$N$6)*(raw!$F$2:$F$369='(2018-19)'!N$7)*(raw!$G$2:$G$369))</f>
        <v>2</v>
      </c>
      <c r="O14" s="19">
        <f>SUMPRODUCT((raw!$B$2:$B$369='(2018-19)'!$A14)*(raw!$E$2:$E$369='(2018-19)'!$N$6)*(raw!$F$2:$F$369='(2018-19)'!O$7)*(raw!$G$2:$G$369))</f>
        <v>10</v>
      </c>
      <c r="P14" s="20">
        <f t="shared" si="4"/>
        <v>0.83333333333333337</v>
      </c>
      <c r="Q14" s="19"/>
      <c r="R14" s="19">
        <f>SUMPRODUCT((raw!$B$2:$B$369='(2018-19)'!$A14)*(raw!$E$2:$E$369='(2018-19)'!$R$6)*(raw!$F$2:$F$369='(2018-19)'!R$7)*(raw!$G$2:$G$369))</f>
        <v>12</v>
      </c>
      <c r="S14" s="19">
        <f>SUMPRODUCT((raw!$B$2:$B$369='(2018-19)'!$A14)*(raw!$E$2:$E$369='(2018-19)'!$R$6)*(raw!$F$2:$F$369='(2018-19)'!S$7)*(raw!$G$2:$G$369))</f>
        <v>9</v>
      </c>
      <c r="T14" s="20">
        <f t="shared" si="5"/>
        <v>0.42857142857142855</v>
      </c>
      <c r="U14" s="19"/>
      <c r="V14" s="14">
        <f t="shared" si="6"/>
        <v>60</v>
      </c>
      <c r="W14" s="14">
        <f t="shared" si="6"/>
        <v>23</v>
      </c>
      <c r="X14" s="20">
        <f t="shared" si="7"/>
        <v>0.27710843373493976</v>
      </c>
      <c r="Y14" s="16"/>
      <c r="Z14" s="16"/>
      <c r="AA14" s="16"/>
      <c r="AB14" s="16"/>
      <c r="AC14" s="16"/>
      <c r="AD14" s="16"/>
      <c r="AE14" s="16"/>
      <c r="AF14" s="16"/>
      <c r="AG14" s="16"/>
    </row>
    <row r="15" spans="1:34" s="6" customFormat="1" ht="15" customHeight="1" x14ac:dyDescent="0.35">
      <c r="A15" s="5" t="s">
        <v>17</v>
      </c>
      <c r="B15" s="19">
        <f>SUMPRODUCT((raw!$B$2:$B$369='(2018-19)'!$A15)*(raw!$E$2:$E$369='(2018-19)'!$B$6:$D$6)*(raw!$F$2:$F$369='(2018-19)'!B$7)*(raw!$G$2:$G$369))</f>
        <v>44</v>
      </c>
      <c r="C15" s="19">
        <f>SUMPRODUCT((raw!$B$2:$B$369='(2018-19)'!$A15)*(raw!$E$2:$E$369='(2018-19)'!$B$6:$D$6)*(raw!$F$2:$F$369='(2018-19)'!C$7)*(raw!$G$2:$G$369))</f>
        <v>10</v>
      </c>
      <c r="D15" s="20">
        <f t="shared" si="0"/>
        <v>0.18518518518518517</v>
      </c>
      <c r="E15" s="19"/>
      <c r="F15" s="19">
        <f>SUMPRODUCT((raw!$B$2:$B$369='(2018-19)'!$A15)*(raw!$E$2:$E$369='(2018-19)'!$F$6)*(raw!$F$2:$F$369='(2018-19)'!F$7)*(raw!$G$2:$G$369))</f>
        <v>24</v>
      </c>
      <c r="G15" s="19">
        <f>SUMPRODUCT((raw!$B$2:$B$369='(2018-19)'!$A15)*(raw!$E$2:$E$369='(2018-19)'!$F$6)*(raw!$F$2:$F$369='(2018-19)'!G$7)*(raw!$G$2:$G$369))</f>
        <v>4</v>
      </c>
      <c r="H15" s="20">
        <f t="shared" si="1"/>
        <v>0.14285714285714285</v>
      </c>
      <c r="I15" s="19"/>
      <c r="J15" s="14">
        <f t="shared" si="2"/>
        <v>68</v>
      </c>
      <c r="K15" s="14">
        <f t="shared" si="2"/>
        <v>14</v>
      </c>
      <c r="L15" s="20">
        <f t="shared" si="3"/>
        <v>0.17073170731707318</v>
      </c>
      <c r="M15" s="19"/>
      <c r="N15" s="19">
        <f>SUMPRODUCT((raw!$B$2:$B$369='(2018-19)'!$A15)*(raw!$E$2:$E$369='(2018-19)'!$N$6)*(raw!$F$2:$F$369='(2018-19)'!N$7)*(raw!$G$2:$G$369))</f>
        <v>0</v>
      </c>
      <c r="O15" s="19">
        <f>SUMPRODUCT((raw!$B$2:$B$369='(2018-19)'!$A15)*(raw!$E$2:$E$369='(2018-19)'!$N$6)*(raw!$F$2:$F$369='(2018-19)'!O$7)*(raw!$G$2:$G$369))</f>
        <v>0</v>
      </c>
      <c r="P15" s="20" t="str">
        <f t="shared" si="4"/>
        <v>-</v>
      </c>
      <c r="Q15" s="19"/>
      <c r="R15" s="19">
        <f>SUMPRODUCT((raw!$B$2:$B$369='(2018-19)'!$A15)*(raw!$E$2:$E$369='(2018-19)'!$R$6)*(raw!$F$2:$F$369='(2018-19)'!R$7)*(raw!$G$2:$G$369))</f>
        <v>6</v>
      </c>
      <c r="S15" s="19">
        <f>SUMPRODUCT((raw!$B$2:$B$369='(2018-19)'!$A15)*(raw!$E$2:$E$369='(2018-19)'!$R$6)*(raw!$F$2:$F$369='(2018-19)'!S$7)*(raw!$G$2:$G$369))</f>
        <v>10</v>
      </c>
      <c r="T15" s="20">
        <f t="shared" si="5"/>
        <v>0.625</v>
      </c>
      <c r="U15" s="19"/>
      <c r="V15" s="14">
        <f t="shared" si="6"/>
        <v>74</v>
      </c>
      <c r="W15" s="14">
        <f t="shared" si="6"/>
        <v>24</v>
      </c>
      <c r="X15" s="20">
        <f t="shared" si="7"/>
        <v>0.24489795918367346</v>
      </c>
      <c r="Y15" s="16"/>
      <c r="Z15" s="16"/>
      <c r="AA15" s="16"/>
      <c r="AB15" s="16"/>
      <c r="AC15" s="16"/>
      <c r="AD15" s="16"/>
      <c r="AE15" s="16"/>
      <c r="AF15" s="16"/>
      <c r="AG15" s="16"/>
    </row>
    <row r="16" spans="1:34" s="6" customFormat="1" ht="15" customHeight="1" x14ac:dyDescent="0.35">
      <c r="A16" s="5" t="s">
        <v>18</v>
      </c>
      <c r="B16" s="19">
        <f>SUMPRODUCT((raw!$B$2:$B$369='(2018-19)'!$A16)*(raw!$E$2:$E$369='(2018-19)'!$B$6:$D$6)*(raw!$F$2:$F$369='(2018-19)'!B$7)*(raw!$G$2:$G$369))</f>
        <v>34</v>
      </c>
      <c r="C16" s="19">
        <f>SUMPRODUCT((raw!$B$2:$B$369='(2018-19)'!$A16)*(raw!$E$2:$E$369='(2018-19)'!$B$6:$D$6)*(raw!$F$2:$F$369='(2018-19)'!C$7)*(raw!$G$2:$G$369))</f>
        <v>2</v>
      </c>
      <c r="D16" s="20">
        <f t="shared" si="0"/>
        <v>5.5555555555555552E-2</v>
      </c>
      <c r="E16" s="19"/>
      <c r="F16" s="19">
        <f>SUMPRODUCT((raw!$B$2:$B$369='(2018-19)'!$A16)*(raw!$E$2:$E$369='(2018-19)'!$F$6)*(raw!$F$2:$F$369='(2018-19)'!F$7)*(raw!$G$2:$G$369))</f>
        <v>12</v>
      </c>
      <c r="G16" s="19">
        <f>SUMPRODUCT((raw!$B$2:$B$369='(2018-19)'!$A16)*(raw!$E$2:$E$369='(2018-19)'!$F$6)*(raw!$F$2:$F$369='(2018-19)'!G$7)*(raw!$G$2:$G$369))</f>
        <v>1</v>
      </c>
      <c r="H16" s="20">
        <f t="shared" si="1"/>
        <v>7.6923076923076927E-2</v>
      </c>
      <c r="I16" s="19"/>
      <c r="J16" s="14">
        <f t="shared" si="2"/>
        <v>46</v>
      </c>
      <c r="K16" s="14">
        <f t="shared" si="2"/>
        <v>3</v>
      </c>
      <c r="L16" s="20">
        <f t="shared" si="3"/>
        <v>6.1224489795918366E-2</v>
      </c>
      <c r="M16" s="19"/>
      <c r="N16" s="19">
        <f>SUMPRODUCT((raw!$B$2:$B$369='(2018-19)'!$A16)*(raw!$E$2:$E$369='(2018-19)'!$N$6)*(raw!$F$2:$F$369='(2018-19)'!N$7)*(raw!$G$2:$G$369))</f>
        <v>0</v>
      </c>
      <c r="O16" s="19">
        <f>SUMPRODUCT((raw!$B$2:$B$369='(2018-19)'!$A16)*(raw!$E$2:$E$369='(2018-19)'!$N$6)*(raw!$F$2:$F$369='(2018-19)'!O$7)*(raw!$G$2:$G$369))</f>
        <v>2</v>
      </c>
      <c r="P16" s="20">
        <f t="shared" si="4"/>
        <v>1</v>
      </c>
      <c r="Q16" s="19"/>
      <c r="R16" s="19">
        <f>SUMPRODUCT((raw!$B$2:$B$369='(2018-19)'!$A16)*(raw!$E$2:$E$369='(2018-19)'!$R$6)*(raw!$F$2:$F$369='(2018-19)'!R$7)*(raw!$G$2:$G$369))</f>
        <v>5</v>
      </c>
      <c r="S16" s="19">
        <f>SUMPRODUCT((raw!$B$2:$B$369='(2018-19)'!$A16)*(raw!$E$2:$E$369='(2018-19)'!$R$6)*(raw!$F$2:$F$369='(2018-19)'!S$7)*(raw!$G$2:$G$369))</f>
        <v>7</v>
      </c>
      <c r="T16" s="20">
        <f t="shared" si="5"/>
        <v>0.58333333333333337</v>
      </c>
      <c r="U16" s="19"/>
      <c r="V16" s="14">
        <f t="shared" si="6"/>
        <v>51</v>
      </c>
      <c r="W16" s="14">
        <f t="shared" si="6"/>
        <v>12</v>
      </c>
      <c r="X16" s="20">
        <f t="shared" si="7"/>
        <v>0.19047619047619047</v>
      </c>
      <c r="Y16" s="16"/>
      <c r="Z16" s="16"/>
      <c r="AA16" s="16"/>
      <c r="AB16" s="16"/>
      <c r="AC16" s="16"/>
      <c r="AD16" s="16"/>
      <c r="AE16" s="16"/>
      <c r="AF16" s="16"/>
      <c r="AG16" s="16"/>
    </row>
    <row r="17" spans="1:33" s="6" customFormat="1" ht="15" customHeight="1" x14ac:dyDescent="0.35">
      <c r="A17" s="5" t="s">
        <v>19</v>
      </c>
      <c r="B17" s="19">
        <f>SUMPRODUCT((raw!$B$2:$B$369='(2018-19)'!$A17)*(raw!$E$2:$E$369='(2018-19)'!$B$6:$D$6)*(raw!$F$2:$F$369='(2018-19)'!B$7)*(raw!$G$2:$G$369))</f>
        <v>11</v>
      </c>
      <c r="C17" s="19">
        <f>SUMPRODUCT((raw!$B$2:$B$369='(2018-19)'!$A17)*(raw!$E$2:$E$369='(2018-19)'!$B$6:$D$6)*(raw!$F$2:$F$369='(2018-19)'!C$7)*(raw!$G$2:$G$369))</f>
        <v>1</v>
      </c>
      <c r="D17" s="20">
        <f t="shared" si="0"/>
        <v>8.3333333333333329E-2</v>
      </c>
      <c r="E17" s="19"/>
      <c r="F17" s="19">
        <f>SUMPRODUCT((raw!$B$2:$B$369='(2018-19)'!$A17)*(raw!$E$2:$E$369='(2018-19)'!$F$6)*(raw!$F$2:$F$369='(2018-19)'!F$7)*(raw!$G$2:$G$369))</f>
        <v>56</v>
      </c>
      <c r="G17" s="19">
        <f>SUMPRODUCT((raw!$B$2:$B$369='(2018-19)'!$A17)*(raw!$E$2:$E$369='(2018-19)'!$F$6)*(raw!$F$2:$F$369='(2018-19)'!G$7)*(raw!$G$2:$G$369))</f>
        <v>3</v>
      </c>
      <c r="H17" s="20">
        <f t="shared" si="1"/>
        <v>5.0847457627118647E-2</v>
      </c>
      <c r="I17" s="19"/>
      <c r="J17" s="14">
        <f t="shared" si="2"/>
        <v>67</v>
      </c>
      <c r="K17" s="14">
        <f t="shared" si="2"/>
        <v>4</v>
      </c>
      <c r="L17" s="20">
        <f t="shared" si="3"/>
        <v>5.6338028169014086E-2</v>
      </c>
      <c r="M17" s="19"/>
      <c r="N17" s="19">
        <f>SUMPRODUCT((raw!$B$2:$B$369='(2018-19)'!$A17)*(raw!$E$2:$E$369='(2018-19)'!$N$6)*(raw!$F$2:$F$369='(2018-19)'!N$7)*(raw!$G$2:$G$369))</f>
        <v>1</v>
      </c>
      <c r="O17" s="19">
        <f>SUMPRODUCT((raw!$B$2:$B$369='(2018-19)'!$A17)*(raw!$E$2:$E$369='(2018-19)'!$N$6)*(raw!$F$2:$F$369='(2018-19)'!O$7)*(raw!$G$2:$G$369))</f>
        <v>2</v>
      </c>
      <c r="P17" s="20">
        <f t="shared" si="4"/>
        <v>0.66666666666666663</v>
      </c>
      <c r="Q17" s="19"/>
      <c r="R17" s="19">
        <f>SUMPRODUCT((raw!$B$2:$B$369='(2018-19)'!$A17)*(raw!$E$2:$E$369='(2018-19)'!$R$6)*(raw!$F$2:$F$369='(2018-19)'!R$7)*(raw!$G$2:$G$369))</f>
        <v>14</v>
      </c>
      <c r="S17" s="19">
        <f>SUMPRODUCT((raw!$B$2:$B$369='(2018-19)'!$A17)*(raw!$E$2:$E$369='(2018-19)'!$R$6)*(raw!$F$2:$F$369='(2018-19)'!S$7)*(raw!$G$2:$G$369))</f>
        <v>10</v>
      </c>
      <c r="T17" s="20">
        <f t="shared" si="5"/>
        <v>0.41666666666666669</v>
      </c>
      <c r="U17" s="19"/>
      <c r="V17" s="14">
        <f t="shared" si="6"/>
        <v>82</v>
      </c>
      <c r="W17" s="14">
        <f t="shared" si="6"/>
        <v>16</v>
      </c>
      <c r="X17" s="20">
        <f t="shared" si="7"/>
        <v>0.16326530612244897</v>
      </c>
      <c r="Y17" s="16"/>
      <c r="Z17" s="16"/>
      <c r="AA17" s="16"/>
      <c r="AB17" s="16"/>
      <c r="AC17" s="16"/>
      <c r="AD17" s="16"/>
      <c r="AE17" s="16"/>
      <c r="AF17" s="16"/>
      <c r="AG17" s="16"/>
    </row>
    <row r="18" spans="1:33" s="6" customFormat="1" ht="15" customHeight="1" x14ac:dyDescent="0.35">
      <c r="A18" s="5" t="s">
        <v>20</v>
      </c>
      <c r="B18" s="19">
        <f>SUMPRODUCT((raw!$B$2:$B$369='(2018-19)'!$A18)*(raw!$E$2:$E$369='(2018-19)'!$B$6:$D$6)*(raw!$F$2:$F$369='(2018-19)'!B$7)*(raw!$G$2:$G$369))</f>
        <v>7</v>
      </c>
      <c r="C18" s="19">
        <f>SUMPRODUCT((raw!$B$2:$B$369='(2018-19)'!$A18)*(raw!$E$2:$E$369='(2018-19)'!$B$6:$D$6)*(raw!$F$2:$F$369='(2018-19)'!C$7)*(raw!$G$2:$G$369))</f>
        <v>1</v>
      </c>
      <c r="D18" s="20">
        <f t="shared" si="0"/>
        <v>0.125</v>
      </c>
      <c r="E18" s="19"/>
      <c r="F18" s="19">
        <f>SUMPRODUCT((raw!$B$2:$B$369='(2018-19)'!$A18)*(raw!$E$2:$E$369='(2018-19)'!$F$6)*(raw!$F$2:$F$369='(2018-19)'!F$7)*(raw!$G$2:$G$369))</f>
        <v>17</v>
      </c>
      <c r="G18" s="19">
        <f>SUMPRODUCT((raw!$B$2:$B$369='(2018-19)'!$A18)*(raw!$E$2:$E$369='(2018-19)'!$F$6)*(raw!$F$2:$F$369='(2018-19)'!G$7)*(raw!$G$2:$G$369))</f>
        <v>0</v>
      </c>
      <c r="H18" s="20">
        <f t="shared" si="1"/>
        <v>0</v>
      </c>
      <c r="I18" s="19"/>
      <c r="J18" s="14">
        <f t="shared" si="2"/>
        <v>24</v>
      </c>
      <c r="K18" s="14">
        <f t="shared" si="2"/>
        <v>1</v>
      </c>
      <c r="L18" s="20">
        <f t="shared" si="3"/>
        <v>0.04</v>
      </c>
      <c r="M18" s="19"/>
      <c r="N18" s="19">
        <f>SUMPRODUCT((raw!$B$2:$B$369='(2018-19)'!$A18)*(raw!$E$2:$E$369='(2018-19)'!$N$6)*(raw!$F$2:$F$369='(2018-19)'!N$7)*(raw!$G$2:$G$369))</f>
        <v>0</v>
      </c>
      <c r="O18" s="19">
        <f>SUMPRODUCT((raw!$B$2:$B$369='(2018-19)'!$A18)*(raw!$E$2:$E$369='(2018-19)'!$N$6)*(raw!$F$2:$F$369='(2018-19)'!O$7)*(raw!$G$2:$G$369))</f>
        <v>0</v>
      </c>
      <c r="P18" s="20" t="str">
        <f t="shared" si="4"/>
        <v>-</v>
      </c>
      <c r="Q18" s="19"/>
      <c r="R18" s="19">
        <f>SUMPRODUCT((raw!$B$2:$B$369='(2018-19)'!$A18)*(raw!$E$2:$E$369='(2018-19)'!$R$6)*(raw!$F$2:$F$369='(2018-19)'!R$7)*(raw!$G$2:$G$369))</f>
        <v>5</v>
      </c>
      <c r="S18" s="19">
        <f>SUMPRODUCT((raw!$B$2:$B$369='(2018-19)'!$A18)*(raw!$E$2:$E$369='(2018-19)'!$R$6)*(raw!$F$2:$F$369='(2018-19)'!S$7)*(raw!$G$2:$G$369))</f>
        <v>0</v>
      </c>
      <c r="T18" s="20">
        <f t="shared" si="5"/>
        <v>0</v>
      </c>
      <c r="U18" s="19"/>
      <c r="V18" s="14">
        <f t="shared" si="6"/>
        <v>29</v>
      </c>
      <c r="W18" s="14">
        <f t="shared" si="6"/>
        <v>1</v>
      </c>
      <c r="X18" s="20">
        <f t="shared" si="7"/>
        <v>3.3333333333333333E-2</v>
      </c>
      <c r="Y18" s="16"/>
      <c r="Z18" s="16"/>
      <c r="AA18" s="16"/>
      <c r="AB18" s="16"/>
      <c r="AC18" s="16"/>
      <c r="AD18" s="16"/>
      <c r="AE18" s="16"/>
      <c r="AF18" s="16"/>
      <c r="AG18" s="16"/>
    </row>
    <row r="19" spans="1:33" s="6" customFormat="1" ht="15" customHeight="1" x14ac:dyDescent="0.35">
      <c r="A19" s="21" t="s">
        <v>21</v>
      </c>
      <c r="B19" s="19">
        <f>SUMPRODUCT((raw!$B$2:$B$369='(2018-19)'!$A19)*(raw!$E$2:$E$369='(2018-19)'!$B$6:$D$6)*(raw!$F$2:$F$369='(2018-19)'!B$7)*(raw!$G$2:$G$369))</f>
        <v>23</v>
      </c>
      <c r="C19" s="19">
        <f>SUMPRODUCT((raw!$B$2:$B$369='(2018-19)'!$A19)*(raw!$E$2:$E$369='(2018-19)'!$B$6:$D$6)*(raw!$F$2:$F$369='(2018-19)'!C$7)*(raw!$G$2:$G$369))</f>
        <v>8</v>
      </c>
      <c r="D19" s="20">
        <f t="shared" si="0"/>
        <v>0.25806451612903225</v>
      </c>
      <c r="E19" s="19"/>
      <c r="F19" s="19">
        <f>SUMPRODUCT((raw!$B$2:$B$369='(2018-19)'!$A19)*(raw!$E$2:$E$369='(2018-19)'!$F$6)*(raw!$F$2:$F$369='(2018-19)'!F$7)*(raw!$G$2:$G$369))</f>
        <v>25</v>
      </c>
      <c r="G19" s="19">
        <f>SUMPRODUCT((raw!$B$2:$B$369='(2018-19)'!$A19)*(raw!$E$2:$E$369='(2018-19)'!$F$6)*(raw!$F$2:$F$369='(2018-19)'!G$7)*(raw!$G$2:$G$369))</f>
        <v>5</v>
      </c>
      <c r="H19" s="20">
        <f t="shared" si="1"/>
        <v>0.16666666666666666</v>
      </c>
      <c r="I19" s="19"/>
      <c r="J19" s="14">
        <f t="shared" si="2"/>
        <v>48</v>
      </c>
      <c r="K19" s="14">
        <f t="shared" si="2"/>
        <v>13</v>
      </c>
      <c r="L19" s="20">
        <f t="shared" si="3"/>
        <v>0.21311475409836064</v>
      </c>
      <c r="M19" s="19"/>
      <c r="N19" s="19">
        <f>SUMPRODUCT((raw!$B$2:$B$369='(2018-19)'!$A19)*(raw!$E$2:$E$369='(2018-19)'!$N$6)*(raw!$F$2:$F$369='(2018-19)'!N$7)*(raw!$G$2:$G$369))</f>
        <v>0</v>
      </c>
      <c r="O19" s="19">
        <f>SUMPRODUCT((raw!$B$2:$B$369='(2018-19)'!$A19)*(raw!$E$2:$E$369='(2018-19)'!$N$6)*(raw!$F$2:$F$369='(2018-19)'!O$7)*(raw!$G$2:$G$369))</f>
        <v>0</v>
      </c>
      <c r="P19" s="20" t="str">
        <f t="shared" si="4"/>
        <v>-</v>
      </c>
      <c r="Q19" s="19"/>
      <c r="R19" s="19">
        <f>SUMPRODUCT((raw!$B$2:$B$369='(2018-19)'!$A19)*(raw!$E$2:$E$369='(2018-19)'!$R$6)*(raw!$F$2:$F$369='(2018-19)'!R$7)*(raw!$G$2:$G$369))</f>
        <v>9</v>
      </c>
      <c r="S19" s="19">
        <f>SUMPRODUCT((raw!$B$2:$B$369='(2018-19)'!$A19)*(raw!$E$2:$E$369='(2018-19)'!$R$6)*(raw!$F$2:$F$369='(2018-19)'!S$7)*(raw!$G$2:$G$369))</f>
        <v>21</v>
      </c>
      <c r="T19" s="20">
        <f t="shared" si="5"/>
        <v>0.7</v>
      </c>
      <c r="U19" s="19"/>
      <c r="V19" s="14">
        <f t="shared" si="6"/>
        <v>57</v>
      </c>
      <c r="W19" s="14">
        <f t="shared" si="6"/>
        <v>34</v>
      </c>
      <c r="X19" s="20">
        <f t="shared" si="7"/>
        <v>0.37362637362637363</v>
      </c>
      <c r="Y19" s="16"/>
      <c r="Z19" s="16"/>
      <c r="AA19" s="16"/>
      <c r="AB19" s="16"/>
      <c r="AC19" s="16"/>
      <c r="AD19" s="16"/>
      <c r="AE19" s="16"/>
      <c r="AF19" s="16"/>
      <c r="AG19" s="16"/>
    </row>
    <row r="20" spans="1:33" s="6" customFormat="1" ht="15" customHeight="1" x14ac:dyDescent="0.35">
      <c r="A20" s="21" t="s">
        <v>22</v>
      </c>
      <c r="B20" s="19">
        <f>SUMPRODUCT((raw!$B$2:$B$369='(2018-19)'!$A20)*(raw!$E$2:$E$369='(2018-19)'!$B$6:$D$6)*(raw!$F$2:$F$369='(2018-19)'!B$7)*(raw!$G$2:$G$369))</f>
        <v>8</v>
      </c>
      <c r="C20" s="19">
        <f>SUMPRODUCT((raw!$B$2:$B$369='(2018-19)'!$A20)*(raw!$E$2:$E$369='(2018-19)'!$B$6:$D$6)*(raw!$F$2:$F$369='(2018-19)'!C$7)*(raw!$G$2:$G$369))</f>
        <v>0</v>
      </c>
      <c r="D20" s="20">
        <f t="shared" si="0"/>
        <v>0</v>
      </c>
      <c r="E20" s="19"/>
      <c r="F20" s="19">
        <f>SUMPRODUCT((raw!$B$2:$B$369='(2018-19)'!$A20)*(raw!$E$2:$E$369='(2018-19)'!$F$6)*(raw!$F$2:$F$369='(2018-19)'!F$7)*(raw!$G$2:$G$369))</f>
        <v>112</v>
      </c>
      <c r="G20" s="19">
        <f>SUMPRODUCT((raw!$B$2:$B$369='(2018-19)'!$A20)*(raw!$E$2:$E$369='(2018-19)'!$F$6)*(raw!$F$2:$F$369='(2018-19)'!G$7)*(raw!$G$2:$G$369))</f>
        <v>17</v>
      </c>
      <c r="H20" s="20">
        <f t="shared" si="1"/>
        <v>0.13178294573643412</v>
      </c>
      <c r="I20" s="19"/>
      <c r="J20" s="14">
        <f t="shared" si="2"/>
        <v>120</v>
      </c>
      <c r="K20" s="14">
        <f t="shared" si="2"/>
        <v>17</v>
      </c>
      <c r="L20" s="20">
        <f t="shared" si="3"/>
        <v>0.12408759124087591</v>
      </c>
      <c r="M20" s="19"/>
      <c r="N20" s="19">
        <f>SUMPRODUCT((raw!$B$2:$B$369='(2018-19)'!$A20)*(raw!$E$2:$E$369='(2018-19)'!$N$6)*(raw!$F$2:$F$369='(2018-19)'!N$7)*(raw!$G$2:$G$369))</f>
        <v>0</v>
      </c>
      <c r="O20" s="19">
        <f>SUMPRODUCT((raw!$B$2:$B$369='(2018-19)'!$A20)*(raw!$E$2:$E$369='(2018-19)'!$N$6)*(raw!$F$2:$F$369='(2018-19)'!O$7)*(raw!$G$2:$G$369))</f>
        <v>0</v>
      </c>
      <c r="P20" s="20" t="str">
        <f t="shared" si="4"/>
        <v>-</v>
      </c>
      <c r="Q20" s="19"/>
      <c r="R20" s="19">
        <f>SUMPRODUCT((raw!$B$2:$B$369='(2018-19)'!$A20)*(raw!$E$2:$E$369='(2018-19)'!$R$6)*(raw!$F$2:$F$369='(2018-19)'!R$7)*(raw!$G$2:$G$369))</f>
        <v>15</v>
      </c>
      <c r="S20" s="19">
        <f>SUMPRODUCT((raw!$B$2:$B$369='(2018-19)'!$A20)*(raw!$E$2:$E$369='(2018-19)'!$R$6)*(raw!$F$2:$F$369='(2018-19)'!S$7)*(raw!$G$2:$G$369))</f>
        <v>12</v>
      </c>
      <c r="T20" s="20">
        <f t="shared" si="5"/>
        <v>0.44444444444444442</v>
      </c>
      <c r="U20" s="19"/>
      <c r="V20" s="14">
        <f t="shared" si="6"/>
        <v>135</v>
      </c>
      <c r="W20" s="14">
        <f t="shared" si="6"/>
        <v>29</v>
      </c>
      <c r="X20" s="20">
        <f t="shared" si="7"/>
        <v>0.17682926829268292</v>
      </c>
      <c r="Y20" s="16"/>
      <c r="Z20" s="16"/>
      <c r="AA20" s="16"/>
      <c r="AB20" s="16"/>
      <c r="AC20" s="16"/>
      <c r="AD20" s="16"/>
      <c r="AE20" s="16"/>
      <c r="AF20" s="16"/>
      <c r="AG20" s="16"/>
    </row>
    <row r="21" spans="1:33" s="6" customFormat="1" ht="15" customHeight="1" x14ac:dyDescent="0.35">
      <c r="A21" s="5" t="s">
        <v>23</v>
      </c>
      <c r="B21" s="19">
        <f>SUMPRODUCT((raw!$B$2:$B$369='(2018-19)'!$A21)*(raw!$E$2:$E$369='(2018-19)'!$B$6:$D$6)*(raw!$F$2:$F$369='(2018-19)'!B$7)*(raw!$G$2:$G$369))</f>
        <v>26</v>
      </c>
      <c r="C21" s="19">
        <f>SUMPRODUCT((raw!$B$2:$B$369='(2018-19)'!$A21)*(raw!$E$2:$E$369='(2018-19)'!$B$6:$D$6)*(raw!$F$2:$F$369='(2018-19)'!C$7)*(raw!$G$2:$G$369))</f>
        <v>5</v>
      </c>
      <c r="D21" s="20">
        <f t="shared" si="0"/>
        <v>0.16129032258064516</v>
      </c>
      <c r="E21" s="19"/>
      <c r="F21" s="19">
        <f>SUMPRODUCT((raw!$B$2:$B$369='(2018-19)'!$A21)*(raw!$E$2:$E$369='(2018-19)'!$F$6)*(raw!$F$2:$F$369='(2018-19)'!F$7)*(raw!$G$2:$G$369))</f>
        <v>62</v>
      </c>
      <c r="G21" s="19">
        <f>SUMPRODUCT((raw!$B$2:$B$369='(2018-19)'!$A21)*(raw!$E$2:$E$369='(2018-19)'!$F$6)*(raw!$F$2:$F$369='(2018-19)'!G$7)*(raw!$G$2:$G$369))</f>
        <v>5</v>
      </c>
      <c r="H21" s="20">
        <f t="shared" si="1"/>
        <v>7.4626865671641784E-2</v>
      </c>
      <c r="I21" s="19"/>
      <c r="J21" s="14">
        <f t="shared" si="2"/>
        <v>88</v>
      </c>
      <c r="K21" s="14">
        <f t="shared" si="2"/>
        <v>10</v>
      </c>
      <c r="L21" s="20">
        <f t="shared" si="3"/>
        <v>0.10204081632653061</v>
      </c>
      <c r="M21" s="19"/>
      <c r="N21" s="19">
        <f>SUMPRODUCT((raw!$B$2:$B$369='(2018-19)'!$A21)*(raw!$E$2:$E$369='(2018-19)'!$N$6)*(raw!$F$2:$F$369='(2018-19)'!N$7)*(raw!$G$2:$G$369))</f>
        <v>0</v>
      </c>
      <c r="O21" s="19">
        <f>SUMPRODUCT((raw!$B$2:$B$369='(2018-19)'!$A21)*(raw!$E$2:$E$369='(2018-19)'!$N$6)*(raw!$F$2:$F$369='(2018-19)'!O$7)*(raw!$G$2:$G$369))</f>
        <v>0</v>
      </c>
      <c r="P21" s="20" t="str">
        <f t="shared" si="4"/>
        <v>-</v>
      </c>
      <c r="Q21" s="19"/>
      <c r="R21" s="19">
        <f>SUMPRODUCT((raw!$B$2:$B$369='(2018-19)'!$A21)*(raw!$E$2:$E$369='(2018-19)'!$R$6)*(raw!$F$2:$F$369='(2018-19)'!R$7)*(raw!$G$2:$G$369))</f>
        <v>23</v>
      </c>
      <c r="S21" s="19">
        <f>SUMPRODUCT((raw!$B$2:$B$369='(2018-19)'!$A21)*(raw!$E$2:$E$369='(2018-19)'!$R$6)*(raw!$F$2:$F$369='(2018-19)'!S$7)*(raw!$G$2:$G$369))</f>
        <v>33</v>
      </c>
      <c r="T21" s="20">
        <f t="shared" si="5"/>
        <v>0.5892857142857143</v>
      </c>
      <c r="U21" s="19"/>
      <c r="V21" s="14">
        <f t="shared" si="6"/>
        <v>111</v>
      </c>
      <c r="W21" s="14">
        <f t="shared" si="6"/>
        <v>43</v>
      </c>
      <c r="X21" s="20">
        <f t="shared" si="7"/>
        <v>0.2792207792207792</v>
      </c>
      <c r="Y21" s="16"/>
      <c r="Z21" s="16"/>
      <c r="AA21" s="16"/>
      <c r="AB21" s="16"/>
      <c r="AC21" s="16"/>
      <c r="AD21" s="16"/>
      <c r="AE21" s="16"/>
      <c r="AF21" s="16"/>
      <c r="AG21" s="16"/>
    </row>
    <row r="22" spans="1:33" s="6" customFormat="1" ht="15" customHeight="1" x14ac:dyDescent="0.35">
      <c r="A22" s="5" t="s">
        <v>24</v>
      </c>
      <c r="B22" s="19">
        <f>SUMPRODUCT((raw!$B$2:$B$369='(2018-19)'!$A22)*(raw!$E$2:$E$369='(2018-19)'!$B$6:$D$6)*(raw!$F$2:$F$369='(2018-19)'!B$7)*(raw!$G$2:$G$369))</f>
        <v>0</v>
      </c>
      <c r="C22" s="19">
        <f>SUMPRODUCT((raw!$B$2:$B$369='(2018-19)'!$A22)*(raw!$E$2:$E$369='(2018-19)'!$B$6:$D$6)*(raw!$F$2:$F$369='(2018-19)'!C$7)*(raw!$G$2:$G$369))</f>
        <v>0</v>
      </c>
      <c r="D22" s="20" t="str">
        <f t="shared" si="0"/>
        <v>-</v>
      </c>
      <c r="E22" s="19"/>
      <c r="F22" s="19">
        <f>SUMPRODUCT((raw!$B$2:$B$369='(2018-19)'!$A22)*(raw!$E$2:$E$369='(2018-19)'!$F$6)*(raw!$F$2:$F$369='(2018-19)'!F$7)*(raw!$G$2:$G$369))</f>
        <v>22</v>
      </c>
      <c r="G22" s="19">
        <f>SUMPRODUCT((raw!$B$2:$B$369='(2018-19)'!$A22)*(raw!$E$2:$E$369='(2018-19)'!$F$6)*(raw!$F$2:$F$369='(2018-19)'!G$7)*(raw!$G$2:$G$369))</f>
        <v>0</v>
      </c>
      <c r="H22" s="20">
        <f t="shared" si="1"/>
        <v>0</v>
      </c>
      <c r="I22" s="19"/>
      <c r="J22" s="14">
        <f t="shared" si="2"/>
        <v>22</v>
      </c>
      <c r="K22" s="14">
        <f t="shared" si="2"/>
        <v>0</v>
      </c>
      <c r="L22" s="20">
        <f t="shared" si="3"/>
        <v>0</v>
      </c>
      <c r="M22" s="19"/>
      <c r="N22" s="19">
        <f>SUMPRODUCT((raw!$B$2:$B$369='(2018-19)'!$A22)*(raw!$E$2:$E$369='(2018-19)'!$N$6)*(raw!$F$2:$F$369='(2018-19)'!N$7)*(raw!$G$2:$G$369))</f>
        <v>0</v>
      </c>
      <c r="O22" s="19">
        <f>SUMPRODUCT((raw!$B$2:$B$369='(2018-19)'!$A22)*(raw!$E$2:$E$369='(2018-19)'!$N$6)*(raw!$F$2:$F$369='(2018-19)'!O$7)*(raw!$G$2:$G$369))</f>
        <v>0</v>
      </c>
      <c r="P22" s="20" t="str">
        <f t="shared" si="4"/>
        <v>-</v>
      </c>
      <c r="Q22" s="19"/>
      <c r="R22" s="19">
        <f>SUMPRODUCT((raw!$B$2:$B$369='(2018-19)'!$A22)*(raw!$E$2:$E$369='(2018-19)'!$R$6)*(raw!$F$2:$F$369='(2018-19)'!R$7)*(raw!$G$2:$G$369))</f>
        <v>4</v>
      </c>
      <c r="S22" s="19">
        <f>SUMPRODUCT((raw!$B$2:$B$369='(2018-19)'!$A22)*(raw!$E$2:$E$369='(2018-19)'!$R$6)*(raw!$F$2:$F$369='(2018-19)'!S$7)*(raw!$G$2:$G$369))</f>
        <v>7</v>
      </c>
      <c r="T22" s="20">
        <f t="shared" si="5"/>
        <v>0.63636363636363635</v>
      </c>
      <c r="U22" s="19"/>
      <c r="V22" s="14">
        <f t="shared" si="6"/>
        <v>26</v>
      </c>
      <c r="W22" s="14">
        <f t="shared" si="6"/>
        <v>7</v>
      </c>
      <c r="X22" s="20">
        <f t="shared" si="7"/>
        <v>0.21212121212121213</v>
      </c>
      <c r="Y22" s="16"/>
      <c r="Z22" s="16"/>
      <c r="AA22" s="16"/>
      <c r="AB22" s="16"/>
      <c r="AC22" s="16"/>
      <c r="AD22" s="16"/>
      <c r="AE22" s="16"/>
      <c r="AF22" s="16"/>
      <c r="AG22" s="16"/>
    </row>
    <row r="23" spans="1:33" s="6" customFormat="1" ht="15" customHeight="1" x14ac:dyDescent="0.35">
      <c r="A23" s="5" t="s">
        <v>25</v>
      </c>
      <c r="B23" s="19">
        <f>SUMPRODUCT((raw!$B$2:$B$369='(2018-19)'!$A23)*(raw!$E$2:$E$369='(2018-19)'!$B$6:$D$6)*(raw!$F$2:$F$369='(2018-19)'!B$7)*(raw!$G$2:$G$369))</f>
        <v>1</v>
      </c>
      <c r="C23" s="19">
        <f>SUMPRODUCT((raw!$B$2:$B$369='(2018-19)'!$A23)*(raw!$E$2:$E$369='(2018-19)'!$B$6:$D$6)*(raw!$F$2:$F$369='(2018-19)'!C$7)*(raw!$G$2:$G$369))</f>
        <v>1</v>
      </c>
      <c r="D23" s="20">
        <f t="shared" si="0"/>
        <v>0.5</v>
      </c>
      <c r="E23" s="19"/>
      <c r="F23" s="19">
        <f>SUMPRODUCT((raw!$B$2:$B$369='(2018-19)'!$A23)*(raw!$E$2:$E$369='(2018-19)'!$F$6)*(raw!$F$2:$F$369='(2018-19)'!F$7)*(raw!$G$2:$G$369))</f>
        <v>25</v>
      </c>
      <c r="G23" s="19">
        <f>SUMPRODUCT((raw!$B$2:$B$369='(2018-19)'!$A23)*(raw!$E$2:$E$369='(2018-19)'!$F$6)*(raw!$F$2:$F$369='(2018-19)'!G$7)*(raw!$G$2:$G$369))</f>
        <v>2</v>
      </c>
      <c r="H23" s="20">
        <f t="shared" si="1"/>
        <v>7.407407407407407E-2</v>
      </c>
      <c r="I23" s="19"/>
      <c r="J23" s="14">
        <f t="shared" si="2"/>
        <v>26</v>
      </c>
      <c r="K23" s="14">
        <f t="shared" si="2"/>
        <v>3</v>
      </c>
      <c r="L23" s="20">
        <f t="shared" si="3"/>
        <v>0.10344827586206896</v>
      </c>
      <c r="M23" s="19"/>
      <c r="N23" s="19">
        <f>SUMPRODUCT((raw!$B$2:$B$369='(2018-19)'!$A23)*(raw!$E$2:$E$369='(2018-19)'!$N$6)*(raw!$F$2:$F$369='(2018-19)'!N$7)*(raw!$G$2:$G$369))</f>
        <v>1</v>
      </c>
      <c r="O23" s="19">
        <f>SUMPRODUCT((raw!$B$2:$B$369='(2018-19)'!$A23)*(raw!$E$2:$E$369='(2018-19)'!$N$6)*(raw!$F$2:$F$369='(2018-19)'!O$7)*(raw!$G$2:$G$369))</f>
        <v>1</v>
      </c>
      <c r="P23" s="20">
        <f t="shared" si="4"/>
        <v>0.5</v>
      </c>
      <c r="Q23" s="19"/>
      <c r="R23" s="19">
        <f>SUMPRODUCT((raw!$B$2:$B$369='(2018-19)'!$A23)*(raw!$E$2:$E$369='(2018-19)'!$R$6)*(raw!$F$2:$F$369='(2018-19)'!R$7)*(raw!$G$2:$G$369))</f>
        <v>8</v>
      </c>
      <c r="S23" s="19">
        <f>SUMPRODUCT((raw!$B$2:$B$369='(2018-19)'!$A23)*(raw!$E$2:$E$369='(2018-19)'!$R$6)*(raw!$F$2:$F$369='(2018-19)'!S$7)*(raw!$G$2:$G$369))</f>
        <v>18</v>
      </c>
      <c r="T23" s="20">
        <f t="shared" si="5"/>
        <v>0.69230769230769229</v>
      </c>
      <c r="U23" s="19"/>
      <c r="V23" s="14">
        <f t="shared" si="6"/>
        <v>35</v>
      </c>
      <c r="W23" s="14">
        <f t="shared" si="6"/>
        <v>22</v>
      </c>
      <c r="X23" s="20">
        <f t="shared" si="7"/>
        <v>0.38596491228070173</v>
      </c>
      <c r="Y23" s="16"/>
      <c r="Z23" s="16"/>
      <c r="AA23" s="16"/>
      <c r="AB23" s="16"/>
      <c r="AC23" s="16"/>
      <c r="AD23" s="16"/>
      <c r="AE23" s="16"/>
      <c r="AF23" s="16"/>
      <c r="AG23" s="16"/>
    </row>
    <row r="24" spans="1:33" s="6" customFormat="1" ht="15" customHeight="1" x14ac:dyDescent="0.35">
      <c r="A24" s="5" t="s">
        <v>26</v>
      </c>
      <c r="B24" s="19">
        <f>SUMPRODUCT((raw!$B$2:$B$369='(2018-19)'!$A24)*(raw!$E$2:$E$369='(2018-19)'!$B$6:$D$6)*(raw!$F$2:$F$369='(2018-19)'!B$7)*(raw!$G$2:$G$369))</f>
        <v>53</v>
      </c>
      <c r="C24" s="19">
        <f>SUMPRODUCT((raw!$B$2:$B$369='(2018-19)'!$A24)*(raw!$E$2:$E$369='(2018-19)'!$B$6:$D$6)*(raw!$F$2:$F$369='(2018-19)'!C$7)*(raw!$G$2:$G$369))</f>
        <v>4</v>
      </c>
      <c r="D24" s="20">
        <f t="shared" si="0"/>
        <v>7.0175438596491224E-2</v>
      </c>
      <c r="E24" s="19"/>
      <c r="F24" s="19">
        <f>SUMPRODUCT((raw!$B$2:$B$369='(2018-19)'!$A24)*(raw!$E$2:$E$369='(2018-19)'!$F$6)*(raw!$F$2:$F$369='(2018-19)'!F$7)*(raw!$G$2:$G$369))</f>
        <v>60</v>
      </c>
      <c r="G24" s="19">
        <f>SUMPRODUCT((raw!$B$2:$B$369='(2018-19)'!$A24)*(raw!$E$2:$E$369='(2018-19)'!$F$6)*(raw!$F$2:$F$369='(2018-19)'!G$7)*(raw!$G$2:$G$369))</f>
        <v>2</v>
      </c>
      <c r="H24" s="20">
        <f t="shared" si="1"/>
        <v>3.2258064516129031E-2</v>
      </c>
      <c r="I24" s="19"/>
      <c r="J24" s="14">
        <f t="shared" si="2"/>
        <v>113</v>
      </c>
      <c r="K24" s="14">
        <f t="shared" si="2"/>
        <v>6</v>
      </c>
      <c r="L24" s="20">
        <f t="shared" si="3"/>
        <v>5.0420168067226892E-2</v>
      </c>
      <c r="M24" s="19"/>
      <c r="N24" s="19">
        <f>SUMPRODUCT((raw!$B$2:$B$369='(2018-19)'!$A24)*(raw!$E$2:$E$369='(2018-19)'!$N$6)*(raw!$F$2:$F$369='(2018-19)'!N$7)*(raw!$G$2:$G$369))</f>
        <v>0</v>
      </c>
      <c r="O24" s="19">
        <f>SUMPRODUCT((raw!$B$2:$B$369='(2018-19)'!$A24)*(raw!$E$2:$E$369='(2018-19)'!$N$6)*(raw!$F$2:$F$369='(2018-19)'!O$7)*(raw!$G$2:$G$369))</f>
        <v>3</v>
      </c>
      <c r="P24" s="20">
        <f t="shared" si="4"/>
        <v>1</v>
      </c>
      <c r="Q24" s="19"/>
      <c r="R24" s="19">
        <f>SUMPRODUCT((raw!$B$2:$B$369='(2018-19)'!$A24)*(raw!$E$2:$E$369='(2018-19)'!$R$6)*(raw!$F$2:$F$369='(2018-19)'!R$7)*(raw!$G$2:$G$369))</f>
        <v>16</v>
      </c>
      <c r="S24" s="19">
        <f>SUMPRODUCT((raw!$B$2:$B$369='(2018-19)'!$A24)*(raw!$E$2:$E$369='(2018-19)'!$R$6)*(raw!$F$2:$F$369='(2018-19)'!S$7)*(raw!$G$2:$G$369))</f>
        <v>15</v>
      </c>
      <c r="T24" s="20">
        <f t="shared" si="5"/>
        <v>0.4838709677419355</v>
      </c>
      <c r="U24" s="19"/>
      <c r="V24" s="14">
        <f t="shared" si="6"/>
        <v>129</v>
      </c>
      <c r="W24" s="14">
        <f t="shared" si="6"/>
        <v>24</v>
      </c>
      <c r="X24" s="20">
        <f t="shared" si="7"/>
        <v>0.15686274509803921</v>
      </c>
      <c r="Y24" s="16"/>
      <c r="Z24" s="16"/>
      <c r="AA24" s="16"/>
      <c r="AB24" s="16"/>
      <c r="AC24" s="16"/>
      <c r="AD24" s="16"/>
      <c r="AE24" s="16"/>
      <c r="AF24" s="16"/>
      <c r="AG24" s="16"/>
    </row>
    <row r="25" spans="1:33" s="6" customFormat="1" ht="15" customHeight="1" x14ac:dyDescent="0.35">
      <c r="A25" s="5" t="s">
        <v>27</v>
      </c>
      <c r="B25" s="19">
        <f>SUMPRODUCT((raw!$B$2:$B$369='(2018-19)'!$A25)*(raw!$E$2:$E$369='(2018-19)'!$B$6:$D$6)*(raw!$F$2:$F$369='(2018-19)'!B$7)*(raw!$G$2:$G$369))</f>
        <v>7</v>
      </c>
      <c r="C25" s="19">
        <f>SUMPRODUCT((raw!$B$2:$B$369='(2018-19)'!$A25)*(raw!$E$2:$E$369='(2018-19)'!$B$6:$D$6)*(raw!$F$2:$F$369='(2018-19)'!C$7)*(raw!$G$2:$G$369))</f>
        <v>0</v>
      </c>
      <c r="D25" s="20">
        <f t="shared" si="0"/>
        <v>0</v>
      </c>
      <c r="E25" s="19"/>
      <c r="F25" s="19">
        <f>SUMPRODUCT((raw!$B$2:$B$369='(2018-19)'!$A25)*(raw!$E$2:$E$369='(2018-19)'!$F$6)*(raw!$F$2:$F$369='(2018-19)'!F$7)*(raw!$G$2:$G$369))</f>
        <v>42</v>
      </c>
      <c r="G25" s="19">
        <f>SUMPRODUCT((raw!$B$2:$B$369='(2018-19)'!$A25)*(raw!$E$2:$E$369='(2018-19)'!$F$6)*(raw!$F$2:$F$369='(2018-19)'!G$7)*(raw!$G$2:$G$369))</f>
        <v>9</v>
      </c>
      <c r="H25" s="20">
        <f t="shared" si="1"/>
        <v>0.17647058823529413</v>
      </c>
      <c r="I25" s="19"/>
      <c r="J25" s="14">
        <f t="shared" si="2"/>
        <v>49</v>
      </c>
      <c r="K25" s="14">
        <f t="shared" si="2"/>
        <v>9</v>
      </c>
      <c r="L25" s="20">
        <f t="shared" si="3"/>
        <v>0.15517241379310345</v>
      </c>
      <c r="M25" s="19"/>
      <c r="N25" s="19">
        <f>SUMPRODUCT((raw!$B$2:$B$369='(2018-19)'!$A25)*(raw!$E$2:$E$369='(2018-19)'!$N$6)*(raw!$F$2:$F$369='(2018-19)'!N$7)*(raw!$G$2:$G$369))</f>
        <v>0</v>
      </c>
      <c r="O25" s="19">
        <f>SUMPRODUCT((raw!$B$2:$B$369='(2018-19)'!$A25)*(raw!$E$2:$E$369='(2018-19)'!$N$6)*(raw!$F$2:$F$369='(2018-19)'!O$7)*(raw!$G$2:$G$369))</f>
        <v>0</v>
      </c>
      <c r="P25" s="20" t="str">
        <f t="shared" si="4"/>
        <v>-</v>
      </c>
      <c r="Q25" s="19"/>
      <c r="R25" s="19">
        <f>SUMPRODUCT((raw!$B$2:$B$369='(2018-19)'!$A25)*(raw!$E$2:$E$369='(2018-19)'!$R$6)*(raw!$F$2:$F$369='(2018-19)'!R$7)*(raw!$G$2:$G$369))</f>
        <v>5</v>
      </c>
      <c r="S25" s="19">
        <f>SUMPRODUCT((raw!$B$2:$B$369='(2018-19)'!$A25)*(raw!$E$2:$E$369='(2018-19)'!$R$6)*(raw!$F$2:$F$369='(2018-19)'!S$7)*(raw!$G$2:$G$369))</f>
        <v>0</v>
      </c>
      <c r="T25" s="20">
        <f t="shared" si="5"/>
        <v>0</v>
      </c>
      <c r="U25" s="19"/>
      <c r="V25" s="14">
        <f t="shared" si="6"/>
        <v>54</v>
      </c>
      <c r="W25" s="14">
        <f t="shared" si="6"/>
        <v>9</v>
      </c>
      <c r="X25" s="20">
        <f t="shared" si="7"/>
        <v>0.14285714285714285</v>
      </c>
      <c r="Y25" s="16"/>
      <c r="Z25" s="16"/>
      <c r="AA25" s="16"/>
      <c r="AB25" s="16"/>
      <c r="AC25" s="16"/>
      <c r="AD25" s="16"/>
      <c r="AE25" s="16"/>
      <c r="AF25" s="16"/>
      <c r="AG25" s="16"/>
    </row>
    <row r="26" spans="1:33" s="6" customFormat="1" ht="15" customHeight="1" x14ac:dyDescent="0.35">
      <c r="A26" s="5" t="s">
        <v>28</v>
      </c>
      <c r="B26" s="19">
        <f>SUMPRODUCT((raw!$B$2:$B$369='(2018-19)'!$A26)*(raw!$E$2:$E$369='(2018-19)'!$B$6:$D$6)*(raw!$F$2:$F$369='(2018-19)'!B$7)*(raw!$G$2:$G$369))</f>
        <v>5</v>
      </c>
      <c r="C26" s="19">
        <f>SUMPRODUCT((raw!$B$2:$B$369='(2018-19)'!$A26)*(raw!$E$2:$E$369='(2018-19)'!$B$6:$D$6)*(raw!$F$2:$F$369='(2018-19)'!C$7)*(raw!$G$2:$G$369))</f>
        <v>54</v>
      </c>
      <c r="D26" s="20">
        <f t="shared" si="0"/>
        <v>0.9152542372881356</v>
      </c>
      <c r="E26" s="19"/>
      <c r="F26" s="19">
        <f>SUMPRODUCT((raw!$B$2:$B$369='(2018-19)'!$A26)*(raw!$E$2:$E$369='(2018-19)'!$F$6)*(raw!$F$2:$F$369='(2018-19)'!F$7)*(raw!$G$2:$G$369))</f>
        <v>16</v>
      </c>
      <c r="G26" s="19">
        <f>SUMPRODUCT((raw!$B$2:$B$369='(2018-19)'!$A26)*(raw!$E$2:$E$369='(2018-19)'!$F$6)*(raw!$F$2:$F$369='(2018-19)'!G$7)*(raw!$G$2:$G$369))</f>
        <v>94</v>
      </c>
      <c r="H26" s="20">
        <f t="shared" si="1"/>
        <v>0.8545454545454545</v>
      </c>
      <c r="I26" s="19"/>
      <c r="J26" s="14">
        <f t="shared" si="2"/>
        <v>21</v>
      </c>
      <c r="K26" s="14">
        <f t="shared" si="2"/>
        <v>148</v>
      </c>
      <c r="L26" s="20">
        <f t="shared" si="3"/>
        <v>0.87573964497041423</v>
      </c>
      <c r="M26" s="19"/>
      <c r="N26" s="19">
        <f>SUMPRODUCT((raw!$B$2:$B$369='(2018-19)'!$A26)*(raw!$E$2:$E$369='(2018-19)'!$N$6)*(raw!$F$2:$F$369='(2018-19)'!N$7)*(raw!$G$2:$G$369))</f>
        <v>3</v>
      </c>
      <c r="O26" s="19">
        <f>SUMPRODUCT((raw!$B$2:$B$369='(2018-19)'!$A26)*(raw!$E$2:$E$369='(2018-19)'!$N$6)*(raw!$F$2:$F$369='(2018-19)'!O$7)*(raw!$G$2:$G$369))</f>
        <v>0</v>
      </c>
      <c r="P26" s="20">
        <f t="shared" si="4"/>
        <v>0</v>
      </c>
      <c r="Q26" s="19"/>
      <c r="R26" s="19">
        <f>SUMPRODUCT((raw!$B$2:$B$369='(2018-19)'!$A26)*(raw!$E$2:$E$369='(2018-19)'!$R$6)*(raw!$F$2:$F$369='(2018-19)'!R$7)*(raw!$G$2:$G$369))</f>
        <v>17</v>
      </c>
      <c r="S26" s="19">
        <f>SUMPRODUCT((raw!$B$2:$B$369='(2018-19)'!$A26)*(raw!$E$2:$E$369='(2018-19)'!$R$6)*(raw!$F$2:$F$369='(2018-19)'!S$7)*(raw!$G$2:$G$369))</f>
        <v>11</v>
      </c>
      <c r="T26" s="20">
        <f t="shared" si="5"/>
        <v>0.39285714285714285</v>
      </c>
      <c r="U26" s="19"/>
      <c r="V26" s="14">
        <f t="shared" si="6"/>
        <v>41</v>
      </c>
      <c r="W26" s="14">
        <f t="shared" si="6"/>
        <v>159</v>
      </c>
      <c r="X26" s="20">
        <f t="shared" si="7"/>
        <v>0.79500000000000004</v>
      </c>
      <c r="Y26" s="16"/>
      <c r="Z26" s="16"/>
      <c r="AA26" s="16"/>
      <c r="AB26" s="16"/>
      <c r="AC26" s="16"/>
      <c r="AD26" s="16"/>
      <c r="AE26" s="16"/>
      <c r="AF26" s="16"/>
      <c r="AG26" s="16"/>
    </row>
    <row r="27" spans="1:33" s="6" customFormat="1" ht="15" customHeight="1" x14ac:dyDescent="0.35">
      <c r="A27" s="5" t="s">
        <v>29</v>
      </c>
      <c r="B27" s="19">
        <f>SUMPRODUCT((raw!$B$2:$B$369='(2018-19)'!$A27)*(raw!$E$2:$E$369='(2018-19)'!$B$6:$D$6)*(raw!$F$2:$F$369='(2018-19)'!B$7)*(raw!$G$2:$G$369))</f>
        <v>21</v>
      </c>
      <c r="C27" s="19">
        <f>SUMPRODUCT((raw!$B$2:$B$369='(2018-19)'!$A27)*(raw!$E$2:$E$369='(2018-19)'!$B$6:$D$6)*(raw!$F$2:$F$369='(2018-19)'!C$7)*(raw!$G$2:$G$369))</f>
        <v>4</v>
      </c>
      <c r="D27" s="20">
        <f t="shared" si="0"/>
        <v>0.16</v>
      </c>
      <c r="E27" s="19"/>
      <c r="F27" s="19">
        <f>SUMPRODUCT((raw!$B$2:$B$369='(2018-19)'!$A27)*(raw!$E$2:$E$369='(2018-19)'!$F$6)*(raw!$F$2:$F$369='(2018-19)'!F$7)*(raw!$G$2:$G$369))</f>
        <v>58</v>
      </c>
      <c r="G27" s="19">
        <f>SUMPRODUCT((raw!$B$2:$B$369='(2018-19)'!$A27)*(raw!$E$2:$E$369='(2018-19)'!$F$6)*(raw!$F$2:$F$369='(2018-19)'!G$7)*(raw!$G$2:$G$369))</f>
        <v>5</v>
      </c>
      <c r="H27" s="20">
        <f t="shared" si="1"/>
        <v>7.9365079365079361E-2</v>
      </c>
      <c r="I27" s="19"/>
      <c r="J27" s="14">
        <f t="shared" si="2"/>
        <v>79</v>
      </c>
      <c r="K27" s="14">
        <f t="shared" si="2"/>
        <v>9</v>
      </c>
      <c r="L27" s="20">
        <f t="shared" si="3"/>
        <v>0.10227272727272728</v>
      </c>
      <c r="M27" s="19"/>
      <c r="N27" s="19">
        <f>SUMPRODUCT((raw!$B$2:$B$369='(2018-19)'!$A27)*(raw!$E$2:$E$369='(2018-19)'!$N$6)*(raw!$F$2:$F$369='(2018-19)'!N$7)*(raw!$G$2:$G$369))</f>
        <v>2</v>
      </c>
      <c r="O27" s="19">
        <f>SUMPRODUCT((raw!$B$2:$B$369='(2018-19)'!$A27)*(raw!$E$2:$E$369='(2018-19)'!$N$6)*(raw!$F$2:$F$369='(2018-19)'!O$7)*(raw!$G$2:$G$369))</f>
        <v>0</v>
      </c>
      <c r="P27" s="20">
        <f t="shared" si="4"/>
        <v>0</v>
      </c>
      <c r="Q27" s="19"/>
      <c r="R27" s="19">
        <f>SUMPRODUCT((raw!$B$2:$B$369='(2018-19)'!$A27)*(raw!$E$2:$E$369='(2018-19)'!$R$6)*(raw!$F$2:$F$369='(2018-19)'!R$7)*(raw!$G$2:$G$369))</f>
        <v>15</v>
      </c>
      <c r="S27" s="19">
        <f>SUMPRODUCT((raw!$B$2:$B$369='(2018-19)'!$A27)*(raw!$E$2:$E$369='(2018-19)'!$R$6)*(raw!$F$2:$F$369='(2018-19)'!S$7)*(raw!$G$2:$G$369))</f>
        <v>10</v>
      </c>
      <c r="T27" s="20">
        <f t="shared" si="5"/>
        <v>0.4</v>
      </c>
      <c r="U27" s="19"/>
      <c r="V27" s="14">
        <f t="shared" si="6"/>
        <v>96</v>
      </c>
      <c r="W27" s="14">
        <f t="shared" si="6"/>
        <v>19</v>
      </c>
      <c r="X27" s="20">
        <f t="shared" si="7"/>
        <v>0.16521739130434782</v>
      </c>
      <c r="Y27" s="16"/>
      <c r="Z27" s="16"/>
      <c r="AA27" s="16"/>
      <c r="AB27" s="16"/>
      <c r="AC27" s="16"/>
      <c r="AD27" s="16"/>
      <c r="AE27" s="16"/>
      <c r="AF27" s="16"/>
      <c r="AG27" s="16"/>
    </row>
    <row r="28" spans="1:33" s="6" customFormat="1" ht="15" customHeight="1" x14ac:dyDescent="0.35">
      <c r="A28" s="5" t="s">
        <v>30</v>
      </c>
      <c r="B28" s="19">
        <f>SUMPRODUCT((raw!$B$2:$B$369='(2018-19)'!$A28)*(raw!$E$2:$E$369='(2018-19)'!$B$6:$D$6)*(raw!$F$2:$F$369='(2018-19)'!B$7)*(raw!$G$2:$G$369))</f>
        <v>22</v>
      </c>
      <c r="C28" s="19">
        <f>SUMPRODUCT((raw!$B$2:$B$369='(2018-19)'!$A28)*(raw!$E$2:$E$369='(2018-19)'!$B$6:$D$6)*(raw!$F$2:$F$369='(2018-19)'!C$7)*(raw!$G$2:$G$369))</f>
        <v>4</v>
      </c>
      <c r="D28" s="20">
        <f t="shared" si="0"/>
        <v>0.15384615384615385</v>
      </c>
      <c r="E28" s="19"/>
      <c r="F28" s="19">
        <f>SUMPRODUCT((raw!$B$2:$B$369='(2018-19)'!$A28)*(raw!$E$2:$E$369='(2018-19)'!$F$6)*(raw!$F$2:$F$369='(2018-19)'!F$7)*(raw!$G$2:$G$369))</f>
        <v>20</v>
      </c>
      <c r="G28" s="19">
        <f>SUMPRODUCT((raw!$B$2:$B$369='(2018-19)'!$A28)*(raw!$E$2:$E$369='(2018-19)'!$F$6)*(raw!$F$2:$F$369='(2018-19)'!G$7)*(raw!$G$2:$G$369))</f>
        <v>2</v>
      </c>
      <c r="H28" s="20">
        <f t="shared" si="1"/>
        <v>9.0909090909090912E-2</v>
      </c>
      <c r="I28" s="19"/>
      <c r="J28" s="14">
        <f t="shared" si="2"/>
        <v>42</v>
      </c>
      <c r="K28" s="14">
        <f t="shared" si="2"/>
        <v>6</v>
      </c>
      <c r="L28" s="20">
        <f t="shared" si="3"/>
        <v>0.125</v>
      </c>
      <c r="M28" s="19"/>
      <c r="N28" s="19">
        <f>SUMPRODUCT((raw!$B$2:$B$369='(2018-19)'!$A28)*(raw!$E$2:$E$369='(2018-19)'!$N$6)*(raw!$F$2:$F$369='(2018-19)'!N$7)*(raw!$G$2:$G$369))</f>
        <v>0</v>
      </c>
      <c r="O28" s="19">
        <f>SUMPRODUCT((raw!$B$2:$B$369='(2018-19)'!$A28)*(raw!$E$2:$E$369='(2018-19)'!$N$6)*(raw!$F$2:$F$369='(2018-19)'!O$7)*(raw!$G$2:$G$369))</f>
        <v>0</v>
      </c>
      <c r="P28" s="20" t="str">
        <f t="shared" si="4"/>
        <v>-</v>
      </c>
      <c r="Q28" s="19"/>
      <c r="R28" s="19">
        <f>SUMPRODUCT((raw!$B$2:$B$369='(2018-19)'!$A28)*(raw!$E$2:$E$369='(2018-19)'!$R$6)*(raw!$F$2:$F$369='(2018-19)'!R$7)*(raw!$G$2:$G$369))</f>
        <v>6</v>
      </c>
      <c r="S28" s="19">
        <f>SUMPRODUCT((raw!$B$2:$B$369='(2018-19)'!$A28)*(raw!$E$2:$E$369='(2018-19)'!$R$6)*(raw!$F$2:$F$369='(2018-19)'!S$7)*(raw!$G$2:$G$369))</f>
        <v>6</v>
      </c>
      <c r="T28" s="20">
        <f t="shared" si="5"/>
        <v>0.5</v>
      </c>
      <c r="U28" s="19"/>
      <c r="V28" s="14">
        <f t="shared" si="6"/>
        <v>48</v>
      </c>
      <c r="W28" s="14">
        <f t="shared" si="6"/>
        <v>12</v>
      </c>
      <c r="X28" s="20">
        <f t="shared" si="7"/>
        <v>0.2</v>
      </c>
      <c r="Y28" s="16"/>
      <c r="Z28" s="16"/>
      <c r="AA28" s="16"/>
      <c r="AB28" s="16"/>
      <c r="AC28" s="16"/>
      <c r="AD28" s="16"/>
      <c r="AE28" s="16"/>
      <c r="AF28" s="16"/>
      <c r="AG28" s="16"/>
    </row>
    <row r="29" spans="1:33" s="6" customFormat="1" ht="15" customHeight="1" x14ac:dyDescent="0.35">
      <c r="A29" s="5" t="s">
        <v>31</v>
      </c>
      <c r="B29" s="19">
        <f>SUMPRODUCT((raw!$B$2:$B$369='(2018-19)'!$A29)*(raw!$E$2:$E$369='(2018-19)'!$B$6:$D$6)*(raw!$F$2:$F$369='(2018-19)'!B$7)*(raw!$G$2:$G$369))</f>
        <v>15</v>
      </c>
      <c r="C29" s="19">
        <f>SUMPRODUCT((raw!$B$2:$B$369='(2018-19)'!$A29)*(raw!$E$2:$E$369='(2018-19)'!$B$6:$D$6)*(raw!$F$2:$F$369='(2018-19)'!C$7)*(raw!$G$2:$G$369))</f>
        <v>7</v>
      </c>
      <c r="D29" s="20">
        <f t="shared" si="0"/>
        <v>0.31818181818181818</v>
      </c>
      <c r="E29" s="19"/>
      <c r="F29" s="19">
        <f>SUMPRODUCT((raw!$B$2:$B$369='(2018-19)'!$A29)*(raw!$E$2:$E$369='(2018-19)'!$F$6)*(raw!$F$2:$F$369='(2018-19)'!F$7)*(raw!$G$2:$G$369))</f>
        <v>26</v>
      </c>
      <c r="G29" s="19">
        <f>SUMPRODUCT((raw!$B$2:$B$369='(2018-19)'!$A29)*(raw!$E$2:$E$369='(2018-19)'!$F$6)*(raw!$F$2:$F$369='(2018-19)'!G$7)*(raw!$G$2:$G$369))</f>
        <v>5</v>
      </c>
      <c r="H29" s="20">
        <f t="shared" si="1"/>
        <v>0.16129032258064516</v>
      </c>
      <c r="I29" s="19"/>
      <c r="J29" s="14">
        <f t="shared" si="2"/>
        <v>41</v>
      </c>
      <c r="K29" s="14">
        <f t="shared" si="2"/>
        <v>12</v>
      </c>
      <c r="L29" s="20">
        <f t="shared" si="3"/>
        <v>0.22641509433962265</v>
      </c>
      <c r="M29" s="19"/>
      <c r="N29" s="19">
        <f>SUMPRODUCT((raw!$B$2:$B$369='(2018-19)'!$A29)*(raw!$E$2:$E$369='(2018-19)'!$N$6)*(raw!$F$2:$F$369='(2018-19)'!N$7)*(raw!$G$2:$G$369))</f>
        <v>0</v>
      </c>
      <c r="O29" s="19">
        <f>SUMPRODUCT((raw!$B$2:$B$369='(2018-19)'!$A29)*(raw!$E$2:$E$369='(2018-19)'!$N$6)*(raw!$F$2:$F$369='(2018-19)'!O$7)*(raw!$G$2:$G$369))</f>
        <v>4</v>
      </c>
      <c r="P29" s="20">
        <f t="shared" si="4"/>
        <v>1</v>
      </c>
      <c r="Q29" s="19"/>
      <c r="R29" s="19">
        <f>SUMPRODUCT((raw!$B$2:$B$369='(2018-19)'!$A29)*(raw!$E$2:$E$369='(2018-19)'!$R$6)*(raw!$F$2:$F$369='(2018-19)'!R$7)*(raw!$G$2:$G$369))</f>
        <v>5</v>
      </c>
      <c r="S29" s="19">
        <f>SUMPRODUCT((raw!$B$2:$B$369='(2018-19)'!$A29)*(raw!$E$2:$E$369='(2018-19)'!$R$6)*(raw!$F$2:$F$369='(2018-19)'!S$7)*(raw!$G$2:$G$369))</f>
        <v>13</v>
      </c>
      <c r="T29" s="20">
        <f t="shared" si="5"/>
        <v>0.72222222222222221</v>
      </c>
      <c r="U29" s="19"/>
      <c r="V29" s="14">
        <f t="shared" si="6"/>
        <v>46</v>
      </c>
      <c r="W29" s="14">
        <f t="shared" si="6"/>
        <v>29</v>
      </c>
      <c r="X29" s="20">
        <f t="shared" si="7"/>
        <v>0.38666666666666666</v>
      </c>
      <c r="Y29" s="16"/>
      <c r="Z29" s="16"/>
      <c r="AA29" s="16"/>
      <c r="AB29" s="16"/>
      <c r="AC29" s="16"/>
      <c r="AD29" s="16"/>
      <c r="AE29" s="16"/>
      <c r="AF29" s="16"/>
      <c r="AG29" s="16"/>
    </row>
    <row r="30" spans="1:33" s="6" customFormat="1" ht="15" customHeight="1" x14ac:dyDescent="0.35">
      <c r="A30" s="5" t="s">
        <v>32</v>
      </c>
      <c r="B30" s="19">
        <f>SUMPRODUCT((raw!$B$2:$B$369='(2018-19)'!$A30)*(raw!$E$2:$E$369='(2018-19)'!$B$6:$D$6)*(raw!$F$2:$F$369='(2018-19)'!B$7)*(raw!$G$2:$G$369))</f>
        <v>0</v>
      </c>
      <c r="C30" s="19">
        <f>SUMPRODUCT((raw!$B$2:$B$369='(2018-19)'!$A30)*(raw!$E$2:$E$369='(2018-19)'!$B$6:$D$6)*(raw!$F$2:$F$369='(2018-19)'!C$7)*(raw!$G$2:$G$369))</f>
        <v>0</v>
      </c>
      <c r="D30" s="20" t="str">
        <f t="shared" si="0"/>
        <v>-</v>
      </c>
      <c r="E30" s="19"/>
      <c r="F30" s="19">
        <f>SUMPRODUCT((raw!$B$2:$B$369='(2018-19)'!$A30)*(raw!$E$2:$E$369='(2018-19)'!$F$6)*(raw!$F$2:$F$369='(2018-19)'!F$7)*(raw!$G$2:$G$369))</f>
        <v>9</v>
      </c>
      <c r="G30" s="19">
        <f>SUMPRODUCT((raw!$B$2:$B$369='(2018-19)'!$A30)*(raw!$E$2:$E$369='(2018-19)'!$F$6)*(raw!$F$2:$F$369='(2018-19)'!G$7)*(raw!$G$2:$G$369))</f>
        <v>0</v>
      </c>
      <c r="H30" s="20">
        <f t="shared" si="1"/>
        <v>0</v>
      </c>
      <c r="I30" s="19"/>
      <c r="J30" s="14">
        <f t="shared" si="2"/>
        <v>9</v>
      </c>
      <c r="K30" s="14">
        <f t="shared" si="2"/>
        <v>0</v>
      </c>
      <c r="L30" s="20">
        <f t="shared" si="3"/>
        <v>0</v>
      </c>
      <c r="M30" s="19"/>
      <c r="N30" s="19">
        <f>SUMPRODUCT((raw!$B$2:$B$369='(2018-19)'!$A30)*(raw!$E$2:$E$369='(2018-19)'!$N$6)*(raw!$F$2:$F$369='(2018-19)'!N$7)*(raw!$G$2:$G$369))</f>
        <v>0</v>
      </c>
      <c r="O30" s="19">
        <f>SUMPRODUCT((raw!$B$2:$B$369='(2018-19)'!$A30)*(raw!$E$2:$E$369='(2018-19)'!$N$6)*(raw!$F$2:$F$369='(2018-19)'!O$7)*(raw!$G$2:$G$369))</f>
        <v>0</v>
      </c>
      <c r="P30" s="20" t="str">
        <f t="shared" si="4"/>
        <v>-</v>
      </c>
      <c r="Q30" s="19"/>
      <c r="R30" s="19">
        <f>SUMPRODUCT((raw!$B$2:$B$369='(2018-19)'!$A30)*(raw!$E$2:$E$369='(2018-19)'!$R$6)*(raw!$F$2:$F$369='(2018-19)'!R$7)*(raw!$G$2:$G$369))</f>
        <v>2</v>
      </c>
      <c r="S30" s="19">
        <f>SUMPRODUCT((raw!$B$2:$B$369='(2018-19)'!$A30)*(raw!$E$2:$E$369='(2018-19)'!$R$6)*(raw!$F$2:$F$369='(2018-19)'!S$7)*(raw!$G$2:$G$369))</f>
        <v>0</v>
      </c>
      <c r="T30" s="20">
        <f t="shared" si="5"/>
        <v>0</v>
      </c>
      <c r="U30" s="19"/>
      <c r="V30" s="14">
        <f t="shared" si="6"/>
        <v>11</v>
      </c>
      <c r="W30" s="14">
        <f t="shared" si="6"/>
        <v>0</v>
      </c>
      <c r="X30" s="20">
        <f t="shared" si="7"/>
        <v>0</v>
      </c>
      <c r="Y30" s="16"/>
      <c r="Z30" s="16"/>
      <c r="AA30" s="16"/>
      <c r="AB30" s="16"/>
      <c r="AC30" s="16"/>
      <c r="AD30" s="16"/>
      <c r="AE30" s="16"/>
      <c r="AF30" s="16"/>
      <c r="AG30" s="16"/>
    </row>
    <row r="31" spans="1:33" s="6" customFormat="1" ht="15" customHeight="1" x14ac:dyDescent="0.35">
      <c r="A31" s="6" t="s">
        <v>33</v>
      </c>
      <c r="B31" s="19">
        <f>SUMPRODUCT((raw!$B$2:$B$369='(2018-19)'!$A31)*(raw!$E$2:$E$369='(2018-19)'!$B$6:$D$6)*(raw!$F$2:$F$369='(2018-19)'!B$7)*(raw!$G$2:$G$369))</f>
        <v>31</v>
      </c>
      <c r="C31" s="19">
        <f>SUMPRODUCT((raw!$B$2:$B$369='(2018-19)'!$A31)*(raw!$E$2:$E$369='(2018-19)'!$B$6:$D$6)*(raw!$F$2:$F$369='(2018-19)'!C$7)*(raw!$G$2:$G$369))</f>
        <v>2</v>
      </c>
      <c r="D31" s="20">
        <f t="shared" si="0"/>
        <v>6.0606060606060608E-2</v>
      </c>
      <c r="E31" s="19"/>
      <c r="F31" s="19">
        <f>SUMPRODUCT((raw!$B$2:$B$369='(2018-19)'!$A31)*(raw!$E$2:$E$369='(2018-19)'!$F$6)*(raw!$F$2:$F$369='(2018-19)'!F$7)*(raw!$G$2:$G$369))</f>
        <v>93</v>
      </c>
      <c r="G31" s="19">
        <f>SUMPRODUCT((raw!$B$2:$B$369='(2018-19)'!$A31)*(raw!$E$2:$E$369='(2018-19)'!$F$6)*(raw!$F$2:$F$369='(2018-19)'!G$7)*(raw!$G$2:$G$369))</f>
        <v>9</v>
      </c>
      <c r="H31" s="20">
        <f t="shared" si="1"/>
        <v>8.8235294117647065E-2</v>
      </c>
      <c r="I31" s="19"/>
      <c r="J31" s="14">
        <f t="shared" si="2"/>
        <v>124</v>
      </c>
      <c r="K31" s="14">
        <f t="shared" si="2"/>
        <v>11</v>
      </c>
      <c r="L31" s="20">
        <f t="shared" si="3"/>
        <v>8.1481481481481488E-2</v>
      </c>
      <c r="M31" s="19"/>
      <c r="N31" s="19">
        <f>SUMPRODUCT((raw!$B$2:$B$369='(2018-19)'!$A31)*(raw!$E$2:$E$369='(2018-19)'!$N$6)*(raw!$F$2:$F$369='(2018-19)'!N$7)*(raw!$G$2:$G$369))</f>
        <v>0</v>
      </c>
      <c r="O31" s="19">
        <f>SUMPRODUCT((raw!$B$2:$B$369='(2018-19)'!$A31)*(raw!$E$2:$E$369='(2018-19)'!$N$6)*(raw!$F$2:$F$369='(2018-19)'!O$7)*(raw!$G$2:$G$369))</f>
        <v>1</v>
      </c>
      <c r="P31" s="20">
        <f t="shared" si="4"/>
        <v>1</v>
      </c>
      <c r="Q31" s="19"/>
      <c r="R31" s="19">
        <f>SUMPRODUCT((raw!$B$2:$B$369='(2018-19)'!$A31)*(raw!$E$2:$E$369='(2018-19)'!$R$6)*(raw!$F$2:$F$369='(2018-19)'!R$7)*(raw!$G$2:$G$369))</f>
        <v>22</v>
      </c>
      <c r="S31" s="19">
        <f>SUMPRODUCT((raw!$B$2:$B$369='(2018-19)'!$A31)*(raw!$E$2:$E$369='(2018-19)'!$R$6)*(raw!$F$2:$F$369='(2018-19)'!S$7)*(raw!$G$2:$G$369))</f>
        <v>18</v>
      </c>
      <c r="T31" s="20">
        <f t="shared" si="5"/>
        <v>0.45</v>
      </c>
      <c r="U31" s="19"/>
      <c r="V31" s="14">
        <f t="shared" si="6"/>
        <v>146</v>
      </c>
      <c r="W31" s="14">
        <f t="shared" si="6"/>
        <v>30</v>
      </c>
      <c r="X31" s="20">
        <f t="shared" si="7"/>
        <v>0.17045454545454544</v>
      </c>
      <c r="Y31" s="16"/>
      <c r="Z31" s="16"/>
      <c r="AA31" s="16"/>
      <c r="AB31" s="16"/>
      <c r="AC31" s="16"/>
      <c r="AD31" s="16"/>
      <c r="AE31" s="16"/>
      <c r="AF31" s="16"/>
      <c r="AG31" s="16"/>
    </row>
    <row r="32" spans="1:33" s="6" customFormat="1" ht="15" customHeight="1" x14ac:dyDescent="0.35">
      <c r="A32" s="6" t="s">
        <v>34</v>
      </c>
      <c r="B32" s="19">
        <f>SUMPRODUCT((raw!$B$2:$B$369='(2018-19)'!$A32)*(raw!$E$2:$E$369='(2018-19)'!$B$6:$D$6)*(raw!$F$2:$F$369='(2018-19)'!B$7)*(raw!$G$2:$G$369))</f>
        <v>45</v>
      </c>
      <c r="C32" s="19">
        <f>SUMPRODUCT((raw!$B$2:$B$369='(2018-19)'!$A32)*(raw!$E$2:$E$369='(2018-19)'!$B$6:$D$6)*(raw!$F$2:$F$369='(2018-19)'!C$7)*(raw!$G$2:$G$369))</f>
        <v>10</v>
      </c>
      <c r="D32" s="20">
        <f t="shared" si="0"/>
        <v>0.18181818181818182</v>
      </c>
      <c r="E32" s="19"/>
      <c r="F32" s="19">
        <f>SUMPRODUCT((raw!$B$2:$B$369='(2018-19)'!$A32)*(raw!$E$2:$E$369='(2018-19)'!$F$6)*(raw!$F$2:$F$369='(2018-19)'!F$7)*(raw!$G$2:$G$369))</f>
        <v>64</v>
      </c>
      <c r="G32" s="19">
        <f>SUMPRODUCT((raw!$B$2:$B$369='(2018-19)'!$A32)*(raw!$E$2:$E$369='(2018-19)'!$F$6)*(raw!$F$2:$F$369='(2018-19)'!G$7)*(raw!$G$2:$G$369))</f>
        <v>8</v>
      </c>
      <c r="H32" s="20">
        <f t="shared" si="1"/>
        <v>0.1111111111111111</v>
      </c>
      <c r="I32" s="19"/>
      <c r="J32" s="14">
        <f t="shared" si="2"/>
        <v>109</v>
      </c>
      <c r="K32" s="14">
        <f t="shared" si="2"/>
        <v>18</v>
      </c>
      <c r="L32" s="20">
        <f t="shared" si="3"/>
        <v>0.14173228346456693</v>
      </c>
      <c r="M32" s="19"/>
      <c r="N32" s="19">
        <f>SUMPRODUCT((raw!$B$2:$B$369='(2018-19)'!$A32)*(raw!$E$2:$E$369='(2018-19)'!$N$6)*(raw!$F$2:$F$369='(2018-19)'!N$7)*(raw!$G$2:$G$369))</f>
        <v>0</v>
      </c>
      <c r="O32" s="19">
        <f>SUMPRODUCT((raw!$B$2:$B$369='(2018-19)'!$A32)*(raw!$E$2:$E$369='(2018-19)'!$N$6)*(raw!$F$2:$F$369='(2018-19)'!O$7)*(raw!$G$2:$G$369))</f>
        <v>0</v>
      </c>
      <c r="P32" s="20" t="str">
        <f t="shared" si="4"/>
        <v>-</v>
      </c>
      <c r="Q32" s="19"/>
      <c r="R32" s="19">
        <f>SUMPRODUCT((raw!$B$2:$B$369='(2018-19)'!$A32)*(raw!$E$2:$E$369='(2018-19)'!$R$6)*(raw!$F$2:$F$369='(2018-19)'!R$7)*(raw!$G$2:$G$369))</f>
        <v>9</v>
      </c>
      <c r="S32" s="19">
        <f>SUMPRODUCT((raw!$B$2:$B$369='(2018-19)'!$A32)*(raw!$E$2:$E$369='(2018-19)'!$R$6)*(raw!$F$2:$F$369='(2018-19)'!S$7)*(raw!$G$2:$G$369))</f>
        <v>13</v>
      </c>
      <c r="T32" s="20">
        <f t="shared" si="5"/>
        <v>0.59090909090909094</v>
      </c>
      <c r="U32" s="19"/>
      <c r="V32" s="14">
        <f t="shared" si="6"/>
        <v>118</v>
      </c>
      <c r="W32" s="14">
        <f t="shared" si="6"/>
        <v>31</v>
      </c>
      <c r="X32" s="20">
        <f t="shared" si="7"/>
        <v>0.20805369127516779</v>
      </c>
      <c r="Y32" s="16"/>
      <c r="Z32" s="16"/>
      <c r="AA32" s="16"/>
      <c r="AB32" s="16"/>
      <c r="AC32" s="16"/>
      <c r="AD32" s="16"/>
      <c r="AE32" s="16"/>
      <c r="AF32" s="16"/>
      <c r="AG32" s="16"/>
    </row>
    <row r="33" spans="1:33" s="6" customFormat="1" ht="15" customHeight="1" x14ac:dyDescent="0.35">
      <c r="A33" s="5" t="s">
        <v>35</v>
      </c>
      <c r="B33" s="19">
        <f>SUMPRODUCT((raw!$B$2:$B$369='(2018-19)'!$A33)*(raw!$E$2:$E$369='(2018-19)'!$B$6:$D$6)*(raw!$F$2:$F$369='(2018-19)'!B$7)*(raw!$G$2:$G$369))</f>
        <v>8</v>
      </c>
      <c r="C33" s="19">
        <f>SUMPRODUCT((raw!$B$2:$B$369='(2018-19)'!$A33)*(raw!$E$2:$E$369='(2018-19)'!$B$6:$D$6)*(raw!$F$2:$F$369='(2018-19)'!C$7)*(raw!$G$2:$G$369))</f>
        <v>0</v>
      </c>
      <c r="D33" s="20">
        <f t="shared" si="0"/>
        <v>0</v>
      </c>
      <c r="E33" s="19"/>
      <c r="F33" s="19">
        <f>SUMPRODUCT((raw!$B$2:$B$369='(2018-19)'!$A33)*(raw!$E$2:$E$369='(2018-19)'!$F$6)*(raw!$F$2:$F$369='(2018-19)'!F$7)*(raw!$G$2:$G$369))</f>
        <v>32</v>
      </c>
      <c r="G33" s="19">
        <f>SUMPRODUCT((raw!$B$2:$B$369='(2018-19)'!$A33)*(raw!$E$2:$E$369='(2018-19)'!$F$6)*(raw!$F$2:$F$369='(2018-19)'!G$7)*(raw!$G$2:$G$369))</f>
        <v>1</v>
      </c>
      <c r="H33" s="20">
        <f t="shared" si="1"/>
        <v>3.0303030303030304E-2</v>
      </c>
      <c r="I33" s="19"/>
      <c r="J33" s="14">
        <f t="shared" si="2"/>
        <v>40</v>
      </c>
      <c r="K33" s="14">
        <f t="shared" si="2"/>
        <v>1</v>
      </c>
      <c r="L33" s="20">
        <f t="shared" si="3"/>
        <v>2.4390243902439025E-2</v>
      </c>
      <c r="M33" s="19"/>
      <c r="N33" s="19">
        <f>SUMPRODUCT((raw!$B$2:$B$369='(2018-19)'!$A33)*(raw!$E$2:$E$369='(2018-19)'!$N$6)*(raw!$F$2:$F$369='(2018-19)'!N$7)*(raw!$G$2:$G$369))</f>
        <v>0</v>
      </c>
      <c r="O33" s="19">
        <f>SUMPRODUCT((raw!$B$2:$B$369='(2018-19)'!$A33)*(raw!$E$2:$E$369='(2018-19)'!$N$6)*(raw!$F$2:$F$369='(2018-19)'!O$7)*(raw!$G$2:$G$369))</f>
        <v>0</v>
      </c>
      <c r="P33" s="20" t="str">
        <f t="shared" si="4"/>
        <v>-</v>
      </c>
      <c r="Q33" s="19"/>
      <c r="R33" s="19">
        <f>SUMPRODUCT((raw!$B$2:$B$369='(2018-19)'!$A33)*(raw!$E$2:$E$369='(2018-19)'!$R$6)*(raw!$F$2:$F$369='(2018-19)'!R$7)*(raw!$G$2:$G$369))</f>
        <v>2</v>
      </c>
      <c r="S33" s="19">
        <f>SUMPRODUCT((raw!$B$2:$B$369='(2018-19)'!$A33)*(raw!$E$2:$E$369='(2018-19)'!$R$6)*(raw!$F$2:$F$369='(2018-19)'!S$7)*(raw!$G$2:$G$369))</f>
        <v>7</v>
      </c>
      <c r="T33" s="20">
        <f t="shared" si="5"/>
        <v>0.77777777777777779</v>
      </c>
      <c r="U33" s="19"/>
      <c r="V33" s="14">
        <f t="shared" si="6"/>
        <v>42</v>
      </c>
      <c r="W33" s="14">
        <f t="shared" si="6"/>
        <v>8</v>
      </c>
      <c r="X33" s="20">
        <f t="shared" si="7"/>
        <v>0.16</v>
      </c>
      <c r="Y33" s="16"/>
      <c r="Z33" s="16"/>
      <c r="AA33" s="16"/>
      <c r="AB33" s="16"/>
      <c r="AC33" s="16"/>
      <c r="AD33" s="16"/>
      <c r="AE33" s="16"/>
      <c r="AF33" s="16"/>
      <c r="AG33" s="16"/>
    </row>
    <row r="34" spans="1:33" s="6" customFormat="1" ht="15" customHeight="1" x14ac:dyDescent="0.35">
      <c r="A34" s="6" t="s">
        <v>36</v>
      </c>
      <c r="B34" s="19">
        <f>SUMPRODUCT((raw!$B$2:$B$369='(2018-19)'!$A34)*(raw!$E$2:$E$369='(2018-19)'!$B$6:$D$6)*(raw!$F$2:$F$369='(2018-19)'!B$7)*(raw!$G$2:$G$369))</f>
        <v>13</v>
      </c>
      <c r="C34" s="19">
        <f>SUMPRODUCT((raw!$B$2:$B$369='(2018-19)'!$A34)*(raw!$E$2:$E$369='(2018-19)'!$B$6:$D$6)*(raw!$F$2:$F$369='(2018-19)'!C$7)*(raw!$G$2:$G$369))</f>
        <v>0</v>
      </c>
      <c r="D34" s="20">
        <f t="shared" si="0"/>
        <v>0</v>
      </c>
      <c r="E34" s="19"/>
      <c r="F34" s="19">
        <f>SUMPRODUCT((raw!$B$2:$B$369='(2018-19)'!$A34)*(raw!$E$2:$E$369='(2018-19)'!$F$6)*(raw!$F$2:$F$369='(2018-19)'!F$7)*(raw!$G$2:$G$369))</f>
        <v>48</v>
      </c>
      <c r="G34" s="19">
        <f>SUMPRODUCT((raw!$B$2:$B$369='(2018-19)'!$A34)*(raw!$E$2:$E$369='(2018-19)'!$F$6)*(raw!$F$2:$F$369='(2018-19)'!G$7)*(raw!$G$2:$G$369))</f>
        <v>5</v>
      </c>
      <c r="H34" s="20">
        <f t="shared" si="1"/>
        <v>9.4339622641509441E-2</v>
      </c>
      <c r="I34" s="19"/>
      <c r="J34" s="14">
        <f t="shared" si="2"/>
        <v>61</v>
      </c>
      <c r="K34" s="14">
        <f t="shared" si="2"/>
        <v>5</v>
      </c>
      <c r="L34" s="20">
        <f t="shared" si="3"/>
        <v>7.575757575757576E-2</v>
      </c>
      <c r="M34" s="19"/>
      <c r="N34" s="19">
        <f>SUMPRODUCT((raw!$B$2:$B$369='(2018-19)'!$A34)*(raw!$E$2:$E$369='(2018-19)'!$N$6)*(raw!$F$2:$F$369='(2018-19)'!N$7)*(raw!$G$2:$G$369))</f>
        <v>1</v>
      </c>
      <c r="O34" s="19">
        <f>SUMPRODUCT((raw!$B$2:$B$369='(2018-19)'!$A34)*(raw!$E$2:$E$369='(2018-19)'!$N$6)*(raw!$F$2:$F$369='(2018-19)'!O$7)*(raw!$G$2:$G$369))</f>
        <v>3</v>
      </c>
      <c r="P34" s="20">
        <f t="shared" si="4"/>
        <v>0.75</v>
      </c>
      <c r="Q34" s="19"/>
      <c r="R34" s="19">
        <f>SUMPRODUCT((raw!$B$2:$B$369='(2018-19)'!$A34)*(raw!$E$2:$E$369='(2018-19)'!$R$6)*(raw!$F$2:$F$369='(2018-19)'!R$7)*(raw!$G$2:$G$369))</f>
        <v>3</v>
      </c>
      <c r="S34" s="19">
        <f>SUMPRODUCT((raw!$B$2:$B$369='(2018-19)'!$A34)*(raw!$E$2:$E$369='(2018-19)'!$R$6)*(raw!$F$2:$F$369='(2018-19)'!S$7)*(raw!$G$2:$G$369))</f>
        <v>7</v>
      </c>
      <c r="T34" s="20">
        <f t="shared" si="5"/>
        <v>0.7</v>
      </c>
      <c r="U34" s="19"/>
      <c r="V34" s="14">
        <f t="shared" si="6"/>
        <v>65</v>
      </c>
      <c r="W34" s="14">
        <f t="shared" si="6"/>
        <v>15</v>
      </c>
      <c r="X34" s="20">
        <f t="shared" si="7"/>
        <v>0.1875</v>
      </c>
      <c r="Y34" s="16"/>
      <c r="Z34" s="16"/>
      <c r="AA34" s="16"/>
      <c r="AB34" s="16"/>
      <c r="AC34" s="16"/>
      <c r="AD34" s="16"/>
      <c r="AE34" s="16"/>
      <c r="AF34" s="16"/>
      <c r="AG34" s="16"/>
    </row>
    <row r="35" spans="1:33" s="6" customFormat="1" ht="15" customHeight="1" x14ac:dyDescent="0.35">
      <c r="A35" s="6" t="s">
        <v>37</v>
      </c>
      <c r="B35" s="19">
        <f>SUMPRODUCT((raw!$B$2:$B$369='(2018-19)'!$A35)*(raw!$E$2:$E$369='(2018-19)'!$B$6:$D$6)*(raw!$F$2:$F$369='(2018-19)'!B$7)*(raw!$G$2:$G$369))</f>
        <v>25</v>
      </c>
      <c r="C35" s="19">
        <f>SUMPRODUCT((raw!$B$2:$B$369='(2018-19)'!$A35)*(raw!$E$2:$E$369='(2018-19)'!$B$6:$D$6)*(raw!$F$2:$F$369='(2018-19)'!C$7)*(raw!$G$2:$G$369))</f>
        <v>5</v>
      </c>
      <c r="D35" s="20">
        <f t="shared" si="0"/>
        <v>0.16666666666666666</v>
      </c>
      <c r="E35" s="19"/>
      <c r="F35" s="19">
        <f>SUMPRODUCT((raw!$B$2:$B$369='(2018-19)'!$A35)*(raw!$E$2:$E$369='(2018-19)'!$F$6)*(raw!$F$2:$F$369='(2018-19)'!F$7)*(raw!$G$2:$G$369))</f>
        <v>36</v>
      </c>
      <c r="G35" s="19">
        <f>SUMPRODUCT((raw!$B$2:$B$369='(2018-19)'!$A35)*(raw!$E$2:$E$369='(2018-19)'!$F$6)*(raw!$F$2:$F$369='(2018-19)'!G$7)*(raw!$G$2:$G$369))</f>
        <v>2</v>
      </c>
      <c r="H35" s="20">
        <f t="shared" si="1"/>
        <v>5.2631578947368418E-2</v>
      </c>
      <c r="I35" s="19"/>
      <c r="J35" s="14">
        <f t="shared" si="2"/>
        <v>61</v>
      </c>
      <c r="K35" s="14">
        <f t="shared" si="2"/>
        <v>7</v>
      </c>
      <c r="L35" s="20">
        <f t="shared" si="3"/>
        <v>0.10294117647058823</v>
      </c>
      <c r="M35" s="19"/>
      <c r="N35" s="19">
        <f>SUMPRODUCT((raw!$B$2:$B$369='(2018-19)'!$A35)*(raw!$E$2:$E$369='(2018-19)'!$N$6)*(raw!$F$2:$F$369='(2018-19)'!N$7)*(raw!$G$2:$G$369))</f>
        <v>2</v>
      </c>
      <c r="O35" s="19">
        <f>SUMPRODUCT((raw!$B$2:$B$369='(2018-19)'!$A35)*(raw!$E$2:$E$369='(2018-19)'!$N$6)*(raw!$F$2:$F$369='(2018-19)'!O$7)*(raw!$G$2:$G$369))</f>
        <v>0</v>
      </c>
      <c r="P35" s="20">
        <f t="shared" si="4"/>
        <v>0</v>
      </c>
      <c r="Q35" s="19"/>
      <c r="R35" s="19">
        <f>SUMPRODUCT((raw!$B$2:$B$369='(2018-19)'!$A35)*(raw!$E$2:$E$369='(2018-19)'!$R$6)*(raw!$F$2:$F$369='(2018-19)'!R$7)*(raw!$G$2:$G$369))</f>
        <v>6</v>
      </c>
      <c r="S35" s="19">
        <f>SUMPRODUCT((raw!$B$2:$B$369='(2018-19)'!$A35)*(raw!$E$2:$E$369='(2018-19)'!$R$6)*(raw!$F$2:$F$369='(2018-19)'!S$7)*(raw!$G$2:$G$369))</f>
        <v>4</v>
      </c>
      <c r="T35" s="20">
        <f t="shared" si="5"/>
        <v>0.4</v>
      </c>
      <c r="U35" s="19"/>
      <c r="V35" s="14">
        <f t="shared" si="6"/>
        <v>69</v>
      </c>
      <c r="W35" s="14">
        <f t="shared" si="6"/>
        <v>11</v>
      </c>
      <c r="X35" s="20">
        <f t="shared" si="7"/>
        <v>0.13750000000000001</v>
      </c>
      <c r="Y35" s="16"/>
      <c r="Z35" s="16"/>
      <c r="AA35" s="16"/>
      <c r="AB35" s="16"/>
      <c r="AC35" s="16"/>
      <c r="AD35" s="16"/>
      <c r="AE35" s="16"/>
      <c r="AF35" s="16"/>
      <c r="AG35" s="16"/>
    </row>
    <row r="36" spans="1:33" s="6" customFormat="1" ht="15" customHeight="1" x14ac:dyDescent="0.35">
      <c r="A36" s="5" t="s">
        <v>38</v>
      </c>
      <c r="B36" s="19">
        <f>SUMPRODUCT((raw!$B$2:$B$369='(2018-19)'!$A36)*(raw!$E$2:$E$369='(2018-19)'!$B$6:$D$6)*(raw!$F$2:$F$369='(2018-19)'!B$7)*(raw!$G$2:$G$369))</f>
        <v>0</v>
      </c>
      <c r="C36" s="19">
        <f>SUMPRODUCT((raw!$B$2:$B$369='(2018-19)'!$A36)*(raw!$E$2:$E$369='(2018-19)'!$B$6:$D$6)*(raw!$F$2:$F$369='(2018-19)'!C$7)*(raw!$G$2:$G$369))</f>
        <v>0</v>
      </c>
      <c r="D36" s="20" t="str">
        <f t="shared" si="0"/>
        <v>-</v>
      </c>
      <c r="E36" s="19"/>
      <c r="F36" s="19">
        <f>SUMPRODUCT((raw!$B$2:$B$369='(2018-19)'!$A36)*(raw!$E$2:$E$369='(2018-19)'!$F$6)*(raw!$F$2:$F$369='(2018-19)'!F$7)*(raw!$G$2:$G$369))</f>
        <v>0</v>
      </c>
      <c r="G36" s="19">
        <f>SUMPRODUCT((raw!$B$2:$B$369='(2018-19)'!$A36)*(raw!$E$2:$E$369='(2018-19)'!$F$6)*(raw!$F$2:$F$369='(2018-19)'!G$7)*(raw!$G$2:$G$369))</f>
        <v>0</v>
      </c>
      <c r="H36" s="20" t="str">
        <f t="shared" si="1"/>
        <v>-</v>
      </c>
      <c r="I36" s="19"/>
      <c r="J36" s="14">
        <f t="shared" si="2"/>
        <v>0</v>
      </c>
      <c r="K36" s="14">
        <f t="shared" si="2"/>
        <v>0</v>
      </c>
      <c r="L36" s="20" t="str">
        <f t="shared" si="3"/>
        <v>-</v>
      </c>
      <c r="M36" s="19"/>
      <c r="N36" s="19">
        <f>SUMPRODUCT((raw!$B$2:$B$369='(2018-19)'!$A36)*(raw!$E$2:$E$369='(2018-19)'!$N$6)*(raw!$F$2:$F$369='(2018-19)'!N$7)*(raw!$G$2:$G$369))</f>
        <v>2</v>
      </c>
      <c r="O36" s="19">
        <f>SUMPRODUCT((raw!$B$2:$B$369='(2018-19)'!$A36)*(raw!$E$2:$E$369='(2018-19)'!$N$6)*(raw!$F$2:$F$369='(2018-19)'!O$7)*(raw!$G$2:$G$369))</f>
        <v>5</v>
      </c>
      <c r="P36" s="20">
        <f t="shared" si="4"/>
        <v>0.7142857142857143</v>
      </c>
      <c r="Q36" s="19"/>
      <c r="R36" s="19">
        <f>SUMPRODUCT((raw!$B$2:$B$369='(2018-19)'!$A36)*(raw!$E$2:$E$369='(2018-19)'!$R$6)*(raw!$F$2:$F$369='(2018-19)'!R$7)*(raw!$G$2:$G$369))</f>
        <v>0</v>
      </c>
      <c r="S36" s="19">
        <f>SUMPRODUCT((raw!$B$2:$B$369='(2018-19)'!$A36)*(raw!$E$2:$E$369='(2018-19)'!$R$6)*(raw!$F$2:$F$369='(2018-19)'!S$7)*(raw!$G$2:$G$369))</f>
        <v>1</v>
      </c>
      <c r="T36" s="20">
        <f t="shared" si="5"/>
        <v>1</v>
      </c>
      <c r="U36" s="19"/>
      <c r="V36" s="14">
        <f t="shared" si="6"/>
        <v>2</v>
      </c>
      <c r="W36" s="14">
        <f t="shared" si="6"/>
        <v>6</v>
      </c>
      <c r="X36" s="20">
        <f t="shared" si="7"/>
        <v>0.75</v>
      </c>
      <c r="Y36" s="16"/>
      <c r="Z36" s="16"/>
      <c r="AA36" s="16"/>
      <c r="AB36" s="16"/>
      <c r="AC36" s="16"/>
      <c r="AD36" s="16"/>
      <c r="AE36" s="16"/>
      <c r="AF36" s="16"/>
      <c r="AG36" s="16"/>
    </row>
    <row r="37" spans="1:33" s="6" customFormat="1" ht="15" customHeight="1" x14ac:dyDescent="0.35">
      <c r="A37" s="6" t="s">
        <v>39</v>
      </c>
      <c r="B37" s="19">
        <f>SUMPRODUCT((raw!$B$2:$B$369='(2018-19)'!$A37)*(raw!$E$2:$E$369='(2018-19)'!$B$6:$D$6)*(raw!$F$2:$F$369='(2018-19)'!B$7)*(raw!$G$2:$G$369))</f>
        <v>25</v>
      </c>
      <c r="C37" s="19">
        <f>SUMPRODUCT((raw!$B$2:$B$369='(2018-19)'!$A37)*(raw!$E$2:$E$369='(2018-19)'!$B$6:$D$6)*(raw!$F$2:$F$369='(2018-19)'!C$7)*(raw!$G$2:$G$369))</f>
        <v>5</v>
      </c>
      <c r="D37" s="20">
        <f t="shared" si="0"/>
        <v>0.16666666666666666</v>
      </c>
      <c r="E37" s="19"/>
      <c r="F37" s="19">
        <f>SUMPRODUCT((raw!$B$2:$B$369='(2018-19)'!$A37)*(raw!$E$2:$E$369='(2018-19)'!$F$6)*(raw!$F$2:$F$369='(2018-19)'!F$7)*(raw!$G$2:$G$369))</f>
        <v>38</v>
      </c>
      <c r="G37" s="19">
        <f>SUMPRODUCT((raw!$B$2:$B$369='(2018-19)'!$A37)*(raw!$E$2:$E$369='(2018-19)'!$F$6)*(raw!$F$2:$F$369='(2018-19)'!G$7)*(raw!$G$2:$G$369))</f>
        <v>3</v>
      </c>
      <c r="H37" s="20">
        <f t="shared" si="1"/>
        <v>7.3170731707317069E-2</v>
      </c>
      <c r="I37" s="19"/>
      <c r="J37" s="14">
        <f t="shared" si="2"/>
        <v>63</v>
      </c>
      <c r="K37" s="14">
        <f t="shared" si="2"/>
        <v>8</v>
      </c>
      <c r="L37" s="20">
        <f t="shared" si="3"/>
        <v>0.11267605633802817</v>
      </c>
      <c r="M37" s="19"/>
      <c r="N37" s="19">
        <f>SUMPRODUCT((raw!$B$2:$B$369='(2018-19)'!$A37)*(raw!$E$2:$E$369='(2018-19)'!$N$6)*(raw!$F$2:$F$369='(2018-19)'!N$7)*(raw!$G$2:$G$369))</f>
        <v>3</v>
      </c>
      <c r="O37" s="19">
        <f>SUMPRODUCT((raw!$B$2:$B$369='(2018-19)'!$A37)*(raw!$E$2:$E$369='(2018-19)'!$N$6)*(raw!$F$2:$F$369='(2018-19)'!O$7)*(raw!$G$2:$G$369))</f>
        <v>1</v>
      </c>
      <c r="P37" s="20">
        <f t="shared" si="4"/>
        <v>0.25</v>
      </c>
      <c r="Q37" s="19"/>
      <c r="R37" s="19">
        <f>SUMPRODUCT((raw!$B$2:$B$369='(2018-19)'!$A37)*(raw!$E$2:$E$369='(2018-19)'!$R$6)*(raw!$F$2:$F$369='(2018-19)'!R$7)*(raw!$G$2:$G$369))</f>
        <v>12</v>
      </c>
      <c r="S37" s="19">
        <f>SUMPRODUCT((raw!$B$2:$B$369='(2018-19)'!$A37)*(raw!$E$2:$E$369='(2018-19)'!$R$6)*(raw!$F$2:$F$369='(2018-19)'!S$7)*(raw!$G$2:$G$369))</f>
        <v>6</v>
      </c>
      <c r="T37" s="20">
        <f t="shared" si="5"/>
        <v>0.33333333333333331</v>
      </c>
      <c r="U37" s="19"/>
      <c r="V37" s="14">
        <f t="shared" si="6"/>
        <v>78</v>
      </c>
      <c r="W37" s="14">
        <f t="shared" si="6"/>
        <v>15</v>
      </c>
      <c r="X37" s="20">
        <f t="shared" si="7"/>
        <v>0.16129032258064516</v>
      </c>
      <c r="Y37" s="16"/>
      <c r="Z37" s="16"/>
      <c r="AA37" s="16"/>
      <c r="AB37" s="16"/>
      <c r="AC37" s="16"/>
      <c r="AD37" s="16"/>
      <c r="AE37" s="16"/>
      <c r="AF37" s="16"/>
      <c r="AG37" s="16"/>
    </row>
    <row r="38" spans="1:33" s="6" customFormat="1" ht="15" customHeight="1" x14ac:dyDescent="0.35">
      <c r="A38" s="6" t="s">
        <v>40</v>
      </c>
      <c r="B38" s="19">
        <f>SUMPRODUCT((raw!$B$2:$B$369='(2018-19)'!$A38)*(raw!$E$2:$E$369='(2018-19)'!$B$6:$D$6)*(raw!$F$2:$F$369='(2018-19)'!B$7)*(raw!$G$2:$G$369))</f>
        <v>7</v>
      </c>
      <c r="C38" s="19">
        <f>SUMPRODUCT((raw!$B$2:$B$369='(2018-19)'!$A38)*(raw!$E$2:$E$369='(2018-19)'!$B$6:$D$6)*(raw!$F$2:$F$369='(2018-19)'!C$7)*(raw!$G$2:$G$369))</f>
        <v>2</v>
      </c>
      <c r="D38" s="20">
        <f t="shared" si="0"/>
        <v>0.22222222222222221</v>
      </c>
      <c r="E38" s="19"/>
      <c r="F38" s="19">
        <f>SUMPRODUCT((raw!$B$2:$B$369='(2018-19)'!$A38)*(raw!$E$2:$E$369='(2018-19)'!$F$6)*(raw!$F$2:$F$369='(2018-19)'!F$7)*(raw!$G$2:$G$369))</f>
        <v>40</v>
      </c>
      <c r="G38" s="19">
        <f>SUMPRODUCT((raw!$B$2:$B$369='(2018-19)'!$A38)*(raw!$E$2:$E$369='(2018-19)'!$F$6)*(raw!$F$2:$F$369='(2018-19)'!G$7)*(raw!$G$2:$G$369))</f>
        <v>8</v>
      </c>
      <c r="H38" s="20">
        <f t="shared" si="1"/>
        <v>0.16666666666666666</v>
      </c>
      <c r="I38" s="19"/>
      <c r="J38" s="14">
        <f t="shared" si="2"/>
        <v>47</v>
      </c>
      <c r="K38" s="14">
        <f t="shared" si="2"/>
        <v>10</v>
      </c>
      <c r="L38" s="20">
        <f t="shared" si="3"/>
        <v>0.17543859649122806</v>
      </c>
      <c r="M38" s="19"/>
      <c r="N38" s="19">
        <f>SUMPRODUCT((raw!$B$2:$B$369='(2018-19)'!$A38)*(raw!$E$2:$E$369='(2018-19)'!$N$6)*(raw!$F$2:$F$369='(2018-19)'!N$7)*(raw!$G$2:$G$369))</f>
        <v>0</v>
      </c>
      <c r="O38" s="19">
        <f>SUMPRODUCT((raw!$B$2:$B$369='(2018-19)'!$A38)*(raw!$E$2:$E$369='(2018-19)'!$N$6)*(raw!$F$2:$F$369='(2018-19)'!O$7)*(raw!$G$2:$G$369))</f>
        <v>4</v>
      </c>
      <c r="P38" s="20">
        <f t="shared" si="4"/>
        <v>1</v>
      </c>
      <c r="Q38" s="19"/>
      <c r="R38" s="19">
        <f>SUMPRODUCT((raw!$B$2:$B$369='(2018-19)'!$A38)*(raw!$E$2:$E$369='(2018-19)'!$R$6)*(raw!$F$2:$F$369='(2018-19)'!R$7)*(raw!$G$2:$G$369))</f>
        <v>4</v>
      </c>
      <c r="S38" s="19">
        <f>SUMPRODUCT((raw!$B$2:$B$369='(2018-19)'!$A38)*(raw!$E$2:$E$369='(2018-19)'!$R$6)*(raw!$F$2:$F$369='(2018-19)'!S$7)*(raw!$G$2:$G$369))</f>
        <v>5</v>
      </c>
      <c r="T38" s="20">
        <f t="shared" si="5"/>
        <v>0.55555555555555558</v>
      </c>
      <c r="U38" s="19"/>
      <c r="V38" s="14">
        <f t="shared" si="6"/>
        <v>51</v>
      </c>
      <c r="W38" s="14">
        <f t="shared" si="6"/>
        <v>19</v>
      </c>
      <c r="X38" s="20">
        <f t="shared" si="7"/>
        <v>0.27142857142857141</v>
      </c>
      <c r="Y38" s="16"/>
      <c r="Z38" s="16"/>
      <c r="AA38" s="16"/>
      <c r="AB38" s="16"/>
      <c r="AC38" s="16"/>
      <c r="AD38" s="16"/>
      <c r="AE38" s="16"/>
      <c r="AF38" s="16"/>
      <c r="AG38" s="16"/>
    </row>
    <row r="39" spans="1:33" s="6" customFormat="1" ht="15" customHeight="1" x14ac:dyDescent="0.35">
      <c r="A39" s="6" t="s">
        <v>41</v>
      </c>
      <c r="B39" s="19">
        <f>SUMPRODUCT((raw!$B$2:$B$369='(2018-19)'!$A39)*(raw!$E$2:$E$369='(2018-19)'!$B$6:$D$6)*(raw!$F$2:$F$369='(2018-19)'!B$7)*(raw!$G$2:$G$369))</f>
        <v>8</v>
      </c>
      <c r="C39" s="19">
        <f>SUMPRODUCT((raw!$B$2:$B$369='(2018-19)'!$A39)*(raw!$E$2:$E$369='(2018-19)'!$B$6:$D$6)*(raw!$F$2:$F$369='(2018-19)'!C$7)*(raw!$G$2:$G$369))</f>
        <v>1</v>
      </c>
      <c r="D39" s="20">
        <f t="shared" si="0"/>
        <v>0.1111111111111111</v>
      </c>
      <c r="E39" s="19"/>
      <c r="F39" s="19">
        <f>SUMPRODUCT((raw!$B$2:$B$369='(2018-19)'!$A39)*(raw!$E$2:$E$369='(2018-19)'!$F$6)*(raw!$F$2:$F$369='(2018-19)'!F$7)*(raw!$G$2:$G$369))</f>
        <v>16</v>
      </c>
      <c r="G39" s="19">
        <f>SUMPRODUCT((raw!$B$2:$B$369='(2018-19)'!$A39)*(raw!$E$2:$E$369='(2018-19)'!$F$6)*(raw!$F$2:$F$369='(2018-19)'!G$7)*(raw!$G$2:$G$369))</f>
        <v>3</v>
      </c>
      <c r="H39" s="20">
        <f t="shared" si="1"/>
        <v>0.15789473684210525</v>
      </c>
      <c r="I39" s="19"/>
      <c r="J39" s="14">
        <f t="shared" si="2"/>
        <v>24</v>
      </c>
      <c r="K39" s="14">
        <f t="shared" si="2"/>
        <v>4</v>
      </c>
      <c r="L39" s="20">
        <f t="shared" si="3"/>
        <v>0.14285714285714285</v>
      </c>
      <c r="M39" s="19"/>
      <c r="N39" s="19">
        <f>SUMPRODUCT((raw!$B$2:$B$369='(2018-19)'!$A39)*(raw!$E$2:$E$369='(2018-19)'!$N$6)*(raw!$F$2:$F$369='(2018-19)'!N$7)*(raw!$G$2:$G$369))</f>
        <v>0</v>
      </c>
      <c r="O39" s="19">
        <f>SUMPRODUCT((raw!$B$2:$B$369='(2018-19)'!$A39)*(raw!$E$2:$E$369='(2018-19)'!$N$6)*(raw!$F$2:$F$369='(2018-19)'!O$7)*(raw!$G$2:$G$369))</f>
        <v>0</v>
      </c>
      <c r="P39" s="20" t="str">
        <f t="shared" si="4"/>
        <v>-</v>
      </c>
      <c r="Q39" s="19"/>
      <c r="R39" s="19">
        <f>SUMPRODUCT((raw!$B$2:$B$369='(2018-19)'!$A39)*(raw!$E$2:$E$369='(2018-19)'!$R$6)*(raw!$F$2:$F$369='(2018-19)'!R$7)*(raw!$G$2:$G$369))</f>
        <v>1</v>
      </c>
      <c r="S39" s="19">
        <f>SUMPRODUCT((raw!$B$2:$B$369='(2018-19)'!$A39)*(raw!$E$2:$E$369='(2018-19)'!$R$6)*(raw!$F$2:$F$369='(2018-19)'!S$7)*(raw!$G$2:$G$369))</f>
        <v>0</v>
      </c>
      <c r="T39" s="20">
        <f t="shared" si="5"/>
        <v>0</v>
      </c>
      <c r="U39" s="19"/>
      <c r="V39" s="14">
        <f t="shared" si="6"/>
        <v>25</v>
      </c>
      <c r="W39" s="14">
        <f t="shared" si="6"/>
        <v>4</v>
      </c>
      <c r="X39" s="20">
        <f t="shared" si="7"/>
        <v>0.13793103448275862</v>
      </c>
      <c r="Y39" s="16"/>
      <c r="Z39" s="16"/>
      <c r="AA39" s="16"/>
      <c r="AB39" s="16"/>
      <c r="AC39" s="16"/>
      <c r="AD39" s="16"/>
      <c r="AE39" s="16"/>
      <c r="AF39" s="16"/>
      <c r="AG39" s="16"/>
    </row>
    <row r="40" spans="1:33" s="6" customFormat="1" ht="15" customHeight="1" x14ac:dyDescent="0.35">
      <c r="A40" s="5" t="s">
        <v>42</v>
      </c>
      <c r="B40" s="19">
        <f>SUMPRODUCT((raw!$B$2:$B$369='(2018-19)'!$A40)*(raw!$E$2:$E$369='(2018-19)'!$B$6:$D$6)*(raw!$F$2:$F$369='(2018-19)'!B$7)*(raw!$G$2:$G$369))</f>
        <v>21</v>
      </c>
      <c r="C40" s="19">
        <f>SUMPRODUCT((raw!$B$2:$B$369='(2018-19)'!$A40)*(raw!$E$2:$E$369='(2018-19)'!$B$6:$D$6)*(raw!$F$2:$F$369='(2018-19)'!C$7)*(raw!$G$2:$G$369))</f>
        <v>9</v>
      </c>
      <c r="D40" s="20">
        <f t="shared" si="0"/>
        <v>0.3</v>
      </c>
      <c r="E40" s="19"/>
      <c r="F40" s="19">
        <f>SUMPRODUCT((raw!$B$2:$B$369='(2018-19)'!$A40)*(raw!$E$2:$E$369='(2018-19)'!$F$6)*(raw!$F$2:$F$369='(2018-19)'!F$7)*(raw!$G$2:$G$369))</f>
        <v>24</v>
      </c>
      <c r="G40" s="19">
        <f>SUMPRODUCT((raw!$B$2:$B$369='(2018-19)'!$A40)*(raw!$E$2:$E$369='(2018-19)'!$F$6)*(raw!$F$2:$F$369='(2018-19)'!G$7)*(raw!$G$2:$G$369))</f>
        <v>1</v>
      </c>
      <c r="H40" s="20">
        <f t="shared" si="1"/>
        <v>0.04</v>
      </c>
      <c r="I40" s="19"/>
      <c r="J40" s="14">
        <f t="shared" si="2"/>
        <v>45</v>
      </c>
      <c r="K40" s="14">
        <f t="shared" si="2"/>
        <v>10</v>
      </c>
      <c r="L40" s="20">
        <f t="shared" si="3"/>
        <v>0.18181818181818182</v>
      </c>
      <c r="M40" s="19"/>
      <c r="N40" s="19">
        <f>SUMPRODUCT((raw!$B$2:$B$369='(2018-19)'!$A40)*(raw!$E$2:$E$369='(2018-19)'!$N$6)*(raw!$F$2:$F$369='(2018-19)'!N$7)*(raw!$G$2:$G$369))</f>
        <v>0</v>
      </c>
      <c r="O40" s="19">
        <f>SUMPRODUCT((raw!$B$2:$B$369='(2018-19)'!$A40)*(raw!$E$2:$E$369='(2018-19)'!$N$6)*(raw!$F$2:$F$369='(2018-19)'!O$7)*(raw!$G$2:$G$369))</f>
        <v>0</v>
      </c>
      <c r="P40" s="20" t="str">
        <f t="shared" si="4"/>
        <v>-</v>
      </c>
      <c r="Q40" s="19"/>
      <c r="R40" s="19">
        <f>SUMPRODUCT((raw!$B$2:$B$369='(2018-19)'!$A40)*(raw!$E$2:$E$369='(2018-19)'!$R$6)*(raw!$F$2:$F$369='(2018-19)'!R$7)*(raw!$G$2:$G$369))</f>
        <v>3</v>
      </c>
      <c r="S40" s="19">
        <f>SUMPRODUCT((raw!$B$2:$B$369='(2018-19)'!$A40)*(raw!$E$2:$E$369='(2018-19)'!$R$6)*(raw!$F$2:$F$369='(2018-19)'!S$7)*(raw!$G$2:$G$369))</f>
        <v>6</v>
      </c>
      <c r="T40" s="20">
        <f t="shared" si="5"/>
        <v>0.66666666666666663</v>
      </c>
      <c r="U40" s="19"/>
      <c r="V40" s="14">
        <f t="shared" si="6"/>
        <v>48</v>
      </c>
      <c r="W40" s="14">
        <f t="shared" si="6"/>
        <v>16</v>
      </c>
      <c r="X40" s="20">
        <f t="shared" si="7"/>
        <v>0.25</v>
      </c>
      <c r="Y40" s="16"/>
      <c r="Z40" s="16"/>
      <c r="AA40" s="16"/>
      <c r="AB40" s="16"/>
      <c r="AC40" s="16"/>
      <c r="AD40" s="16"/>
      <c r="AE40" s="16"/>
      <c r="AF40" s="16"/>
      <c r="AG40" s="16"/>
    </row>
    <row r="41" spans="1:33" s="6" customFormat="1" ht="15" customHeight="1" x14ac:dyDescent="0.35">
      <c r="A41" s="5" t="s">
        <v>43</v>
      </c>
      <c r="B41" s="19">
        <f>SUMPRODUCT((raw!$B$2:$B$369='(2018-19)'!$A41)*(raw!$E$2:$E$369='(2018-19)'!$B$6:$D$6)*(raw!$F$2:$F$369='(2018-19)'!B$7)*(raw!$G$2:$G$369))</f>
        <v>6</v>
      </c>
      <c r="C41" s="19">
        <f>SUMPRODUCT((raw!$B$2:$B$369='(2018-19)'!$A41)*(raw!$E$2:$E$369='(2018-19)'!$B$6:$D$6)*(raw!$F$2:$F$369='(2018-19)'!C$7)*(raw!$G$2:$G$369))</f>
        <v>2</v>
      </c>
      <c r="D41" s="20">
        <f t="shared" si="0"/>
        <v>0.25</v>
      </c>
      <c r="E41" s="19"/>
      <c r="F41" s="19">
        <f>SUMPRODUCT((raw!$B$2:$B$369='(2018-19)'!$A41)*(raw!$E$2:$E$369='(2018-19)'!$F$6)*(raw!$F$2:$F$369='(2018-19)'!F$7)*(raw!$G$2:$G$369))</f>
        <v>44</v>
      </c>
      <c r="G41" s="19">
        <f>SUMPRODUCT((raw!$B$2:$B$369='(2018-19)'!$A41)*(raw!$E$2:$E$369='(2018-19)'!$F$6)*(raw!$F$2:$F$369='(2018-19)'!G$7)*(raw!$G$2:$G$369))</f>
        <v>12</v>
      </c>
      <c r="H41" s="20">
        <f t="shared" si="1"/>
        <v>0.21428571428571427</v>
      </c>
      <c r="I41" s="19"/>
      <c r="J41" s="14">
        <f t="shared" si="2"/>
        <v>50</v>
      </c>
      <c r="K41" s="14">
        <f t="shared" si="2"/>
        <v>14</v>
      </c>
      <c r="L41" s="20">
        <f t="shared" si="3"/>
        <v>0.21875</v>
      </c>
      <c r="M41" s="19"/>
      <c r="N41" s="19">
        <f>SUMPRODUCT((raw!$B$2:$B$369='(2018-19)'!$A41)*(raw!$E$2:$E$369='(2018-19)'!$N$6)*(raw!$F$2:$F$369='(2018-19)'!N$7)*(raw!$G$2:$G$369))</f>
        <v>0</v>
      </c>
      <c r="O41" s="19">
        <f>SUMPRODUCT((raw!$B$2:$B$369='(2018-19)'!$A41)*(raw!$E$2:$E$369='(2018-19)'!$N$6)*(raw!$F$2:$F$369='(2018-19)'!O$7)*(raw!$G$2:$G$369))</f>
        <v>0</v>
      </c>
      <c r="P41" s="20" t="str">
        <f t="shared" si="4"/>
        <v>-</v>
      </c>
      <c r="Q41" s="19"/>
      <c r="R41" s="19">
        <f>SUMPRODUCT((raw!$B$2:$B$369='(2018-19)'!$A41)*(raw!$E$2:$E$369='(2018-19)'!$R$6)*(raw!$F$2:$F$369='(2018-19)'!R$7)*(raw!$G$2:$G$369))</f>
        <v>2</v>
      </c>
      <c r="S41" s="19">
        <f>SUMPRODUCT((raw!$B$2:$B$369='(2018-19)'!$A41)*(raw!$E$2:$E$369='(2018-19)'!$R$6)*(raw!$F$2:$F$369='(2018-19)'!S$7)*(raw!$G$2:$G$369))</f>
        <v>7</v>
      </c>
      <c r="T41" s="20">
        <f t="shared" si="5"/>
        <v>0.77777777777777779</v>
      </c>
      <c r="U41" s="19"/>
      <c r="V41" s="14">
        <f t="shared" si="6"/>
        <v>52</v>
      </c>
      <c r="W41" s="14">
        <f t="shared" si="6"/>
        <v>21</v>
      </c>
      <c r="X41" s="20">
        <f t="shared" si="7"/>
        <v>0.28767123287671231</v>
      </c>
      <c r="Y41" s="16"/>
      <c r="Z41" s="16"/>
      <c r="AA41" s="16"/>
      <c r="AB41" s="16"/>
      <c r="AC41" s="16"/>
      <c r="AD41" s="16"/>
      <c r="AE41" s="16"/>
      <c r="AF41" s="16"/>
      <c r="AG41" s="16"/>
    </row>
    <row r="42" spans="1:33" s="6" customFormat="1" ht="15" customHeight="1" x14ac:dyDescent="0.35">
      <c r="A42" s="5" t="s">
        <v>44</v>
      </c>
      <c r="B42" s="19">
        <f>SUMPRODUCT((raw!$B$2:$B$369='(2018-19)'!$A42)*(raw!$E$2:$E$369='(2018-19)'!$B$6:$D$6)*(raw!$F$2:$F$369='(2018-19)'!B$7)*(raw!$G$2:$G$369))</f>
        <v>12</v>
      </c>
      <c r="C42" s="19">
        <f>SUMPRODUCT((raw!$B$2:$B$369='(2018-19)'!$A42)*(raw!$E$2:$E$369='(2018-19)'!$B$6:$D$6)*(raw!$F$2:$F$369='(2018-19)'!C$7)*(raw!$G$2:$G$369))</f>
        <v>0</v>
      </c>
      <c r="D42" s="20">
        <f t="shared" si="0"/>
        <v>0</v>
      </c>
      <c r="E42" s="19"/>
      <c r="F42" s="19">
        <f>SUMPRODUCT((raw!$B$2:$B$369='(2018-19)'!$A42)*(raw!$E$2:$E$369='(2018-19)'!$F$6)*(raw!$F$2:$F$369='(2018-19)'!F$7)*(raw!$G$2:$G$369))</f>
        <v>23</v>
      </c>
      <c r="G42" s="19">
        <f>SUMPRODUCT((raw!$B$2:$B$369='(2018-19)'!$A42)*(raw!$E$2:$E$369='(2018-19)'!$F$6)*(raw!$F$2:$F$369='(2018-19)'!G$7)*(raw!$G$2:$G$369))</f>
        <v>5</v>
      </c>
      <c r="H42" s="20">
        <f t="shared" si="1"/>
        <v>0.17857142857142858</v>
      </c>
      <c r="I42" s="19"/>
      <c r="J42" s="14">
        <f t="shared" si="2"/>
        <v>35</v>
      </c>
      <c r="K42" s="14">
        <f t="shared" si="2"/>
        <v>5</v>
      </c>
      <c r="L42" s="20">
        <f t="shared" si="3"/>
        <v>0.125</v>
      </c>
      <c r="M42" s="19"/>
      <c r="N42" s="19">
        <f>SUMPRODUCT((raw!$B$2:$B$369='(2018-19)'!$A42)*(raw!$E$2:$E$369='(2018-19)'!$N$6)*(raw!$F$2:$F$369='(2018-19)'!N$7)*(raw!$G$2:$G$369))</f>
        <v>0</v>
      </c>
      <c r="O42" s="19">
        <f>SUMPRODUCT((raw!$B$2:$B$369='(2018-19)'!$A42)*(raw!$E$2:$E$369='(2018-19)'!$N$6)*(raw!$F$2:$F$369='(2018-19)'!O$7)*(raw!$G$2:$G$369))</f>
        <v>2</v>
      </c>
      <c r="P42" s="20">
        <f t="shared" si="4"/>
        <v>1</v>
      </c>
      <c r="Q42" s="19"/>
      <c r="R42" s="19">
        <f>SUMPRODUCT((raw!$B$2:$B$369='(2018-19)'!$A42)*(raw!$E$2:$E$369='(2018-19)'!$R$6)*(raw!$F$2:$F$369='(2018-19)'!R$7)*(raw!$G$2:$G$369))</f>
        <v>4</v>
      </c>
      <c r="S42" s="19">
        <f>SUMPRODUCT((raw!$B$2:$B$369='(2018-19)'!$A42)*(raw!$E$2:$E$369='(2018-19)'!$R$6)*(raw!$F$2:$F$369='(2018-19)'!S$7)*(raw!$G$2:$G$369))</f>
        <v>4</v>
      </c>
      <c r="T42" s="20">
        <f t="shared" si="5"/>
        <v>0.5</v>
      </c>
      <c r="U42" s="19"/>
      <c r="V42" s="14">
        <f t="shared" si="6"/>
        <v>39</v>
      </c>
      <c r="W42" s="14">
        <f t="shared" si="6"/>
        <v>11</v>
      </c>
      <c r="X42" s="20">
        <f t="shared" si="7"/>
        <v>0.22</v>
      </c>
      <c r="Y42" s="16"/>
      <c r="Z42" s="16"/>
      <c r="AA42" s="16"/>
      <c r="AB42" s="16"/>
      <c r="AC42" s="16"/>
      <c r="AD42" s="16"/>
      <c r="AE42" s="16"/>
      <c r="AF42" s="16"/>
      <c r="AG42" s="16"/>
    </row>
    <row r="43" spans="1:33" s="6" customFormat="1" ht="15" customHeight="1" x14ac:dyDescent="0.35">
      <c r="A43" s="5" t="s">
        <v>45</v>
      </c>
      <c r="B43" s="19">
        <f>SUMPRODUCT((raw!$B$2:$B$369='(2018-19)'!$A43)*(raw!$E$2:$E$369='(2018-19)'!$B$6:$D$6)*(raw!$F$2:$F$369='(2018-19)'!B$7)*(raw!$G$2:$G$369))</f>
        <v>11</v>
      </c>
      <c r="C43" s="19">
        <f>SUMPRODUCT((raw!$B$2:$B$369='(2018-19)'!$A43)*(raw!$E$2:$E$369='(2018-19)'!$B$6:$D$6)*(raw!$F$2:$F$369='(2018-19)'!C$7)*(raw!$G$2:$G$369))</f>
        <v>2</v>
      </c>
      <c r="D43" s="20">
        <f t="shared" si="0"/>
        <v>0.15384615384615385</v>
      </c>
      <c r="E43" s="19"/>
      <c r="F43" s="19">
        <f>SUMPRODUCT((raw!$B$2:$B$369='(2018-19)'!$A43)*(raw!$E$2:$E$369='(2018-19)'!$F$6)*(raw!$F$2:$F$369='(2018-19)'!F$7)*(raw!$G$2:$G$369))</f>
        <v>38</v>
      </c>
      <c r="G43" s="19">
        <f>SUMPRODUCT((raw!$B$2:$B$369='(2018-19)'!$A43)*(raw!$E$2:$E$369='(2018-19)'!$F$6)*(raw!$F$2:$F$369='(2018-19)'!G$7)*(raw!$G$2:$G$369))</f>
        <v>6</v>
      </c>
      <c r="H43" s="20">
        <f t="shared" si="1"/>
        <v>0.13636363636363635</v>
      </c>
      <c r="I43" s="19"/>
      <c r="J43" s="14">
        <f t="shared" si="2"/>
        <v>49</v>
      </c>
      <c r="K43" s="14">
        <f t="shared" si="2"/>
        <v>8</v>
      </c>
      <c r="L43" s="20">
        <f t="shared" si="3"/>
        <v>0.14035087719298245</v>
      </c>
      <c r="M43" s="19"/>
      <c r="N43" s="19">
        <f>SUMPRODUCT((raw!$B$2:$B$369='(2018-19)'!$A43)*(raw!$E$2:$E$369='(2018-19)'!$N$6)*(raw!$F$2:$F$369='(2018-19)'!N$7)*(raw!$G$2:$G$369))</f>
        <v>0</v>
      </c>
      <c r="O43" s="19">
        <f>SUMPRODUCT((raw!$B$2:$B$369='(2018-19)'!$A43)*(raw!$E$2:$E$369='(2018-19)'!$N$6)*(raw!$F$2:$F$369='(2018-19)'!O$7)*(raw!$G$2:$G$369))</f>
        <v>0</v>
      </c>
      <c r="P43" s="20" t="str">
        <f t="shared" si="4"/>
        <v>-</v>
      </c>
      <c r="Q43" s="19"/>
      <c r="R43" s="19">
        <f>SUMPRODUCT((raw!$B$2:$B$369='(2018-19)'!$A43)*(raw!$E$2:$E$369='(2018-19)'!$R$6)*(raw!$F$2:$F$369='(2018-19)'!R$7)*(raw!$G$2:$G$369))</f>
        <v>10</v>
      </c>
      <c r="S43" s="19">
        <f>SUMPRODUCT((raw!$B$2:$B$369='(2018-19)'!$A43)*(raw!$E$2:$E$369='(2018-19)'!$R$6)*(raw!$F$2:$F$369='(2018-19)'!S$7)*(raw!$G$2:$G$369))</f>
        <v>14</v>
      </c>
      <c r="T43" s="20">
        <f t="shared" si="5"/>
        <v>0.58333333333333337</v>
      </c>
      <c r="U43" s="19"/>
      <c r="V43" s="14">
        <f t="shared" si="6"/>
        <v>59</v>
      </c>
      <c r="W43" s="14">
        <f t="shared" si="6"/>
        <v>22</v>
      </c>
      <c r="X43" s="20">
        <f t="shared" si="7"/>
        <v>0.27160493827160492</v>
      </c>
      <c r="Y43" s="16"/>
      <c r="Z43" s="16"/>
      <c r="AA43" s="16"/>
      <c r="AB43" s="16"/>
      <c r="AC43" s="16"/>
      <c r="AD43" s="16"/>
      <c r="AE43" s="16"/>
      <c r="AF43" s="16"/>
      <c r="AG43" s="16"/>
    </row>
    <row r="44" spans="1:33" s="6" customFormat="1" ht="15" customHeight="1" x14ac:dyDescent="0.35">
      <c r="A44" s="5" t="s">
        <v>46</v>
      </c>
      <c r="B44" s="19">
        <f>SUMPRODUCT((raw!$B$2:$B$369='(2018-19)'!$A44)*(raw!$E$2:$E$369='(2018-19)'!$B$6:$D$6)*(raw!$F$2:$F$369='(2018-19)'!B$7)*(raw!$G$2:$G$369))</f>
        <v>7</v>
      </c>
      <c r="C44" s="19">
        <f>SUMPRODUCT((raw!$B$2:$B$369='(2018-19)'!$A44)*(raw!$E$2:$E$369='(2018-19)'!$B$6:$D$6)*(raw!$F$2:$F$369='(2018-19)'!C$7)*(raw!$G$2:$G$369))</f>
        <v>1</v>
      </c>
      <c r="D44" s="20">
        <f t="shared" si="0"/>
        <v>0.125</v>
      </c>
      <c r="E44" s="19"/>
      <c r="F44" s="19">
        <f>SUMPRODUCT((raw!$B$2:$B$369='(2018-19)'!$A44)*(raw!$E$2:$E$369='(2018-19)'!$F$6)*(raw!$F$2:$F$369='(2018-19)'!F$7)*(raw!$G$2:$G$369))</f>
        <v>36</v>
      </c>
      <c r="G44" s="19">
        <f>SUMPRODUCT((raw!$B$2:$B$369='(2018-19)'!$A44)*(raw!$E$2:$E$369='(2018-19)'!$F$6)*(raw!$F$2:$F$369='(2018-19)'!G$7)*(raw!$G$2:$G$369))</f>
        <v>10</v>
      </c>
      <c r="H44" s="20">
        <f t="shared" si="1"/>
        <v>0.21739130434782608</v>
      </c>
      <c r="I44" s="19"/>
      <c r="J44" s="14">
        <f t="shared" si="2"/>
        <v>43</v>
      </c>
      <c r="K44" s="14">
        <f t="shared" si="2"/>
        <v>11</v>
      </c>
      <c r="L44" s="20">
        <f t="shared" si="3"/>
        <v>0.20370370370370369</v>
      </c>
      <c r="M44" s="19"/>
      <c r="N44" s="19">
        <f>SUMPRODUCT((raw!$B$2:$B$369='(2018-19)'!$A44)*(raw!$E$2:$E$369='(2018-19)'!$N$6)*(raw!$F$2:$F$369='(2018-19)'!N$7)*(raw!$G$2:$G$369))</f>
        <v>0</v>
      </c>
      <c r="O44" s="19">
        <f>SUMPRODUCT((raw!$B$2:$B$369='(2018-19)'!$A44)*(raw!$E$2:$E$369='(2018-19)'!$N$6)*(raw!$F$2:$F$369='(2018-19)'!O$7)*(raw!$G$2:$G$369))</f>
        <v>0</v>
      </c>
      <c r="P44" s="20" t="str">
        <f t="shared" si="4"/>
        <v>-</v>
      </c>
      <c r="Q44" s="19"/>
      <c r="R44" s="19">
        <f>SUMPRODUCT((raw!$B$2:$B$369='(2018-19)'!$A44)*(raw!$E$2:$E$369='(2018-19)'!$R$6)*(raw!$F$2:$F$369='(2018-19)'!R$7)*(raw!$G$2:$G$369))</f>
        <v>5</v>
      </c>
      <c r="S44" s="19">
        <f>SUMPRODUCT((raw!$B$2:$B$369='(2018-19)'!$A44)*(raw!$E$2:$E$369='(2018-19)'!$R$6)*(raw!$F$2:$F$369='(2018-19)'!S$7)*(raw!$G$2:$G$369))</f>
        <v>1</v>
      </c>
      <c r="T44" s="20">
        <f t="shared" si="5"/>
        <v>0.16666666666666666</v>
      </c>
      <c r="U44" s="19"/>
      <c r="V44" s="14">
        <f t="shared" si="6"/>
        <v>48</v>
      </c>
      <c r="W44" s="14">
        <f t="shared" si="6"/>
        <v>12</v>
      </c>
      <c r="X44" s="20">
        <f t="shared" si="7"/>
        <v>0.2</v>
      </c>
      <c r="Y44" s="16"/>
      <c r="Z44" s="16"/>
      <c r="AA44" s="16"/>
      <c r="AB44" s="16"/>
      <c r="AC44" s="16"/>
      <c r="AD44" s="16"/>
      <c r="AE44" s="16"/>
      <c r="AF44" s="16"/>
      <c r="AG44" s="16"/>
    </row>
    <row r="45" spans="1:33" s="6" customFormat="1" ht="15" customHeight="1" x14ac:dyDescent="0.35">
      <c r="A45" s="5" t="s">
        <v>47</v>
      </c>
      <c r="B45" s="19">
        <f>SUMPRODUCT((raw!$B$2:$B$369='(2018-19)'!$A45)*(raw!$E$2:$E$369='(2018-19)'!$B$6:$D$6)*(raw!$F$2:$F$369='(2018-19)'!B$7)*(raw!$G$2:$G$369))</f>
        <v>28</v>
      </c>
      <c r="C45" s="19">
        <f>SUMPRODUCT((raw!$B$2:$B$369='(2018-19)'!$A45)*(raw!$E$2:$E$369='(2018-19)'!$B$6:$D$6)*(raw!$F$2:$F$369='(2018-19)'!C$7)*(raw!$G$2:$G$369))</f>
        <v>2</v>
      </c>
      <c r="D45" s="20">
        <f t="shared" si="0"/>
        <v>6.6666666666666666E-2</v>
      </c>
      <c r="E45" s="19"/>
      <c r="F45" s="19">
        <f>SUMPRODUCT((raw!$B$2:$B$369='(2018-19)'!$A45)*(raw!$E$2:$E$369='(2018-19)'!$F$6)*(raw!$F$2:$F$369='(2018-19)'!F$7)*(raw!$G$2:$G$369))</f>
        <v>7</v>
      </c>
      <c r="G45" s="19">
        <f>SUMPRODUCT((raw!$B$2:$B$369='(2018-19)'!$A45)*(raw!$E$2:$E$369='(2018-19)'!$F$6)*(raw!$F$2:$F$369='(2018-19)'!G$7)*(raw!$G$2:$G$369))</f>
        <v>0</v>
      </c>
      <c r="H45" s="20">
        <f t="shared" si="1"/>
        <v>0</v>
      </c>
      <c r="I45" s="19"/>
      <c r="J45" s="14">
        <f t="shared" si="2"/>
        <v>35</v>
      </c>
      <c r="K45" s="14">
        <f t="shared" si="2"/>
        <v>2</v>
      </c>
      <c r="L45" s="20">
        <f t="shared" si="3"/>
        <v>5.4054054054054057E-2</v>
      </c>
      <c r="M45" s="19"/>
      <c r="N45" s="19">
        <f>SUMPRODUCT((raw!$B$2:$B$369='(2018-19)'!$A45)*(raw!$E$2:$E$369='(2018-19)'!$N$6)*(raw!$F$2:$F$369='(2018-19)'!N$7)*(raw!$G$2:$G$369))</f>
        <v>3</v>
      </c>
      <c r="O45" s="19">
        <f>SUMPRODUCT((raw!$B$2:$B$369='(2018-19)'!$A45)*(raw!$E$2:$E$369='(2018-19)'!$N$6)*(raw!$F$2:$F$369='(2018-19)'!O$7)*(raw!$G$2:$G$369))</f>
        <v>1</v>
      </c>
      <c r="P45" s="20">
        <f t="shared" si="4"/>
        <v>0.25</v>
      </c>
      <c r="Q45" s="19"/>
      <c r="R45" s="19">
        <f>SUMPRODUCT((raw!$B$2:$B$369='(2018-19)'!$A45)*(raw!$E$2:$E$369='(2018-19)'!$R$6)*(raw!$F$2:$F$369='(2018-19)'!R$7)*(raw!$G$2:$G$369))</f>
        <v>15</v>
      </c>
      <c r="S45" s="19">
        <f>SUMPRODUCT((raw!$B$2:$B$369='(2018-19)'!$A45)*(raw!$E$2:$E$369='(2018-19)'!$R$6)*(raw!$F$2:$F$369='(2018-19)'!S$7)*(raw!$G$2:$G$369))</f>
        <v>1</v>
      </c>
      <c r="T45" s="20">
        <f t="shared" si="5"/>
        <v>6.25E-2</v>
      </c>
      <c r="U45" s="19"/>
      <c r="V45" s="14">
        <f t="shared" si="6"/>
        <v>53</v>
      </c>
      <c r="W45" s="14">
        <f t="shared" si="6"/>
        <v>4</v>
      </c>
      <c r="X45" s="20">
        <f t="shared" si="7"/>
        <v>7.0175438596491224E-2</v>
      </c>
      <c r="Y45" s="16"/>
      <c r="Z45" s="16"/>
      <c r="AA45" s="16"/>
      <c r="AB45" s="16"/>
      <c r="AC45" s="16"/>
      <c r="AD45" s="16"/>
      <c r="AE45" s="16"/>
      <c r="AF45" s="16"/>
      <c r="AG45" s="16"/>
    </row>
    <row r="46" spans="1:33" s="6" customFormat="1" ht="15" customHeight="1" x14ac:dyDescent="0.35">
      <c r="A46" s="5" t="s">
        <v>48</v>
      </c>
      <c r="B46" s="19">
        <f>SUMPRODUCT((raw!$B$2:$B$369='(2018-19)'!$A46)*(raw!$E$2:$E$369='(2018-19)'!$B$6:$D$6)*(raw!$F$2:$F$369='(2018-19)'!B$7)*(raw!$G$2:$G$369))</f>
        <v>13</v>
      </c>
      <c r="C46" s="19">
        <f>SUMPRODUCT((raw!$B$2:$B$369='(2018-19)'!$A46)*(raw!$E$2:$E$369='(2018-19)'!$B$6:$D$6)*(raw!$F$2:$F$369='(2018-19)'!C$7)*(raw!$G$2:$G$369))</f>
        <v>0</v>
      </c>
      <c r="D46" s="20">
        <f t="shared" si="0"/>
        <v>0</v>
      </c>
      <c r="E46" s="19"/>
      <c r="F46" s="19">
        <f>SUMPRODUCT((raw!$B$2:$B$369='(2018-19)'!$A46)*(raw!$E$2:$E$369='(2018-19)'!$F$6)*(raw!$F$2:$F$369='(2018-19)'!F$7)*(raw!$G$2:$G$369))</f>
        <v>16</v>
      </c>
      <c r="G46" s="19">
        <f>SUMPRODUCT((raw!$B$2:$B$369='(2018-19)'!$A46)*(raw!$E$2:$E$369='(2018-19)'!$F$6)*(raw!$F$2:$F$369='(2018-19)'!G$7)*(raw!$G$2:$G$369))</f>
        <v>3</v>
      </c>
      <c r="H46" s="20">
        <f t="shared" si="1"/>
        <v>0.15789473684210525</v>
      </c>
      <c r="I46" s="19"/>
      <c r="J46" s="14">
        <f t="shared" si="2"/>
        <v>29</v>
      </c>
      <c r="K46" s="14">
        <f t="shared" si="2"/>
        <v>3</v>
      </c>
      <c r="L46" s="20">
        <f t="shared" si="3"/>
        <v>9.375E-2</v>
      </c>
      <c r="M46" s="19"/>
      <c r="N46" s="19">
        <f>SUMPRODUCT((raw!$B$2:$B$369='(2018-19)'!$A46)*(raw!$E$2:$E$369='(2018-19)'!$N$6)*(raw!$F$2:$F$369='(2018-19)'!N$7)*(raw!$G$2:$G$369))</f>
        <v>0</v>
      </c>
      <c r="O46" s="19">
        <f>SUMPRODUCT((raw!$B$2:$B$369='(2018-19)'!$A46)*(raw!$E$2:$E$369='(2018-19)'!$N$6)*(raw!$F$2:$F$369='(2018-19)'!O$7)*(raw!$G$2:$G$369))</f>
        <v>1</v>
      </c>
      <c r="P46" s="20">
        <f t="shared" si="4"/>
        <v>1</v>
      </c>
      <c r="Q46" s="19"/>
      <c r="R46" s="19">
        <f>SUMPRODUCT((raw!$B$2:$B$369='(2018-19)'!$A46)*(raw!$E$2:$E$369='(2018-19)'!$R$6)*(raw!$F$2:$F$369='(2018-19)'!R$7)*(raw!$G$2:$G$369))</f>
        <v>4</v>
      </c>
      <c r="S46" s="19">
        <f>SUMPRODUCT((raw!$B$2:$B$369='(2018-19)'!$A46)*(raw!$E$2:$E$369='(2018-19)'!$R$6)*(raw!$F$2:$F$369='(2018-19)'!S$7)*(raw!$G$2:$G$369))</f>
        <v>9</v>
      </c>
      <c r="T46" s="20">
        <f t="shared" si="5"/>
        <v>0.69230769230769229</v>
      </c>
      <c r="U46" s="19"/>
      <c r="V46" s="14">
        <f t="shared" si="6"/>
        <v>33</v>
      </c>
      <c r="W46" s="14">
        <f t="shared" si="6"/>
        <v>13</v>
      </c>
      <c r="X46" s="20">
        <f t="shared" si="7"/>
        <v>0.28260869565217389</v>
      </c>
      <c r="Y46" s="16"/>
      <c r="Z46" s="16"/>
      <c r="AA46" s="16"/>
      <c r="AB46" s="16"/>
      <c r="AC46" s="16"/>
      <c r="AD46" s="16"/>
      <c r="AE46" s="16"/>
      <c r="AF46" s="16"/>
      <c r="AG46" s="16"/>
    </row>
    <row r="47" spans="1:33" s="6" customFormat="1" ht="15" customHeight="1" x14ac:dyDescent="0.35">
      <c r="A47" s="5" t="s">
        <v>49</v>
      </c>
      <c r="B47" s="19">
        <f>SUMPRODUCT((raw!$B$2:$B$369='(2018-19)'!$A47)*(raw!$E$2:$E$369='(2018-19)'!$B$6:$D$6)*(raw!$F$2:$F$369='(2018-19)'!B$7)*(raw!$G$2:$G$369))</f>
        <v>13</v>
      </c>
      <c r="C47" s="19">
        <f>SUMPRODUCT((raw!$B$2:$B$369='(2018-19)'!$A47)*(raw!$E$2:$E$369='(2018-19)'!$B$6:$D$6)*(raw!$F$2:$F$369='(2018-19)'!C$7)*(raw!$G$2:$G$369))</f>
        <v>4</v>
      </c>
      <c r="D47" s="20">
        <f t="shared" si="0"/>
        <v>0.23529411764705882</v>
      </c>
      <c r="E47" s="19"/>
      <c r="F47" s="19">
        <f>SUMPRODUCT((raw!$B$2:$B$369='(2018-19)'!$A47)*(raw!$E$2:$E$369='(2018-19)'!$F$6)*(raw!$F$2:$F$369='(2018-19)'!F$7)*(raw!$G$2:$G$369))</f>
        <v>38</v>
      </c>
      <c r="G47" s="19">
        <f>SUMPRODUCT((raw!$B$2:$B$369='(2018-19)'!$A47)*(raw!$E$2:$E$369='(2018-19)'!$F$6)*(raw!$F$2:$F$369='(2018-19)'!G$7)*(raw!$G$2:$G$369))</f>
        <v>4</v>
      </c>
      <c r="H47" s="20">
        <f t="shared" si="1"/>
        <v>9.5238095238095233E-2</v>
      </c>
      <c r="I47" s="19"/>
      <c r="J47" s="14">
        <f t="shared" si="2"/>
        <v>51</v>
      </c>
      <c r="K47" s="14">
        <f t="shared" si="2"/>
        <v>8</v>
      </c>
      <c r="L47" s="20">
        <f t="shared" si="3"/>
        <v>0.13559322033898305</v>
      </c>
      <c r="M47" s="19"/>
      <c r="N47" s="19">
        <f>SUMPRODUCT((raw!$B$2:$B$369='(2018-19)'!$A47)*(raw!$E$2:$E$369='(2018-19)'!$N$6)*(raw!$F$2:$F$369='(2018-19)'!N$7)*(raw!$G$2:$G$369))</f>
        <v>0</v>
      </c>
      <c r="O47" s="19">
        <f>SUMPRODUCT((raw!$B$2:$B$369='(2018-19)'!$A47)*(raw!$E$2:$E$369='(2018-19)'!$N$6)*(raw!$F$2:$F$369='(2018-19)'!O$7)*(raw!$G$2:$G$369))</f>
        <v>0</v>
      </c>
      <c r="P47" s="20" t="str">
        <f t="shared" si="4"/>
        <v>-</v>
      </c>
      <c r="Q47" s="19"/>
      <c r="R47" s="19">
        <f>SUMPRODUCT((raw!$B$2:$B$369='(2018-19)'!$A47)*(raw!$E$2:$E$369='(2018-19)'!$R$6)*(raw!$F$2:$F$369='(2018-19)'!R$7)*(raw!$G$2:$G$369))</f>
        <v>4</v>
      </c>
      <c r="S47" s="19">
        <f>SUMPRODUCT((raw!$B$2:$B$369='(2018-19)'!$A47)*(raw!$E$2:$E$369='(2018-19)'!$R$6)*(raw!$F$2:$F$369='(2018-19)'!S$7)*(raw!$G$2:$G$369))</f>
        <v>7</v>
      </c>
      <c r="T47" s="20">
        <f t="shared" si="5"/>
        <v>0.63636363636363635</v>
      </c>
      <c r="U47" s="19"/>
      <c r="V47" s="14">
        <f t="shared" si="6"/>
        <v>55</v>
      </c>
      <c r="W47" s="14">
        <f t="shared" si="6"/>
        <v>15</v>
      </c>
      <c r="X47" s="20">
        <f t="shared" si="7"/>
        <v>0.21428571428571427</v>
      </c>
      <c r="Y47" s="16"/>
      <c r="Z47" s="16"/>
      <c r="AA47" s="16"/>
      <c r="AB47" s="16"/>
      <c r="AC47" s="16"/>
      <c r="AD47" s="16"/>
      <c r="AE47" s="16"/>
      <c r="AF47" s="16"/>
      <c r="AG47" s="16"/>
    </row>
    <row r="48" spans="1:33" s="6" customFormat="1" ht="15" customHeight="1" x14ac:dyDescent="0.35">
      <c r="A48" s="5" t="s">
        <v>50</v>
      </c>
      <c r="B48" s="19">
        <f>SUMPRODUCT((raw!$B$2:$B$369='(2018-19)'!$A48)*(raw!$E$2:$E$369='(2018-19)'!$B$6:$D$6)*(raw!$F$2:$F$369='(2018-19)'!B$7)*(raw!$G$2:$G$369))</f>
        <v>0</v>
      </c>
      <c r="C48" s="19">
        <f>SUMPRODUCT((raw!$B$2:$B$369='(2018-19)'!$A48)*(raw!$E$2:$E$369='(2018-19)'!$B$6:$D$6)*(raw!$F$2:$F$369='(2018-19)'!C$7)*(raw!$G$2:$G$369))</f>
        <v>0</v>
      </c>
      <c r="D48" s="20" t="str">
        <f t="shared" si="0"/>
        <v>-</v>
      </c>
      <c r="E48" s="19"/>
      <c r="F48" s="19">
        <f>SUMPRODUCT((raw!$B$2:$B$369='(2018-19)'!$A48)*(raw!$E$2:$E$369='(2018-19)'!$F$6)*(raw!$F$2:$F$369='(2018-19)'!F$7)*(raw!$G$2:$G$369))</f>
        <v>3</v>
      </c>
      <c r="G48" s="19">
        <f>SUMPRODUCT((raw!$B$2:$B$369='(2018-19)'!$A48)*(raw!$E$2:$E$369='(2018-19)'!$F$6)*(raw!$F$2:$F$369='(2018-19)'!G$7)*(raw!$G$2:$G$369))</f>
        <v>0</v>
      </c>
      <c r="H48" s="20">
        <f t="shared" si="1"/>
        <v>0</v>
      </c>
      <c r="I48" s="19"/>
      <c r="J48" s="14">
        <f t="shared" si="2"/>
        <v>3</v>
      </c>
      <c r="K48" s="14">
        <f t="shared" si="2"/>
        <v>0</v>
      </c>
      <c r="L48" s="20">
        <f t="shared" si="3"/>
        <v>0</v>
      </c>
      <c r="M48" s="19"/>
      <c r="N48" s="19">
        <f>SUMPRODUCT((raw!$B$2:$B$369='(2018-19)'!$A48)*(raw!$E$2:$E$369='(2018-19)'!$N$6)*(raw!$F$2:$F$369='(2018-19)'!N$7)*(raw!$G$2:$G$369))</f>
        <v>0</v>
      </c>
      <c r="O48" s="19">
        <f>SUMPRODUCT((raw!$B$2:$B$369='(2018-19)'!$A48)*(raw!$E$2:$E$369='(2018-19)'!$N$6)*(raw!$F$2:$F$369='(2018-19)'!O$7)*(raw!$G$2:$G$369))</f>
        <v>0</v>
      </c>
      <c r="P48" s="20" t="str">
        <f t="shared" si="4"/>
        <v>-</v>
      </c>
      <c r="Q48" s="19"/>
      <c r="R48" s="19">
        <f>SUMPRODUCT((raw!$B$2:$B$369='(2018-19)'!$A48)*(raw!$E$2:$E$369='(2018-19)'!$R$6)*(raw!$F$2:$F$369='(2018-19)'!R$7)*(raw!$G$2:$G$369))</f>
        <v>0</v>
      </c>
      <c r="S48" s="19">
        <f>SUMPRODUCT((raw!$B$2:$B$369='(2018-19)'!$A48)*(raw!$E$2:$E$369='(2018-19)'!$R$6)*(raw!$F$2:$F$369='(2018-19)'!S$7)*(raw!$G$2:$G$369))</f>
        <v>1</v>
      </c>
      <c r="T48" s="20">
        <f t="shared" si="5"/>
        <v>1</v>
      </c>
      <c r="U48" s="19"/>
      <c r="V48" s="14">
        <f t="shared" si="6"/>
        <v>3</v>
      </c>
      <c r="W48" s="14">
        <f t="shared" si="6"/>
        <v>1</v>
      </c>
      <c r="X48" s="20">
        <f t="shared" si="7"/>
        <v>0.25</v>
      </c>
      <c r="Y48" s="16"/>
      <c r="Z48" s="16"/>
      <c r="AA48" s="16"/>
      <c r="AB48" s="16"/>
      <c r="AC48" s="16"/>
      <c r="AD48" s="16"/>
      <c r="AE48" s="16"/>
      <c r="AF48" s="16"/>
      <c r="AG48" s="16"/>
    </row>
    <row r="49" spans="1:33" s="6" customFormat="1" ht="15" customHeight="1" x14ac:dyDescent="0.35">
      <c r="A49" s="22" t="s">
        <v>51</v>
      </c>
      <c r="B49" s="14">
        <f>SUM(B50:B56)</f>
        <v>691</v>
      </c>
      <c r="C49" s="14">
        <f>SUM(C50:C56)</f>
        <v>118</v>
      </c>
      <c r="D49" s="15">
        <f t="shared" si="0"/>
        <v>0.14585908529048208</v>
      </c>
      <c r="E49" s="14"/>
      <c r="F49" s="14">
        <f>SUM(F50:F56)</f>
        <v>41</v>
      </c>
      <c r="G49" s="14">
        <f>SUM(G50:G56)</f>
        <v>7</v>
      </c>
      <c r="H49" s="15">
        <f t="shared" si="1"/>
        <v>0.14583333333333334</v>
      </c>
      <c r="I49" s="14"/>
      <c r="J49" s="14">
        <f t="shared" si="2"/>
        <v>732</v>
      </c>
      <c r="K49" s="14">
        <f t="shared" si="2"/>
        <v>125</v>
      </c>
      <c r="L49" s="15">
        <f t="shared" si="3"/>
        <v>0.14585764294049008</v>
      </c>
      <c r="M49" s="14"/>
      <c r="N49" s="14">
        <f>SUM(N50:N56)</f>
        <v>5</v>
      </c>
      <c r="O49" s="14">
        <f>SUM(O50:O56)</f>
        <v>17</v>
      </c>
      <c r="P49" s="15">
        <f t="shared" si="4"/>
        <v>0.77272727272727271</v>
      </c>
      <c r="Q49" s="14"/>
      <c r="R49" s="14">
        <f>SUM(R50:R56)</f>
        <v>151</v>
      </c>
      <c r="S49" s="14">
        <f>SUM(S50:S56)</f>
        <v>183</v>
      </c>
      <c r="T49" s="15">
        <f t="shared" si="5"/>
        <v>0.54790419161676651</v>
      </c>
      <c r="U49" s="14"/>
      <c r="V49" s="14">
        <f t="shared" si="6"/>
        <v>888</v>
      </c>
      <c r="W49" s="14">
        <f t="shared" si="6"/>
        <v>325</v>
      </c>
      <c r="X49" s="15">
        <f t="shared" si="7"/>
        <v>0.26793075020610058</v>
      </c>
      <c r="Y49" s="16"/>
      <c r="Z49" s="16"/>
      <c r="AA49" s="16"/>
      <c r="AB49" s="16"/>
      <c r="AC49" s="16"/>
      <c r="AD49" s="16"/>
      <c r="AE49" s="16"/>
      <c r="AF49" s="16"/>
      <c r="AG49" s="16"/>
    </row>
    <row r="50" spans="1:33" s="6" customFormat="1" ht="15" customHeight="1" x14ac:dyDescent="0.35">
      <c r="A50" s="5" t="s">
        <v>52</v>
      </c>
      <c r="B50" s="19">
        <f>SUMPRODUCT((raw!$B$2:$B$369='(2018-19)'!$A50)*(raw!$E$2:$E$369='(2018-19)'!$B$6:$D$6)*(raw!$F$2:$F$369='(2018-19)'!B$7)*(raw!$G$2:$G$369))</f>
        <v>106</v>
      </c>
      <c r="C50" s="19">
        <f>SUMPRODUCT((raw!$B$2:$B$369='(2018-19)'!$A50)*(raw!$E$2:$E$369='(2018-19)'!$B$6:$D$6)*(raw!$F$2:$F$369='(2018-19)'!C$7)*(raw!$G$2:$G$369))</f>
        <v>19</v>
      </c>
      <c r="D50" s="20">
        <f t="shared" si="0"/>
        <v>0.152</v>
      </c>
      <c r="E50" s="19"/>
      <c r="F50" s="19">
        <f>SUMPRODUCT((raw!$B$2:$B$369='(2018-19)'!$A50)*(raw!$E$2:$E$369='(2018-19)'!$F$6)*(raw!$F$2:$F$369='(2018-19)'!F$7)*(raw!$G$2:$G$369))</f>
        <v>0</v>
      </c>
      <c r="G50" s="19">
        <f>SUMPRODUCT((raw!$B$2:$B$369='(2018-19)'!$A50)*(raw!$E$2:$E$369='(2018-19)'!$F$6)*(raw!$F$2:$F$369='(2018-19)'!G$7)*(raw!$G$2:$G$369))</f>
        <v>0</v>
      </c>
      <c r="H50" s="20" t="str">
        <f t="shared" si="1"/>
        <v>-</v>
      </c>
      <c r="I50" s="19"/>
      <c r="J50" s="14">
        <f t="shared" si="2"/>
        <v>106</v>
      </c>
      <c r="K50" s="14">
        <f t="shared" si="2"/>
        <v>19</v>
      </c>
      <c r="L50" s="20">
        <f t="shared" si="3"/>
        <v>0.152</v>
      </c>
      <c r="M50" s="19"/>
      <c r="N50" s="19">
        <f>SUMPRODUCT((raw!$B$2:$B$369='(2018-19)'!$A50)*(raw!$E$2:$E$369='(2018-19)'!$N$6)*(raw!$F$2:$F$369='(2018-19)'!N$7)*(raw!$G$2:$G$369))</f>
        <v>0</v>
      </c>
      <c r="O50" s="19">
        <f>SUMPRODUCT((raw!$B$2:$B$369='(2018-19)'!$A50)*(raw!$E$2:$E$369='(2018-19)'!$N$6)*(raw!$F$2:$F$369='(2018-19)'!O$7)*(raw!$G$2:$G$369))</f>
        <v>0</v>
      </c>
      <c r="P50" s="20" t="str">
        <f t="shared" si="4"/>
        <v>-</v>
      </c>
      <c r="Q50" s="19"/>
      <c r="R50" s="19">
        <f>SUMPRODUCT((raw!$B$2:$B$369='(2018-19)'!$A50)*(raw!$E$2:$E$369='(2018-19)'!$R$6)*(raw!$F$2:$F$369='(2018-19)'!R$7)*(raw!$G$2:$G$369))</f>
        <v>31</v>
      </c>
      <c r="S50" s="19">
        <f>SUMPRODUCT((raw!$B$2:$B$369='(2018-19)'!$A50)*(raw!$E$2:$E$369='(2018-19)'!$R$6)*(raw!$F$2:$F$369='(2018-19)'!S$7)*(raw!$G$2:$G$369))</f>
        <v>28</v>
      </c>
      <c r="T50" s="20">
        <f t="shared" si="5"/>
        <v>0.47457627118644069</v>
      </c>
      <c r="U50" s="19"/>
      <c r="V50" s="14">
        <f t="shared" si="6"/>
        <v>137</v>
      </c>
      <c r="W50" s="14">
        <f t="shared" si="6"/>
        <v>47</v>
      </c>
      <c r="X50" s="20">
        <f t="shared" si="7"/>
        <v>0.25543478260869568</v>
      </c>
      <c r="Y50" s="16"/>
      <c r="Z50" s="16"/>
      <c r="AA50" s="16"/>
      <c r="AB50" s="16"/>
      <c r="AC50" s="16"/>
      <c r="AD50" s="16"/>
      <c r="AE50" s="16"/>
      <c r="AF50" s="16"/>
      <c r="AG50" s="16"/>
    </row>
    <row r="51" spans="1:33" s="6" customFormat="1" ht="15" customHeight="1" x14ac:dyDescent="0.35">
      <c r="A51" s="5" t="s">
        <v>53</v>
      </c>
      <c r="B51" s="19">
        <f>SUMPRODUCT((raw!$B$2:$B$369='(2018-19)'!$A51)*(raw!$E$2:$E$369='(2018-19)'!$B$6:$D$6)*(raw!$F$2:$F$369='(2018-19)'!B$7)*(raw!$G$2:$G$369))</f>
        <v>43</v>
      </c>
      <c r="C51" s="19">
        <f>SUMPRODUCT((raw!$B$2:$B$369='(2018-19)'!$A51)*(raw!$E$2:$E$369='(2018-19)'!$B$6:$D$6)*(raw!$F$2:$F$369='(2018-19)'!C$7)*(raw!$G$2:$G$369))</f>
        <v>8</v>
      </c>
      <c r="D51" s="20">
        <f t="shared" si="0"/>
        <v>0.15686274509803921</v>
      </c>
      <c r="E51" s="19"/>
      <c r="F51" s="19">
        <f>SUMPRODUCT((raw!$B$2:$B$369='(2018-19)'!$A51)*(raw!$E$2:$E$369='(2018-19)'!$F$6)*(raw!$F$2:$F$369='(2018-19)'!F$7)*(raw!$G$2:$G$369))</f>
        <v>21</v>
      </c>
      <c r="G51" s="19">
        <f>SUMPRODUCT((raw!$B$2:$B$369='(2018-19)'!$A51)*(raw!$E$2:$E$369='(2018-19)'!$F$6)*(raw!$F$2:$F$369='(2018-19)'!G$7)*(raw!$G$2:$G$369))</f>
        <v>4</v>
      </c>
      <c r="H51" s="20">
        <f t="shared" si="1"/>
        <v>0.16</v>
      </c>
      <c r="I51" s="19"/>
      <c r="J51" s="14">
        <f t="shared" si="2"/>
        <v>64</v>
      </c>
      <c r="K51" s="14">
        <f t="shared" si="2"/>
        <v>12</v>
      </c>
      <c r="L51" s="20">
        <f t="shared" si="3"/>
        <v>0.15789473684210525</v>
      </c>
      <c r="M51" s="19"/>
      <c r="N51" s="19">
        <f>SUMPRODUCT((raw!$B$2:$B$369='(2018-19)'!$A51)*(raw!$E$2:$E$369='(2018-19)'!$N$6)*(raw!$F$2:$F$369='(2018-19)'!N$7)*(raw!$G$2:$G$369))</f>
        <v>1</v>
      </c>
      <c r="O51" s="19">
        <f>SUMPRODUCT((raw!$B$2:$B$369='(2018-19)'!$A51)*(raw!$E$2:$E$369='(2018-19)'!$N$6)*(raw!$F$2:$F$369='(2018-19)'!O$7)*(raw!$G$2:$G$369))</f>
        <v>6</v>
      </c>
      <c r="P51" s="20">
        <f t="shared" si="4"/>
        <v>0.8571428571428571</v>
      </c>
      <c r="Q51" s="19"/>
      <c r="R51" s="19">
        <f>SUMPRODUCT((raw!$B$2:$B$369='(2018-19)'!$A51)*(raw!$E$2:$E$369='(2018-19)'!$R$6)*(raw!$F$2:$F$369='(2018-19)'!R$7)*(raw!$G$2:$G$369))</f>
        <v>32</v>
      </c>
      <c r="S51" s="19">
        <f>SUMPRODUCT((raw!$B$2:$B$369='(2018-19)'!$A51)*(raw!$E$2:$E$369='(2018-19)'!$R$6)*(raw!$F$2:$F$369='(2018-19)'!S$7)*(raw!$G$2:$G$369))</f>
        <v>23</v>
      </c>
      <c r="T51" s="20">
        <f t="shared" si="5"/>
        <v>0.41818181818181815</v>
      </c>
      <c r="U51" s="19"/>
      <c r="V51" s="14">
        <f t="shared" si="6"/>
        <v>97</v>
      </c>
      <c r="W51" s="14">
        <f t="shared" si="6"/>
        <v>41</v>
      </c>
      <c r="X51" s="20">
        <f t="shared" si="7"/>
        <v>0.29710144927536231</v>
      </c>
      <c r="Y51" s="16"/>
      <c r="Z51" s="16"/>
      <c r="AA51" s="16"/>
      <c r="AB51" s="16"/>
      <c r="AC51" s="16"/>
      <c r="AD51" s="16"/>
      <c r="AE51" s="16"/>
      <c r="AF51" s="16"/>
      <c r="AG51" s="16"/>
    </row>
    <row r="52" spans="1:33" s="6" customFormat="1" ht="15" customHeight="1" x14ac:dyDescent="0.35">
      <c r="A52" s="5" t="s">
        <v>54</v>
      </c>
      <c r="B52" s="19">
        <f>SUMPRODUCT((raw!$B$2:$B$369='(2018-19)'!$A52)*(raw!$E$2:$E$369='(2018-19)'!$B$6:$D$6)*(raw!$F$2:$F$369='(2018-19)'!B$7)*(raw!$G$2:$G$369))</f>
        <v>20</v>
      </c>
      <c r="C52" s="19">
        <f>SUMPRODUCT((raw!$B$2:$B$369='(2018-19)'!$A52)*(raw!$E$2:$E$369='(2018-19)'!$B$6:$D$6)*(raw!$F$2:$F$369='(2018-19)'!C$7)*(raw!$G$2:$G$369))</f>
        <v>3</v>
      </c>
      <c r="D52" s="20">
        <f t="shared" si="0"/>
        <v>0.13043478260869565</v>
      </c>
      <c r="E52" s="19"/>
      <c r="F52" s="19">
        <f>SUMPRODUCT((raw!$B$2:$B$369='(2018-19)'!$A52)*(raw!$E$2:$E$369='(2018-19)'!$F$6)*(raw!$F$2:$F$369='(2018-19)'!F$7)*(raw!$G$2:$G$369))</f>
        <v>1</v>
      </c>
      <c r="G52" s="19">
        <f>SUMPRODUCT((raw!$B$2:$B$369='(2018-19)'!$A52)*(raw!$E$2:$E$369='(2018-19)'!$F$6)*(raw!$F$2:$F$369='(2018-19)'!G$7)*(raw!$G$2:$G$369))</f>
        <v>0</v>
      </c>
      <c r="H52" s="20">
        <f t="shared" si="1"/>
        <v>0</v>
      </c>
      <c r="I52" s="19"/>
      <c r="J52" s="14">
        <f t="shared" si="2"/>
        <v>21</v>
      </c>
      <c r="K52" s="14">
        <f t="shared" si="2"/>
        <v>3</v>
      </c>
      <c r="L52" s="20">
        <f t="shared" si="3"/>
        <v>0.125</v>
      </c>
      <c r="M52" s="19"/>
      <c r="N52" s="19">
        <f>SUMPRODUCT((raw!$B$2:$B$369='(2018-19)'!$A52)*(raw!$E$2:$E$369='(2018-19)'!$N$6)*(raw!$F$2:$F$369='(2018-19)'!N$7)*(raw!$G$2:$G$369))</f>
        <v>0</v>
      </c>
      <c r="O52" s="19">
        <f>SUMPRODUCT((raw!$B$2:$B$369='(2018-19)'!$A52)*(raw!$E$2:$E$369='(2018-19)'!$N$6)*(raw!$F$2:$F$369='(2018-19)'!O$7)*(raw!$G$2:$G$369))</f>
        <v>0</v>
      </c>
      <c r="P52" s="20" t="str">
        <f t="shared" si="4"/>
        <v>-</v>
      </c>
      <c r="Q52" s="19"/>
      <c r="R52" s="19">
        <f>SUMPRODUCT((raw!$B$2:$B$369='(2018-19)'!$A52)*(raw!$E$2:$E$369='(2018-19)'!$R$6)*(raw!$F$2:$F$369='(2018-19)'!R$7)*(raw!$G$2:$G$369))</f>
        <v>8</v>
      </c>
      <c r="S52" s="19">
        <f>SUMPRODUCT((raw!$B$2:$B$369='(2018-19)'!$A52)*(raw!$E$2:$E$369='(2018-19)'!$R$6)*(raw!$F$2:$F$369='(2018-19)'!S$7)*(raw!$G$2:$G$369))</f>
        <v>9</v>
      </c>
      <c r="T52" s="20">
        <f t="shared" si="5"/>
        <v>0.52941176470588236</v>
      </c>
      <c r="U52" s="19"/>
      <c r="V52" s="14">
        <f t="shared" si="6"/>
        <v>29</v>
      </c>
      <c r="W52" s="14">
        <f t="shared" si="6"/>
        <v>12</v>
      </c>
      <c r="X52" s="20">
        <f t="shared" si="7"/>
        <v>0.29268292682926828</v>
      </c>
      <c r="Y52" s="16"/>
      <c r="Z52" s="16"/>
      <c r="AA52" s="16"/>
      <c r="AB52" s="16"/>
      <c r="AC52" s="16"/>
      <c r="AD52" s="16"/>
      <c r="AE52" s="16"/>
      <c r="AF52" s="16"/>
      <c r="AG52" s="16"/>
    </row>
    <row r="53" spans="1:33" s="6" customFormat="1" ht="15" customHeight="1" x14ac:dyDescent="0.35">
      <c r="A53" s="2" t="s">
        <v>55</v>
      </c>
      <c r="B53" s="19">
        <f>SUMPRODUCT((raw!$B$2:$B$369='(2018-19)'!$A53)*(raw!$E$2:$E$369='(2018-19)'!$B$6:$D$6)*(raw!$F$2:$F$369='(2018-19)'!B$7)*(raw!$G$2:$G$369))</f>
        <v>22</v>
      </c>
      <c r="C53" s="19">
        <f>SUMPRODUCT((raw!$B$2:$B$369='(2018-19)'!$A53)*(raw!$E$2:$E$369='(2018-19)'!$B$6:$D$6)*(raw!$F$2:$F$369='(2018-19)'!C$7)*(raw!$G$2:$G$369))</f>
        <v>4</v>
      </c>
      <c r="D53" s="20">
        <f t="shared" si="0"/>
        <v>0.15384615384615385</v>
      </c>
      <c r="E53" s="19"/>
      <c r="F53" s="19">
        <f>SUMPRODUCT((raw!$B$2:$B$369='(2018-19)'!$A53)*(raw!$E$2:$E$369='(2018-19)'!$F$6)*(raw!$F$2:$F$369='(2018-19)'!F$7)*(raw!$G$2:$G$369))</f>
        <v>0</v>
      </c>
      <c r="G53" s="19">
        <f>SUMPRODUCT((raw!$B$2:$B$369='(2018-19)'!$A53)*(raw!$E$2:$E$369='(2018-19)'!$F$6)*(raw!$F$2:$F$369='(2018-19)'!G$7)*(raw!$G$2:$G$369))</f>
        <v>0</v>
      </c>
      <c r="H53" s="20" t="str">
        <f t="shared" si="1"/>
        <v>-</v>
      </c>
      <c r="I53" s="19"/>
      <c r="J53" s="14">
        <f t="shared" si="2"/>
        <v>22</v>
      </c>
      <c r="K53" s="14">
        <f t="shared" si="2"/>
        <v>4</v>
      </c>
      <c r="L53" s="20">
        <f t="shared" si="3"/>
        <v>0.15384615384615385</v>
      </c>
      <c r="M53" s="19"/>
      <c r="N53" s="19">
        <f>SUMPRODUCT((raw!$B$2:$B$369='(2018-19)'!$A53)*(raw!$E$2:$E$369='(2018-19)'!$N$6)*(raw!$F$2:$F$369='(2018-19)'!N$7)*(raw!$G$2:$G$369))</f>
        <v>1</v>
      </c>
      <c r="O53" s="19">
        <f>SUMPRODUCT((raw!$B$2:$B$369='(2018-19)'!$A53)*(raw!$E$2:$E$369='(2018-19)'!$N$6)*(raw!$F$2:$F$369='(2018-19)'!O$7)*(raw!$G$2:$G$369))</f>
        <v>4</v>
      </c>
      <c r="P53" s="20">
        <f t="shared" si="4"/>
        <v>0.8</v>
      </c>
      <c r="Q53" s="19"/>
      <c r="R53" s="19">
        <f>SUMPRODUCT((raw!$B$2:$B$369='(2018-19)'!$A53)*(raw!$E$2:$E$369='(2018-19)'!$R$6)*(raw!$F$2:$F$369='(2018-19)'!R$7)*(raw!$G$2:$G$369))</f>
        <v>10</v>
      </c>
      <c r="S53" s="19">
        <f>SUMPRODUCT((raw!$B$2:$B$369='(2018-19)'!$A53)*(raw!$E$2:$E$369='(2018-19)'!$R$6)*(raw!$F$2:$F$369='(2018-19)'!S$7)*(raw!$G$2:$G$369))</f>
        <v>21</v>
      </c>
      <c r="T53" s="20">
        <f t="shared" si="5"/>
        <v>0.67741935483870963</v>
      </c>
      <c r="U53" s="19"/>
      <c r="V53" s="14">
        <f t="shared" si="6"/>
        <v>33</v>
      </c>
      <c r="W53" s="14">
        <f t="shared" si="6"/>
        <v>29</v>
      </c>
      <c r="X53" s="20">
        <f t="shared" si="7"/>
        <v>0.46774193548387094</v>
      </c>
      <c r="Y53" s="16"/>
      <c r="Z53" s="16"/>
      <c r="AA53" s="16"/>
      <c r="AB53" s="16"/>
      <c r="AC53" s="16"/>
      <c r="AD53" s="16"/>
      <c r="AE53" s="16"/>
      <c r="AF53" s="16"/>
      <c r="AG53" s="16"/>
    </row>
    <row r="54" spans="1:33" s="6" customFormat="1" ht="15" customHeight="1" x14ac:dyDescent="0.35">
      <c r="A54" s="2" t="s">
        <v>56</v>
      </c>
      <c r="B54" s="19">
        <f>SUMPRODUCT((raw!$B$2:$B$369='(2018-19)'!$A54)*(raw!$E$2:$E$369='(2018-19)'!$B$6:$D$6)*(raw!$F$2:$F$369='(2018-19)'!B$7)*(raw!$G$2:$G$369))</f>
        <v>52</v>
      </c>
      <c r="C54" s="19">
        <f>SUMPRODUCT((raw!$B$2:$B$369='(2018-19)'!$A54)*(raw!$E$2:$E$369='(2018-19)'!$B$6:$D$6)*(raw!$F$2:$F$369='(2018-19)'!C$7)*(raw!$G$2:$G$369))</f>
        <v>38</v>
      </c>
      <c r="D54" s="20">
        <f t="shared" si="0"/>
        <v>0.42222222222222222</v>
      </c>
      <c r="E54" s="19"/>
      <c r="F54" s="19">
        <f>SUMPRODUCT((raw!$B$2:$B$369='(2018-19)'!$A54)*(raw!$E$2:$E$369='(2018-19)'!$F$6)*(raw!$F$2:$F$369='(2018-19)'!F$7)*(raw!$G$2:$G$369))</f>
        <v>0</v>
      </c>
      <c r="G54" s="19">
        <f>SUMPRODUCT((raw!$B$2:$B$369='(2018-19)'!$A54)*(raw!$E$2:$E$369='(2018-19)'!$F$6)*(raw!$F$2:$F$369='(2018-19)'!G$7)*(raw!$G$2:$G$369))</f>
        <v>0</v>
      </c>
      <c r="H54" s="20" t="str">
        <f t="shared" si="1"/>
        <v>-</v>
      </c>
      <c r="I54" s="19"/>
      <c r="J54" s="14">
        <f t="shared" si="2"/>
        <v>52</v>
      </c>
      <c r="K54" s="14">
        <f t="shared" si="2"/>
        <v>38</v>
      </c>
      <c r="L54" s="20">
        <f t="shared" si="3"/>
        <v>0.42222222222222222</v>
      </c>
      <c r="M54" s="19"/>
      <c r="N54" s="19">
        <f>SUMPRODUCT((raw!$B$2:$B$369='(2018-19)'!$A54)*(raw!$E$2:$E$369='(2018-19)'!$N$6)*(raw!$F$2:$F$369='(2018-19)'!N$7)*(raw!$G$2:$G$369))</f>
        <v>0</v>
      </c>
      <c r="O54" s="19">
        <f>SUMPRODUCT((raw!$B$2:$B$369='(2018-19)'!$A54)*(raw!$E$2:$E$369='(2018-19)'!$N$6)*(raw!$F$2:$F$369='(2018-19)'!O$7)*(raw!$G$2:$G$369))</f>
        <v>0</v>
      </c>
      <c r="P54" s="20" t="str">
        <f t="shared" si="4"/>
        <v>-</v>
      </c>
      <c r="Q54" s="19"/>
      <c r="R54" s="19">
        <f>SUMPRODUCT((raw!$B$2:$B$369='(2018-19)'!$A54)*(raw!$E$2:$E$369='(2018-19)'!$R$6)*(raw!$F$2:$F$369='(2018-19)'!R$7)*(raw!$G$2:$G$369))</f>
        <v>9</v>
      </c>
      <c r="S54" s="19">
        <f>SUMPRODUCT((raw!$B$2:$B$369='(2018-19)'!$A54)*(raw!$E$2:$E$369='(2018-19)'!$R$6)*(raw!$F$2:$F$369='(2018-19)'!S$7)*(raw!$G$2:$G$369))</f>
        <v>11</v>
      </c>
      <c r="T54" s="20">
        <f t="shared" si="5"/>
        <v>0.55000000000000004</v>
      </c>
      <c r="U54" s="19"/>
      <c r="V54" s="14">
        <f t="shared" si="6"/>
        <v>61</v>
      </c>
      <c r="W54" s="14">
        <f t="shared" si="6"/>
        <v>49</v>
      </c>
      <c r="X54" s="20">
        <f t="shared" si="7"/>
        <v>0.44545454545454544</v>
      </c>
      <c r="Y54" s="16"/>
      <c r="Z54" s="16"/>
      <c r="AA54" s="16"/>
      <c r="AB54" s="16"/>
      <c r="AC54" s="16"/>
      <c r="AD54" s="16"/>
      <c r="AE54" s="16"/>
      <c r="AF54" s="16"/>
      <c r="AG54" s="16"/>
    </row>
    <row r="55" spans="1:33" s="6" customFormat="1" ht="15" customHeight="1" x14ac:dyDescent="0.35">
      <c r="A55" s="2" t="s">
        <v>57</v>
      </c>
      <c r="B55" s="19">
        <f>SUMPRODUCT((raw!$B$2:$B$369='(2018-19)'!$A55)*(raw!$E$2:$E$369='(2018-19)'!$B$6:$D$6)*(raw!$F$2:$F$369='(2018-19)'!B$7)*(raw!$G$2:$G$369))</f>
        <v>61</v>
      </c>
      <c r="C55" s="19">
        <f>SUMPRODUCT((raw!$B$2:$B$369='(2018-19)'!$A55)*(raw!$E$2:$E$369='(2018-19)'!$B$6:$D$6)*(raw!$F$2:$F$369='(2018-19)'!C$7)*(raw!$G$2:$G$369))</f>
        <v>5</v>
      </c>
      <c r="D55" s="20">
        <f t="shared" si="0"/>
        <v>7.575757575757576E-2</v>
      </c>
      <c r="E55" s="19"/>
      <c r="F55" s="19">
        <f>SUMPRODUCT((raw!$B$2:$B$369='(2018-19)'!$A55)*(raw!$E$2:$E$369='(2018-19)'!$F$6)*(raw!$F$2:$F$369='(2018-19)'!F$7)*(raw!$G$2:$G$369))</f>
        <v>19</v>
      </c>
      <c r="G55" s="19">
        <f>SUMPRODUCT((raw!$B$2:$B$369='(2018-19)'!$A55)*(raw!$E$2:$E$369='(2018-19)'!$F$6)*(raw!$F$2:$F$369='(2018-19)'!G$7)*(raw!$G$2:$G$369))</f>
        <v>3</v>
      </c>
      <c r="H55" s="20">
        <f t="shared" si="1"/>
        <v>0.13636363636363635</v>
      </c>
      <c r="I55" s="19"/>
      <c r="J55" s="14">
        <f t="shared" si="2"/>
        <v>80</v>
      </c>
      <c r="K55" s="14">
        <f t="shared" si="2"/>
        <v>8</v>
      </c>
      <c r="L55" s="20">
        <f t="shared" si="3"/>
        <v>9.0909090909090912E-2</v>
      </c>
      <c r="M55" s="19"/>
      <c r="N55" s="19">
        <f>SUMPRODUCT((raw!$B$2:$B$369='(2018-19)'!$A55)*(raw!$E$2:$E$369='(2018-19)'!$N$6)*(raw!$F$2:$F$369='(2018-19)'!N$7)*(raw!$G$2:$G$369))</f>
        <v>2</v>
      </c>
      <c r="O55" s="19">
        <f>SUMPRODUCT((raw!$B$2:$B$369='(2018-19)'!$A55)*(raw!$E$2:$E$369='(2018-19)'!$N$6)*(raw!$F$2:$F$369='(2018-19)'!O$7)*(raw!$G$2:$G$369))</f>
        <v>3</v>
      </c>
      <c r="P55" s="20">
        <f t="shared" si="4"/>
        <v>0.6</v>
      </c>
      <c r="Q55" s="19"/>
      <c r="R55" s="19">
        <f>SUMPRODUCT((raw!$B$2:$B$369='(2018-19)'!$A55)*(raw!$E$2:$E$369='(2018-19)'!$R$6)*(raw!$F$2:$F$369='(2018-19)'!R$7)*(raw!$G$2:$G$369))</f>
        <v>19</v>
      </c>
      <c r="S55" s="19">
        <f>SUMPRODUCT((raw!$B$2:$B$369='(2018-19)'!$A55)*(raw!$E$2:$E$369='(2018-19)'!$R$6)*(raw!$F$2:$F$369='(2018-19)'!S$7)*(raw!$G$2:$G$369))</f>
        <v>25</v>
      </c>
      <c r="T55" s="20">
        <f t="shared" si="5"/>
        <v>0.56818181818181823</v>
      </c>
      <c r="U55" s="19"/>
      <c r="V55" s="14">
        <f t="shared" si="6"/>
        <v>101</v>
      </c>
      <c r="W55" s="14">
        <f t="shared" si="6"/>
        <v>36</v>
      </c>
      <c r="X55" s="20">
        <f t="shared" si="7"/>
        <v>0.26277372262773724</v>
      </c>
      <c r="Y55" s="16"/>
      <c r="Z55" s="16"/>
      <c r="AA55" s="16"/>
      <c r="AB55" s="16"/>
      <c r="AC55" s="16"/>
      <c r="AD55" s="16"/>
      <c r="AE55" s="16"/>
      <c r="AF55" s="16"/>
      <c r="AG55" s="16"/>
    </row>
    <row r="56" spans="1:33" s="6" customFormat="1" ht="15" customHeight="1" thickBot="1" x14ac:dyDescent="0.4">
      <c r="A56" s="23" t="s">
        <v>58</v>
      </c>
      <c r="B56" s="19">
        <f>SUMPRODUCT((raw!$B$2:$B$369='(2018-19)'!$A56)*(raw!$E$2:$E$369='(2018-19)'!$B$6:$D$6)*(raw!$F$2:$F$369='(2018-19)'!B$7)*(raw!$G$2:$G$369))</f>
        <v>387</v>
      </c>
      <c r="C56" s="19">
        <f>SUMPRODUCT((raw!$B$2:$B$369='(2018-19)'!$A56)*(raw!$E$2:$E$369='(2018-19)'!$B$6:$D$6)*(raw!$F$2:$F$369='(2018-19)'!C$7)*(raw!$G$2:$G$369))</f>
        <v>41</v>
      </c>
      <c r="D56" s="20">
        <f t="shared" si="0"/>
        <v>9.5794392523364483E-2</v>
      </c>
      <c r="E56" s="24"/>
      <c r="F56" s="19">
        <f>SUMPRODUCT((raw!$B$2:$B$369='(2018-19)'!$A56)*(raw!$E$2:$E$369='(2018-19)'!$F$6)*(raw!$F$2:$F$369='(2018-19)'!F$7)*(raw!$G$2:$G$369))</f>
        <v>0</v>
      </c>
      <c r="G56" s="19">
        <f>SUMPRODUCT((raw!$B$2:$B$369='(2018-19)'!$A56)*(raw!$E$2:$E$369='(2018-19)'!$F$6)*(raw!$F$2:$F$369='(2018-19)'!G$7)*(raw!$G$2:$G$369))</f>
        <v>0</v>
      </c>
      <c r="H56" s="20" t="str">
        <f t="shared" si="1"/>
        <v>-</v>
      </c>
      <c r="I56" s="24"/>
      <c r="J56" s="14">
        <f t="shared" si="2"/>
        <v>387</v>
      </c>
      <c r="K56" s="14">
        <f t="shared" si="2"/>
        <v>41</v>
      </c>
      <c r="L56" s="20">
        <f t="shared" si="3"/>
        <v>9.5794392523364483E-2</v>
      </c>
      <c r="M56" s="24"/>
      <c r="N56" s="19">
        <f>SUMPRODUCT((raw!$B$2:$B$369='(2018-19)'!$A56)*(raw!$E$2:$E$369='(2018-19)'!$N$6)*(raw!$F$2:$F$369='(2018-19)'!N$7)*(raw!$G$2:$G$369))</f>
        <v>1</v>
      </c>
      <c r="O56" s="19">
        <f>SUMPRODUCT((raw!$B$2:$B$369='(2018-19)'!$A56)*(raw!$E$2:$E$369='(2018-19)'!$N$6)*(raw!$F$2:$F$369='(2018-19)'!O$7)*(raw!$G$2:$G$369))</f>
        <v>4</v>
      </c>
      <c r="P56" s="20">
        <f t="shared" si="4"/>
        <v>0.8</v>
      </c>
      <c r="Q56" s="24"/>
      <c r="R56" s="19">
        <f>SUMPRODUCT((raw!$B$2:$B$369='(2018-19)'!$A56)*(raw!$E$2:$E$369='(2018-19)'!$R$6)*(raw!$F$2:$F$369='(2018-19)'!R$7)*(raw!$G$2:$G$369))</f>
        <v>42</v>
      </c>
      <c r="S56" s="19">
        <f>SUMPRODUCT((raw!$B$2:$B$369='(2018-19)'!$A56)*(raw!$E$2:$E$369='(2018-19)'!$R$6)*(raw!$F$2:$F$369='(2018-19)'!S$7)*(raw!$G$2:$G$369))</f>
        <v>66</v>
      </c>
      <c r="T56" s="20">
        <f t="shared" si="5"/>
        <v>0.61111111111111116</v>
      </c>
      <c r="U56" s="24"/>
      <c r="V56" s="14">
        <f t="shared" si="6"/>
        <v>430</v>
      </c>
      <c r="W56" s="14">
        <f t="shared" si="6"/>
        <v>111</v>
      </c>
      <c r="X56" s="20">
        <f t="shared" si="7"/>
        <v>0.20517560073937152</v>
      </c>
      <c r="Y56" s="16"/>
      <c r="Z56" s="16"/>
      <c r="AA56" s="16"/>
      <c r="AB56" s="16"/>
      <c r="AC56" s="16"/>
      <c r="AD56" s="16"/>
      <c r="AE56" s="16"/>
      <c r="AF56" s="16"/>
      <c r="AG56" s="16"/>
    </row>
    <row r="57" spans="1:33" s="6" customFormat="1" ht="15" customHeight="1" x14ac:dyDescent="0.35">
      <c r="A57" s="5"/>
      <c r="B57" s="5"/>
      <c r="C57" s="5"/>
      <c r="D57" s="5"/>
      <c r="E57" s="5"/>
      <c r="F57" s="5"/>
      <c r="G57" s="5"/>
      <c r="H57" s="5"/>
      <c r="I57" s="5"/>
      <c r="J57" s="5"/>
      <c r="K57" s="5"/>
      <c r="L57" s="5"/>
      <c r="M57" s="5"/>
      <c r="N57" s="5"/>
      <c r="O57" s="5"/>
      <c r="P57" s="5"/>
      <c r="Q57" s="5"/>
      <c r="R57" s="5"/>
      <c r="S57" s="5"/>
      <c r="T57" s="5"/>
      <c r="U57" s="5"/>
      <c r="V57" s="5"/>
      <c r="W57" s="5"/>
      <c r="X57" s="5"/>
      <c r="Y57" s="16"/>
      <c r="Z57" s="16"/>
      <c r="AA57" s="16"/>
      <c r="AB57" s="16"/>
      <c r="AC57" s="16"/>
      <c r="AD57" s="16"/>
      <c r="AE57" s="16"/>
      <c r="AF57" s="16"/>
      <c r="AG57" s="16"/>
    </row>
    <row r="58" spans="1:33" x14ac:dyDescent="0.35">
      <c r="A58" s="78" t="s">
        <v>59</v>
      </c>
      <c r="B58" s="78"/>
      <c r="C58" s="78"/>
      <c r="D58" s="78"/>
      <c r="E58" s="78"/>
      <c r="F58" s="78"/>
      <c r="G58" s="78"/>
      <c r="H58" s="78"/>
      <c r="I58" s="78"/>
      <c r="J58" s="78"/>
      <c r="K58" s="78"/>
      <c r="L58" s="78"/>
      <c r="M58" s="78"/>
      <c r="N58" s="78"/>
      <c r="O58" s="78"/>
      <c r="P58" s="78"/>
      <c r="Q58" s="78"/>
      <c r="R58" s="78"/>
      <c r="S58" s="78"/>
      <c r="T58" s="78"/>
      <c r="U58" s="78"/>
      <c r="V58" s="78"/>
      <c r="W58" s="78"/>
      <c r="X58" s="78"/>
    </row>
    <row r="59" spans="1:33" x14ac:dyDescent="0.35">
      <c r="A59" s="62" t="s">
        <v>69</v>
      </c>
      <c r="B59" s="62"/>
      <c r="C59" s="62"/>
      <c r="D59" s="62"/>
      <c r="E59" s="62"/>
      <c r="F59" s="62"/>
      <c r="G59" s="62"/>
      <c r="H59" s="62"/>
      <c r="I59" s="62"/>
      <c r="J59" s="62"/>
      <c r="K59" s="62"/>
      <c r="L59" s="62"/>
      <c r="M59" s="62"/>
      <c r="N59" s="62"/>
      <c r="O59" s="62"/>
      <c r="P59" s="62"/>
      <c r="Q59" s="62"/>
      <c r="R59" s="62"/>
      <c r="S59" s="62"/>
      <c r="T59" s="62"/>
      <c r="U59" s="62"/>
      <c r="V59" s="62"/>
      <c r="W59" s="62"/>
      <c r="X59" s="62"/>
    </row>
    <row r="60" spans="1:33" x14ac:dyDescent="0.35">
      <c r="A60" s="79"/>
      <c r="B60" s="79"/>
      <c r="C60" s="79"/>
      <c r="D60" s="79"/>
      <c r="E60" s="79"/>
      <c r="F60" s="79"/>
      <c r="G60" s="79"/>
      <c r="H60" s="79"/>
      <c r="I60" s="79"/>
      <c r="J60" s="79"/>
      <c r="K60" s="79"/>
      <c r="L60" s="79"/>
      <c r="M60" s="79"/>
      <c r="N60" s="79"/>
      <c r="O60" s="79"/>
      <c r="P60" s="79"/>
      <c r="Q60" s="79"/>
      <c r="R60" s="79"/>
      <c r="S60" s="79"/>
      <c r="T60" s="79"/>
      <c r="U60" s="79"/>
      <c r="V60" s="79"/>
      <c r="W60" s="79"/>
      <c r="X60" s="79"/>
    </row>
    <row r="61" spans="1:33" x14ac:dyDescent="0.35">
      <c r="A61" s="28" t="s">
        <v>60</v>
      </c>
    </row>
    <row r="62" spans="1:33" x14ac:dyDescent="0.35">
      <c r="A62" s="80" t="s">
        <v>61</v>
      </c>
      <c r="B62" s="80"/>
      <c r="C62" s="80"/>
      <c r="D62" s="80"/>
      <c r="E62" s="80"/>
      <c r="F62" s="80"/>
      <c r="G62" s="80"/>
      <c r="H62" s="80"/>
      <c r="I62" s="80"/>
      <c r="J62" s="80"/>
      <c r="K62" s="80"/>
      <c r="L62" s="80"/>
      <c r="M62" s="80"/>
      <c r="N62" s="80"/>
      <c r="O62" s="80"/>
      <c r="P62" s="80"/>
      <c r="Q62" s="80"/>
      <c r="R62" s="80"/>
      <c r="S62" s="80"/>
      <c r="T62" s="80"/>
      <c r="U62" s="80"/>
      <c r="V62" s="80"/>
      <c r="W62" s="80"/>
      <c r="X62" s="80"/>
    </row>
    <row r="64" spans="1:33" x14ac:dyDescent="0.35">
      <c r="A64" s="5" t="s">
        <v>62</v>
      </c>
      <c r="B64" s="29"/>
      <c r="C64" s="29"/>
      <c r="D64" s="29"/>
      <c r="E64" s="29"/>
      <c r="F64" s="29"/>
      <c r="G64" s="29"/>
      <c r="H64" s="29"/>
      <c r="I64" s="29"/>
      <c r="J64" s="29"/>
      <c r="K64" s="29"/>
      <c r="L64" s="29"/>
      <c r="M64" s="29"/>
      <c r="N64" s="29"/>
      <c r="O64" s="29"/>
      <c r="P64" s="29"/>
      <c r="Q64" s="29"/>
      <c r="R64" s="29"/>
      <c r="S64" s="29"/>
      <c r="T64" s="29"/>
      <c r="U64" s="29"/>
      <c r="V64" s="29"/>
      <c r="W64" s="29"/>
      <c r="X64" s="29"/>
    </row>
    <row r="65" spans="1:24" x14ac:dyDescent="0.35">
      <c r="A65" s="30" t="s">
        <v>63</v>
      </c>
      <c r="B65" s="29"/>
      <c r="C65" s="29"/>
      <c r="D65" s="29"/>
      <c r="E65" s="29"/>
      <c r="F65" s="29"/>
      <c r="G65" s="29"/>
      <c r="H65" s="29"/>
      <c r="I65" s="29"/>
      <c r="J65" s="29"/>
      <c r="K65" s="29"/>
      <c r="L65" s="29"/>
      <c r="M65" s="29"/>
      <c r="N65" s="29"/>
      <c r="O65" s="29"/>
      <c r="P65" s="29"/>
      <c r="Q65" s="29"/>
      <c r="R65" s="29"/>
      <c r="S65" s="29"/>
      <c r="T65" s="29"/>
      <c r="U65" s="29"/>
      <c r="V65" s="29"/>
      <c r="W65" s="29"/>
      <c r="X65" s="29"/>
    </row>
    <row r="67" spans="1:24" x14ac:dyDescent="0.35">
      <c r="A67" s="78" t="s">
        <v>64</v>
      </c>
      <c r="B67" s="78"/>
      <c r="C67" s="78"/>
      <c r="D67" s="78"/>
      <c r="E67" s="78"/>
      <c r="F67" s="78"/>
      <c r="G67" s="78"/>
      <c r="H67" s="78"/>
      <c r="I67" s="78"/>
      <c r="J67" s="78"/>
      <c r="K67" s="78"/>
      <c r="L67" s="78"/>
      <c r="M67" s="78"/>
      <c r="N67" s="78"/>
      <c r="O67" s="78"/>
      <c r="P67" s="78"/>
      <c r="Q67" s="78"/>
      <c r="R67" s="78"/>
      <c r="S67" s="78"/>
      <c r="T67" s="78"/>
      <c r="U67" s="78"/>
      <c r="V67" s="78"/>
      <c r="W67" s="78"/>
      <c r="X67" s="78"/>
    </row>
    <row r="68" spans="1:24" x14ac:dyDescent="0.35">
      <c r="A68" s="30"/>
      <c r="X68" s="6"/>
    </row>
    <row r="69" spans="1:24" x14ac:dyDescent="0.35">
      <c r="A69" s="5" t="s">
        <v>65</v>
      </c>
      <c r="X69" s="37" t="s">
        <v>66</v>
      </c>
    </row>
    <row r="70" spans="1:24" x14ac:dyDescent="0.35">
      <c r="A70" s="30" t="s">
        <v>67</v>
      </c>
      <c r="X70" s="31" t="s">
        <v>68</v>
      </c>
    </row>
  </sheetData>
  <mergeCells count="11">
    <mergeCell ref="A58:X58"/>
    <mergeCell ref="A60:X60"/>
    <mergeCell ref="A62:X62"/>
    <mergeCell ref="A67:X67"/>
    <mergeCell ref="A1:X1"/>
    <mergeCell ref="B6:D6"/>
    <mergeCell ref="F6:H6"/>
    <mergeCell ref="J6:L6"/>
    <mergeCell ref="N6:P6"/>
    <mergeCell ref="R6:T6"/>
    <mergeCell ref="V6:X6"/>
  </mergeCells>
  <hyperlinks>
    <hyperlink ref="A65" r:id="rId1" xr:uid="{2100F6D7-27B1-4304-84B2-EFA20B955A23}"/>
    <hyperlink ref="A70" r:id="rId2" xr:uid="{18638CD7-0B06-498F-8534-0AB16050E4A5}"/>
    <hyperlink ref="X69" r:id="rId3" xr:uid="{133BAD50-337F-4DBC-9EC6-7C39D38E804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H70"/>
  <sheetViews>
    <sheetView topLeftCell="A7" zoomScale="90" zoomScaleNormal="90" workbookViewId="0">
      <selection activeCell="A4" sqref="A4:L4"/>
    </sheetView>
  </sheetViews>
  <sheetFormatPr defaultColWidth="9.1796875" defaultRowHeight="14.5" x14ac:dyDescent="0.35"/>
  <cols>
    <col min="1" max="1" width="50.7265625" style="5" customWidth="1"/>
    <col min="2" max="3" width="8.7265625" style="5" customWidth="1"/>
    <col min="4" max="4" width="12.7265625" style="5" customWidth="1"/>
    <col min="5" max="5" width="2.7265625" style="5" customWidth="1"/>
    <col min="6" max="7" width="8.7265625" style="5" customWidth="1"/>
    <col min="8" max="8" width="12.7265625" style="5" customWidth="1"/>
    <col min="9" max="9" width="2.7265625" style="5" customWidth="1"/>
    <col min="10" max="11" width="8.7265625" style="5" customWidth="1"/>
    <col min="12" max="12" width="12.7265625" style="5" customWidth="1"/>
    <col min="13" max="13" width="3.7265625" style="5" customWidth="1"/>
    <col min="14" max="15" width="8.7265625" style="5" customWidth="1"/>
    <col min="16" max="16" width="12.7265625" style="5" customWidth="1"/>
    <col min="17" max="17" width="2.7265625" style="5" customWidth="1"/>
    <col min="18" max="19" width="8.7265625" style="5" customWidth="1"/>
    <col min="20" max="20" width="12.7265625" style="5" customWidth="1"/>
    <col min="21" max="21" width="2.7265625" style="5" customWidth="1"/>
    <col min="22" max="23" width="8.7265625" style="5" customWidth="1"/>
    <col min="24" max="24" width="12.7265625" style="5" customWidth="1"/>
    <col min="25" max="16384" width="9.1796875" style="5"/>
  </cols>
  <sheetData>
    <row r="1" spans="1:34" s="1" customFormat="1" ht="23.25" customHeight="1" x14ac:dyDescent="0.5">
      <c r="A1" s="81" t="s">
        <v>72</v>
      </c>
      <c r="B1" s="81"/>
      <c r="C1" s="81"/>
      <c r="D1" s="81"/>
      <c r="E1" s="81"/>
      <c r="F1" s="81"/>
      <c r="G1" s="81"/>
      <c r="H1" s="81"/>
      <c r="I1" s="81"/>
      <c r="J1" s="81"/>
      <c r="K1" s="81"/>
      <c r="L1" s="81"/>
      <c r="M1" s="81"/>
      <c r="N1" s="81"/>
      <c r="O1" s="81"/>
      <c r="P1" s="81"/>
      <c r="Q1" s="81"/>
      <c r="R1" s="81"/>
      <c r="S1" s="81"/>
      <c r="T1" s="81"/>
      <c r="U1" s="81"/>
      <c r="V1" s="81"/>
      <c r="W1" s="81"/>
      <c r="X1" s="81"/>
    </row>
    <row r="2" spans="1:34" s="1" customFormat="1" ht="17.25" customHeight="1" x14ac:dyDescent="0.5">
      <c r="A2" s="38"/>
      <c r="B2" s="38"/>
      <c r="C2" s="38"/>
      <c r="D2" s="38"/>
      <c r="E2" s="38"/>
      <c r="F2" s="38"/>
      <c r="G2" s="38"/>
      <c r="H2" s="38"/>
      <c r="I2" s="38"/>
      <c r="J2" s="38"/>
      <c r="K2" s="38"/>
      <c r="L2" s="38"/>
      <c r="M2" s="38"/>
      <c r="N2" s="38"/>
      <c r="O2" s="38"/>
      <c r="P2" s="38"/>
      <c r="Q2" s="38"/>
      <c r="R2" s="38"/>
      <c r="S2" s="38"/>
      <c r="T2" s="38"/>
      <c r="U2" s="38"/>
      <c r="V2" s="38"/>
      <c r="W2" s="38"/>
      <c r="X2" s="38"/>
    </row>
    <row r="3" spans="1:34" s="4" customFormat="1" x14ac:dyDescent="0.35">
      <c r="A3" s="2"/>
      <c r="B3" s="3"/>
      <c r="C3" s="3"/>
      <c r="D3" s="3"/>
      <c r="E3" s="3"/>
      <c r="F3" s="3"/>
      <c r="G3" s="3"/>
      <c r="H3" s="3"/>
      <c r="I3" s="3"/>
      <c r="J3" s="3"/>
      <c r="K3" s="3"/>
      <c r="L3" s="3"/>
      <c r="M3" s="3"/>
      <c r="N3" s="3"/>
      <c r="O3" s="3"/>
      <c r="P3" s="3"/>
      <c r="Q3" s="3"/>
      <c r="R3" s="3"/>
      <c r="S3" s="3"/>
      <c r="T3" s="3"/>
      <c r="U3" s="3"/>
      <c r="V3" s="3"/>
      <c r="W3" s="3"/>
      <c r="X3" s="3"/>
    </row>
    <row r="4" spans="1:34" s="4" customFormat="1" x14ac:dyDescent="0.35">
      <c r="A4" s="84" t="str">
        <f>FIRE1120!A4</f>
        <v>2018-19</v>
      </c>
      <c r="B4" s="84"/>
      <c r="C4" s="84"/>
      <c r="D4" s="84"/>
      <c r="E4" s="84"/>
      <c r="F4" s="84"/>
      <c r="G4" s="84"/>
      <c r="H4" s="84"/>
      <c r="I4" s="84"/>
      <c r="J4" s="84"/>
      <c r="K4" s="84"/>
      <c r="L4" s="84"/>
      <c r="M4" s="3"/>
      <c r="N4" s="3"/>
      <c r="O4" s="3"/>
      <c r="P4" s="3"/>
      <c r="Q4" s="3"/>
      <c r="R4" s="3"/>
      <c r="S4" s="3"/>
      <c r="T4" s="3"/>
      <c r="U4" s="3"/>
      <c r="V4" s="3"/>
      <c r="W4" s="3"/>
      <c r="X4" s="3"/>
    </row>
    <row r="5" spans="1:34" s="4" customFormat="1" x14ac:dyDescent="0.35">
      <c r="A5" s="2"/>
      <c r="B5" s="3"/>
      <c r="C5" s="3"/>
      <c r="D5" s="3"/>
      <c r="E5" s="3"/>
      <c r="F5" s="3"/>
      <c r="G5" s="3"/>
      <c r="H5" s="3"/>
      <c r="I5" s="3"/>
      <c r="J5" s="3"/>
      <c r="K5" s="3"/>
      <c r="L5" s="3"/>
      <c r="M5" s="3"/>
      <c r="N5" s="3"/>
      <c r="O5" s="3"/>
      <c r="P5" s="3"/>
      <c r="Q5" s="3"/>
      <c r="R5" s="3"/>
      <c r="S5" s="3"/>
      <c r="T5" s="3"/>
      <c r="U5" s="3"/>
      <c r="V5" s="3"/>
      <c r="W5" s="3"/>
      <c r="X5" s="3"/>
    </row>
    <row r="6" spans="1:34" s="6" customFormat="1" ht="15.75" customHeight="1" thickBot="1" x14ac:dyDescent="0.4">
      <c r="A6" s="5"/>
      <c r="B6" s="82" t="s">
        <v>1</v>
      </c>
      <c r="C6" s="82"/>
      <c r="D6" s="82"/>
      <c r="E6" s="3"/>
      <c r="F6" s="82" t="s">
        <v>70</v>
      </c>
      <c r="G6" s="82"/>
      <c r="H6" s="82"/>
      <c r="I6" s="3"/>
      <c r="J6" s="83" t="s">
        <v>2</v>
      </c>
      <c r="K6" s="83"/>
      <c r="L6" s="83"/>
      <c r="M6" s="3"/>
      <c r="N6" s="82" t="s">
        <v>3</v>
      </c>
      <c r="O6" s="82"/>
      <c r="P6" s="82"/>
      <c r="Q6" s="3"/>
      <c r="R6" s="82" t="s">
        <v>4</v>
      </c>
      <c r="S6" s="82"/>
      <c r="T6" s="82"/>
      <c r="U6" s="3"/>
      <c r="V6" s="83" t="s">
        <v>5</v>
      </c>
      <c r="W6" s="83"/>
      <c r="X6" s="83"/>
    </row>
    <row r="7" spans="1:34" s="12" customFormat="1" ht="44" thickBot="1" x14ac:dyDescent="0.4">
      <c r="A7" s="7" t="s">
        <v>6</v>
      </c>
      <c r="B7" s="35" t="s">
        <v>7</v>
      </c>
      <c r="C7" s="35" t="s">
        <v>8</v>
      </c>
      <c r="D7" s="9" t="s">
        <v>9</v>
      </c>
      <c r="E7" s="35"/>
      <c r="F7" s="35" t="s">
        <v>7</v>
      </c>
      <c r="G7" s="35" t="s">
        <v>8</v>
      </c>
      <c r="H7" s="9" t="s">
        <v>9</v>
      </c>
      <c r="I7" s="35"/>
      <c r="J7" s="36" t="s">
        <v>7</v>
      </c>
      <c r="K7" s="36" t="s">
        <v>8</v>
      </c>
      <c r="L7" s="11" t="s">
        <v>9</v>
      </c>
      <c r="M7" s="35"/>
      <c r="N7" s="35" t="s">
        <v>7</v>
      </c>
      <c r="O7" s="35" t="s">
        <v>8</v>
      </c>
      <c r="P7" s="9" t="s">
        <v>9</v>
      </c>
      <c r="Q7" s="35"/>
      <c r="R7" s="35" t="s">
        <v>7</v>
      </c>
      <c r="S7" s="35" t="s">
        <v>8</v>
      </c>
      <c r="T7" s="9" t="s">
        <v>9</v>
      </c>
      <c r="U7" s="35"/>
      <c r="V7" s="36" t="s">
        <v>7</v>
      </c>
      <c r="W7" s="36" t="s">
        <v>8</v>
      </c>
      <c r="X7" s="11" t="s">
        <v>9</v>
      </c>
    </row>
    <row r="8" spans="1:34" s="6" customFormat="1" ht="15" customHeight="1" x14ac:dyDescent="0.35">
      <c r="A8" s="13" t="s">
        <v>10</v>
      </c>
      <c r="B8" s="14">
        <f ca="1">B9+B49</f>
        <v>1320</v>
      </c>
      <c r="C8" s="14">
        <f ca="1">C9+C49</f>
        <v>274</v>
      </c>
      <c r="D8" s="15">
        <f ca="1">IF(B8+C8=0,"-",(C8/(B8+C8)))</f>
        <v>0.17189460476787954</v>
      </c>
      <c r="E8" s="14"/>
      <c r="F8" s="14">
        <f ca="1">F9+F49</f>
        <v>1333</v>
      </c>
      <c r="G8" s="14">
        <f ca="1">G9+G49</f>
        <v>254</v>
      </c>
      <c r="H8" s="15">
        <f ca="1">IF(F8+G8=0,"-",(G8/(F8+G8)))</f>
        <v>0.1600504095778198</v>
      </c>
      <c r="I8" s="14"/>
      <c r="J8" s="14">
        <f ca="1">J9+J49</f>
        <v>2653</v>
      </c>
      <c r="K8" s="14">
        <f ca="1">K9+K49</f>
        <v>528</v>
      </c>
      <c r="L8" s="15">
        <f ca="1">IF(J8+K8=0,"-",(K8/(J8+K8)))</f>
        <v>0.16598553913863565</v>
      </c>
      <c r="M8" s="14"/>
      <c r="N8" s="14">
        <f ca="1">N9+N49</f>
        <v>28</v>
      </c>
      <c r="O8" s="14">
        <f ca="1">O9+O49</f>
        <v>64</v>
      </c>
      <c r="P8" s="15">
        <f ca="1">IF(N8+O8=0,"-",(O8/(N8+O8)))</f>
        <v>0.69565217391304346</v>
      </c>
      <c r="Q8" s="14"/>
      <c r="R8" s="14">
        <f ca="1">R9+R49</f>
        <v>459</v>
      </c>
      <c r="S8" s="14">
        <f ca="1">S9+S49</f>
        <v>523</v>
      </c>
      <c r="T8" s="15">
        <f ca="1">IF(R8+S8=0,"-",(S8/(R8+S8)))</f>
        <v>0.53258655804480648</v>
      </c>
      <c r="U8" s="14"/>
      <c r="V8" s="14">
        <f ca="1">V9+V49</f>
        <v>3140</v>
      </c>
      <c r="W8" s="14">
        <f ca="1">W9+W49</f>
        <v>1115</v>
      </c>
      <c r="X8" s="15">
        <f ca="1">IF(V8+W8=0,"-",(W8/(V8+W8)))</f>
        <v>0.26204465334900118</v>
      </c>
      <c r="Y8" s="16"/>
      <c r="Z8" s="16"/>
      <c r="AA8" s="16"/>
      <c r="AB8" s="16"/>
      <c r="AC8" s="16"/>
      <c r="AD8" s="16"/>
      <c r="AE8" s="16"/>
      <c r="AF8" s="16"/>
      <c r="AG8" s="16"/>
      <c r="AH8" s="17"/>
    </row>
    <row r="9" spans="1:34" s="6" customFormat="1" ht="15" customHeight="1" x14ac:dyDescent="0.35">
      <c r="A9" s="18" t="s">
        <v>11</v>
      </c>
      <c r="B9" s="14">
        <f ca="1">SUM(B10:B48)</f>
        <v>629</v>
      </c>
      <c r="C9" s="14">
        <f ca="1">SUM(C10:C48)</f>
        <v>156</v>
      </c>
      <c r="D9" s="15">
        <f ca="1">IF(B9+C9=0,"-",(C9/(B9+C9)))</f>
        <v>0.19872611464968154</v>
      </c>
      <c r="E9" s="14"/>
      <c r="F9" s="14">
        <f ca="1">SUM(F10:F48)</f>
        <v>1292</v>
      </c>
      <c r="G9" s="14">
        <f ca="1">SUM(G10:G48)</f>
        <v>247</v>
      </c>
      <c r="H9" s="15">
        <f ca="1">IF(F9+G9=0,"-",(G9/(F9+G9)))</f>
        <v>0.16049382716049382</v>
      </c>
      <c r="I9" s="14"/>
      <c r="J9" s="14">
        <f ca="1">SUM(J10:J48)</f>
        <v>1921</v>
      </c>
      <c r="K9" s="14">
        <f ca="1">SUM(K10:K48)</f>
        <v>403</v>
      </c>
      <c r="L9" s="15">
        <f ca="1">IF(J9+K9=0,"-",(K9/(J9+K9)))</f>
        <v>0.173407917383821</v>
      </c>
      <c r="M9" s="14"/>
      <c r="N9" s="14">
        <f ca="1">SUM(N10:N48)</f>
        <v>23</v>
      </c>
      <c r="O9" s="14">
        <f ca="1">SUM(O10:O48)</f>
        <v>47</v>
      </c>
      <c r="P9" s="15">
        <f ca="1">IF(N9+O9=0,"-",(O9/(N9+O9)))</f>
        <v>0.67142857142857137</v>
      </c>
      <c r="Q9" s="14"/>
      <c r="R9" s="14">
        <f ca="1">SUM(R10:R48)</f>
        <v>308</v>
      </c>
      <c r="S9" s="14">
        <f ca="1">SUM(S10:S48)</f>
        <v>340</v>
      </c>
      <c r="T9" s="15">
        <f ca="1">IF(R9+S9=0,"-",(S9/(R9+S9)))</f>
        <v>0.52469135802469136</v>
      </c>
      <c r="U9" s="14"/>
      <c r="V9" s="14">
        <f ca="1">SUM(V10:V48)</f>
        <v>2252</v>
      </c>
      <c r="W9" s="14">
        <f ca="1">SUM(W10:W48)</f>
        <v>790</v>
      </c>
      <c r="X9" s="15">
        <f ca="1">IF(V9+W9=0,"-",(W9/(V9+W9)))</f>
        <v>0.25969756738987509</v>
      </c>
      <c r="Y9" s="16"/>
      <c r="Z9" s="16"/>
      <c r="AA9" s="16"/>
      <c r="AB9" s="16"/>
      <c r="AC9" s="16"/>
      <c r="AD9" s="16"/>
      <c r="AE9" s="16"/>
      <c r="AF9" s="16"/>
      <c r="AG9" s="16"/>
    </row>
    <row r="10" spans="1:34" s="6" customFormat="1" ht="15" customHeight="1" x14ac:dyDescent="0.35">
      <c r="A10" s="5" t="s">
        <v>12</v>
      </c>
      <c r="B10" s="19">
        <f ca="1">INDIRECT("'("&amp;$A$4&amp;")'!b10")</f>
        <v>12</v>
      </c>
      <c r="C10" s="19">
        <f ca="1">INDIRECT("'("&amp;$A$4&amp;")'!c10")</f>
        <v>3</v>
      </c>
      <c r="D10" s="20">
        <f t="shared" ref="D10:D55" ca="1" si="0">IF(B10+C10=0,"-",(C10/(B10+C10)))</f>
        <v>0.2</v>
      </c>
      <c r="E10" s="19"/>
      <c r="F10" s="19">
        <f ca="1">INDIRECT("'("&amp;$A$4&amp;")'!f10")</f>
        <v>17</v>
      </c>
      <c r="G10" s="19">
        <f ca="1">INDIRECT("'("&amp;$A$4&amp;")'!g10")</f>
        <v>2</v>
      </c>
      <c r="H10" s="20">
        <f t="shared" ref="H10:H55" ca="1" si="1">IF(F10+G10=0,"-",(G10/(F10+G10)))</f>
        <v>0.10526315789473684</v>
      </c>
      <c r="I10" s="19"/>
      <c r="J10" s="14">
        <f t="shared" ref="J10:K55" ca="1" si="2">B10+F10</f>
        <v>29</v>
      </c>
      <c r="K10" s="14">
        <f t="shared" ca="1" si="2"/>
        <v>5</v>
      </c>
      <c r="L10" s="15">
        <f t="shared" ref="L10:L55" ca="1" si="3">IF(J10+K10=0,"-",(K10/(J10+K10)))</f>
        <v>0.14705882352941177</v>
      </c>
      <c r="M10" s="19"/>
      <c r="N10" s="19">
        <f ca="1">INDIRECT("'("&amp;$A$4&amp;")'!n10")</f>
        <v>0</v>
      </c>
      <c r="O10" s="19">
        <f ca="1">INDIRECT("'("&amp;$A$4&amp;")'!o10")</f>
        <v>3</v>
      </c>
      <c r="P10" s="20">
        <f t="shared" ref="P10:P55" ca="1" si="4">IF(N10+O10=0,"-",(O10/(N10+O10)))</f>
        <v>1</v>
      </c>
      <c r="Q10" s="19"/>
      <c r="R10" s="19">
        <f ca="1">INDIRECT("'("&amp;$A$4&amp;")'!r10")</f>
        <v>10</v>
      </c>
      <c r="S10" s="19">
        <f ca="1">INDIRECT("'("&amp;$A$4&amp;")'!s10")</f>
        <v>15</v>
      </c>
      <c r="T10" s="20">
        <f t="shared" ref="T10:T55" ca="1" si="5">IF(R10+S10=0,"-",(S10/(R10+S10)))</f>
        <v>0.6</v>
      </c>
      <c r="U10" s="19"/>
      <c r="V10" s="14">
        <f t="shared" ref="V10:V47" ca="1" si="6">J10+N10+R10</f>
        <v>39</v>
      </c>
      <c r="W10" s="14">
        <f t="shared" ref="W10:W47" ca="1" si="7">K10+O10+S10</f>
        <v>23</v>
      </c>
      <c r="X10" s="20">
        <f t="shared" ref="X10:X55" ca="1" si="8">IF(V10+W10=0,"-",(W10/(V10+W10)))</f>
        <v>0.37096774193548387</v>
      </c>
      <c r="Y10" s="16"/>
      <c r="Z10" s="16"/>
      <c r="AA10" s="16"/>
      <c r="AB10" s="16"/>
      <c r="AC10" s="16"/>
      <c r="AD10" s="16"/>
      <c r="AE10" s="16"/>
      <c r="AF10" s="16"/>
      <c r="AG10" s="16"/>
    </row>
    <row r="11" spans="1:34" s="6" customFormat="1" ht="15" customHeight="1" x14ac:dyDescent="0.35">
      <c r="A11" s="5" t="s">
        <v>13</v>
      </c>
      <c r="B11" s="19">
        <f ca="1">INDIRECT("'("&amp;$A$4&amp;")'!b11")</f>
        <v>17</v>
      </c>
      <c r="C11" s="19">
        <f ca="1">INDIRECT("'("&amp;$A$4&amp;")'!c11")</f>
        <v>1</v>
      </c>
      <c r="D11" s="20">
        <f t="shared" ca="1" si="0"/>
        <v>5.5555555555555552E-2</v>
      </c>
      <c r="E11" s="19"/>
      <c r="F11" s="19">
        <f ca="1">INDIRECT("'("&amp;$A$4&amp;")'!f11")</f>
        <v>24</v>
      </c>
      <c r="G11" s="19">
        <f ca="1">INDIRECT("'("&amp;$A$4&amp;")'!g11")</f>
        <v>2</v>
      </c>
      <c r="H11" s="20">
        <f t="shared" ca="1" si="1"/>
        <v>7.6923076923076927E-2</v>
      </c>
      <c r="I11" s="19"/>
      <c r="J11" s="14">
        <f t="shared" ca="1" si="2"/>
        <v>41</v>
      </c>
      <c r="K11" s="14">
        <f t="shared" ca="1" si="2"/>
        <v>3</v>
      </c>
      <c r="L11" s="15">
        <f t="shared" ca="1" si="3"/>
        <v>6.8181818181818177E-2</v>
      </c>
      <c r="M11" s="19"/>
      <c r="N11" s="19">
        <f ca="1">INDIRECT("'("&amp;$A$4&amp;")'!n11")</f>
        <v>0</v>
      </c>
      <c r="O11" s="19">
        <f ca="1">INDIRECT("'("&amp;$A$4&amp;")'!o11")</f>
        <v>2</v>
      </c>
      <c r="P11" s="20">
        <f t="shared" ca="1" si="4"/>
        <v>1</v>
      </c>
      <c r="Q11" s="19"/>
      <c r="R11" s="19">
        <f ca="1">INDIRECT("'("&amp;$A$4&amp;")'!r11")</f>
        <v>13</v>
      </c>
      <c r="S11" s="19">
        <f ca="1">INDIRECT("'("&amp;$A$4&amp;")'!s11")</f>
        <v>9</v>
      </c>
      <c r="T11" s="20">
        <f t="shared" ca="1" si="5"/>
        <v>0.40909090909090912</v>
      </c>
      <c r="U11" s="19"/>
      <c r="V11" s="14">
        <f t="shared" ca="1" si="6"/>
        <v>54</v>
      </c>
      <c r="W11" s="14">
        <f t="shared" ca="1" si="7"/>
        <v>14</v>
      </c>
      <c r="X11" s="20">
        <f t="shared" ca="1" si="8"/>
        <v>0.20588235294117646</v>
      </c>
      <c r="Y11" s="16"/>
      <c r="Z11" s="16"/>
      <c r="AA11" s="16"/>
      <c r="AB11" s="16"/>
      <c r="AC11" s="16"/>
      <c r="AD11" s="16"/>
      <c r="AE11" s="16"/>
      <c r="AF11" s="16"/>
      <c r="AG11" s="16"/>
    </row>
    <row r="12" spans="1:34" s="6" customFormat="1" ht="15" customHeight="1" x14ac:dyDescent="0.35">
      <c r="A12" s="5" t="s">
        <v>14</v>
      </c>
      <c r="B12" s="19">
        <f ca="1">INDIRECT("'("&amp;$A$4&amp;")'!b12")</f>
        <v>14</v>
      </c>
      <c r="C12" s="19">
        <f ca="1">INDIRECT("'("&amp;$A$4&amp;")'!c12")</f>
        <v>0</v>
      </c>
      <c r="D12" s="20">
        <f t="shared" ca="1" si="0"/>
        <v>0</v>
      </c>
      <c r="E12" s="19"/>
      <c r="F12" s="19">
        <f ca="1">INDIRECT("'("&amp;$A$4&amp;")'!f12")</f>
        <v>19</v>
      </c>
      <c r="G12" s="19">
        <f ca="1">INDIRECT("'("&amp;$A$4&amp;")'!g12")</f>
        <v>4</v>
      </c>
      <c r="H12" s="20">
        <f t="shared" ca="1" si="1"/>
        <v>0.17391304347826086</v>
      </c>
      <c r="I12" s="19"/>
      <c r="J12" s="14">
        <f t="shared" ca="1" si="2"/>
        <v>33</v>
      </c>
      <c r="K12" s="14">
        <f t="shared" ca="1" si="2"/>
        <v>4</v>
      </c>
      <c r="L12" s="15">
        <f t="shared" ca="1" si="3"/>
        <v>0.10810810810810811</v>
      </c>
      <c r="M12" s="19"/>
      <c r="N12" s="19">
        <f ca="1">INDIRECT("'("&amp;$A$4&amp;")'!n12")</f>
        <v>3</v>
      </c>
      <c r="O12" s="19">
        <f ca="1">INDIRECT("'("&amp;$A$4&amp;")'!o12")</f>
        <v>2</v>
      </c>
      <c r="P12" s="20">
        <f t="shared" ca="1" si="4"/>
        <v>0.4</v>
      </c>
      <c r="Q12" s="19"/>
      <c r="R12" s="19">
        <f ca="1">INDIRECT("'("&amp;$A$4&amp;")'!r12")</f>
        <v>10</v>
      </c>
      <c r="S12" s="19">
        <f ca="1">INDIRECT("'("&amp;$A$4&amp;")'!s12")</f>
        <v>19</v>
      </c>
      <c r="T12" s="20">
        <f t="shared" ca="1" si="5"/>
        <v>0.65517241379310343</v>
      </c>
      <c r="U12" s="19"/>
      <c r="V12" s="14">
        <f t="shared" ca="1" si="6"/>
        <v>46</v>
      </c>
      <c r="W12" s="14">
        <f t="shared" ca="1" si="7"/>
        <v>25</v>
      </c>
      <c r="X12" s="20">
        <f t="shared" ca="1" si="8"/>
        <v>0.352112676056338</v>
      </c>
      <c r="Y12" s="16"/>
      <c r="Z12" s="16"/>
      <c r="AA12" s="16"/>
      <c r="AB12" s="16"/>
      <c r="AC12" s="16"/>
      <c r="AD12" s="16"/>
      <c r="AE12" s="16"/>
      <c r="AF12" s="16"/>
      <c r="AG12" s="16"/>
    </row>
    <row r="13" spans="1:34" s="6" customFormat="1" ht="15" customHeight="1" x14ac:dyDescent="0.35">
      <c r="A13" s="5" t="s">
        <v>15</v>
      </c>
      <c r="B13" s="19">
        <f ca="1">INDIRECT("'("&amp;$A$4&amp;")'!b13")</f>
        <v>24</v>
      </c>
      <c r="C13" s="19">
        <f ca="1">INDIRECT("'("&amp;$A$4&amp;")'!c13")</f>
        <v>4</v>
      </c>
      <c r="D13" s="20">
        <f t="shared" ca="1" si="0"/>
        <v>0.14285714285714285</v>
      </c>
      <c r="E13" s="19"/>
      <c r="F13" s="19">
        <f ca="1">INDIRECT("'("&amp;$A$4&amp;")'!f13")</f>
        <v>16</v>
      </c>
      <c r="G13" s="19">
        <f ca="1">INDIRECT("'("&amp;$A$4&amp;")'!g13")</f>
        <v>3</v>
      </c>
      <c r="H13" s="20">
        <f t="shared" ca="1" si="1"/>
        <v>0.15789473684210525</v>
      </c>
      <c r="I13" s="19"/>
      <c r="J13" s="14">
        <f t="shared" ca="1" si="2"/>
        <v>40</v>
      </c>
      <c r="K13" s="14">
        <f t="shared" ca="1" si="2"/>
        <v>7</v>
      </c>
      <c r="L13" s="15">
        <f t="shared" ca="1" si="3"/>
        <v>0.14893617021276595</v>
      </c>
      <c r="M13" s="19"/>
      <c r="N13" s="19">
        <f ca="1">INDIRECT("'("&amp;$A$4&amp;")'!n13")</f>
        <v>0</v>
      </c>
      <c r="O13" s="19">
        <f ca="1">INDIRECT("'("&amp;$A$4&amp;")'!o13")</f>
        <v>0</v>
      </c>
      <c r="P13" s="20" t="str">
        <f t="shared" ca="1" si="4"/>
        <v>-</v>
      </c>
      <c r="Q13" s="19"/>
      <c r="R13" s="19">
        <f ca="1">INDIRECT("'("&amp;$A$4&amp;")'!r13")</f>
        <v>2</v>
      </c>
      <c r="S13" s="19">
        <f ca="1">INDIRECT("'("&amp;$A$4&amp;")'!s13")</f>
        <v>4</v>
      </c>
      <c r="T13" s="20">
        <f t="shared" ca="1" si="5"/>
        <v>0.66666666666666663</v>
      </c>
      <c r="U13" s="19"/>
      <c r="V13" s="14">
        <f t="shared" ca="1" si="6"/>
        <v>42</v>
      </c>
      <c r="W13" s="14">
        <f t="shared" ca="1" si="7"/>
        <v>11</v>
      </c>
      <c r="X13" s="20">
        <f t="shared" ca="1" si="8"/>
        <v>0.20754716981132076</v>
      </c>
      <c r="Y13" s="16"/>
      <c r="Z13" s="16"/>
      <c r="AA13" s="16"/>
      <c r="AB13" s="16"/>
      <c r="AC13" s="16"/>
      <c r="AD13" s="16"/>
      <c r="AE13" s="16"/>
      <c r="AF13" s="16"/>
      <c r="AG13" s="16"/>
    </row>
    <row r="14" spans="1:34" s="6" customFormat="1" ht="15" customHeight="1" x14ac:dyDescent="0.35">
      <c r="A14" s="5" t="s">
        <v>16</v>
      </c>
      <c r="B14" s="19">
        <f ca="1">INDIRECT("'("&amp;$A$4&amp;")'!b14")</f>
        <v>12</v>
      </c>
      <c r="C14" s="19">
        <f ca="1">INDIRECT("'("&amp;$A$4&amp;")'!c14")</f>
        <v>2</v>
      </c>
      <c r="D14" s="20">
        <f t="shared" ca="1" si="0"/>
        <v>0.14285714285714285</v>
      </c>
      <c r="E14" s="19"/>
      <c r="F14" s="19">
        <f ca="1">INDIRECT("'("&amp;$A$4&amp;")'!f14")</f>
        <v>34</v>
      </c>
      <c r="G14" s="19">
        <f ca="1">INDIRECT("'("&amp;$A$4&amp;")'!g14")</f>
        <v>2</v>
      </c>
      <c r="H14" s="20">
        <f t="shared" ca="1" si="1"/>
        <v>5.5555555555555552E-2</v>
      </c>
      <c r="I14" s="19"/>
      <c r="J14" s="14">
        <f t="shared" ca="1" si="2"/>
        <v>46</v>
      </c>
      <c r="K14" s="14">
        <f t="shared" ca="1" si="2"/>
        <v>4</v>
      </c>
      <c r="L14" s="15">
        <f t="shared" ca="1" si="3"/>
        <v>0.08</v>
      </c>
      <c r="M14" s="19"/>
      <c r="N14" s="19">
        <f ca="1">INDIRECT("'("&amp;$A$4&amp;")'!n14")</f>
        <v>2</v>
      </c>
      <c r="O14" s="19">
        <f ca="1">INDIRECT("'("&amp;$A$4&amp;")'!o14")</f>
        <v>10</v>
      </c>
      <c r="P14" s="20">
        <f t="shared" ca="1" si="4"/>
        <v>0.83333333333333337</v>
      </c>
      <c r="Q14" s="19"/>
      <c r="R14" s="19">
        <f ca="1">INDIRECT("'("&amp;$A$4&amp;")'!r14")</f>
        <v>12</v>
      </c>
      <c r="S14" s="19">
        <f ca="1">INDIRECT("'("&amp;$A$4&amp;")'!s14")</f>
        <v>9</v>
      </c>
      <c r="T14" s="20">
        <f t="shared" ca="1" si="5"/>
        <v>0.42857142857142855</v>
      </c>
      <c r="U14" s="19"/>
      <c r="V14" s="14">
        <f t="shared" ca="1" si="6"/>
        <v>60</v>
      </c>
      <c r="W14" s="14">
        <f t="shared" ca="1" si="7"/>
        <v>23</v>
      </c>
      <c r="X14" s="20">
        <f t="shared" ca="1" si="8"/>
        <v>0.27710843373493976</v>
      </c>
      <c r="Y14" s="16"/>
      <c r="Z14" s="16"/>
      <c r="AA14" s="16"/>
      <c r="AB14" s="16"/>
      <c r="AC14" s="16"/>
      <c r="AD14" s="16"/>
      <c r="AE14" s="16"/>
      <c r="AF14" s="16"/>
      <c r="AG14" s="16"/>
    </row>
    <row r="15" spans="1:34" s="6" customFormat="1" ht="15" customHeight="1" x14ac:dyDescent="0.35">
      <c r="A15" s="5" t="s">
        <v>17</v>
      </c>
      <c r="B15" s="19">
        <f ca="1">INDIRECT("'("&amp;$A$4&amp;")'!b15")</f>
        <v>44</v>
      </c>
      <c r="C15" s="19">
        <f ca="1">INDIRECT("'("&amp;$A$4&amp;")'!c15")</f>
        <v>10</v>
      </c>
      <c r="D15" s="20">
        <f t="shared" ca="1" si="0"/>
        <v>0.18518518518518517</v>
      </c>
      <c r="E15" s="19"/>
      <c r="F15" s="19">
        <f ca="1">INDIRECT("'("&amp;$A$4&amp;")'!f15")</f>
        <v>24</v>
      </c>
      <c r="G15" s="19">
        <f ca="1">INDIRECT("'("&amp;$A$4&amp;")'!g15")</f>
        <v>4</v>
      </c>
      <c r="H15" s="20">
        <f t="shared" ca="1" si="1"/>
        <v>0.14285714285714285</v>
      </c>
      <c r="I15" s="19"/>
      <c r="J15" s="14">
        <f t="shared" ca="1" si="2"/>
        <v>68</v>
      </c>
      <c r="K15" s="14">
        <f t="shared" ca="1" si="2"/>
        <v>14</v>
      </c>
      <c r="L15" s="15">
        <f t="shared" ca="1" si="3"/>
        <v>0.17073170731707318</v>
      </c>
      <c r="M15" s="19"/>
      <c r="N15" s="19">
        <f ca="1">INDIRECT("'("&amp;$A$4&amp;")'!n15")</f>
        <v>0</v>
      </c>
      <c r="O15" s="19">
        <f ca="1">INDIRECT("'("&amp;$A$4&amp;")'!o15")</f>
        <v>0</v>
      </c>
      <c r="P15" s="20" t="str">
        <f t="shared" ca="1" si="4"/>
        <v>-</v>
      </c>
      <c r="Q15" s="19"/>
      <c r="R15" s="19">
        <f ca="1">INDIRECT("'("&amp;$A$4&amp;")'!r15")</f>
        <v>6</v>
      </c>
      <c r="S15" s="19">
        <f ca="1">INDIRECT("'("&amp;$A$4&amp;")'!s15")</f>
        <v>10</v>
      </c>
      <c r="T15" s="20">
        <f t="shared" ca="1" si="5"/>
        <v>0.625</v>
      </c>
      <c r="U15" s="19"/>
      <c r="V15" s="14">
        <f t="shared" ca="1" si="6"/>
        <v>74</v>
      </c>
      <c r="W15" s="14">
        <f t="shared" ca="1" si="7"/>
        <v>24</v>
      </c>
      <c r="X15" s="20">
        <f t="shared" ca="1" si="8"/>
        <v>0.24489795918367346</v>
      </c>
      <c r="Y15" s="16"/>
      <c r="Z15" s="16"/>
      <c r="AA15" s="16"/>
      <c r="AB15" s="16"/>
      <c r="AC15" s="16"/>
      <c r="AD15" s="16"/>
      <c r="AE15" s="16"/>
      <c r="AF15" s="16"/>
      <c r="AG15" s="16"/>
    </row>
    <row r="16" spans="1:34" s="6" customFormat="1" ht="15" customHeight="1" x14ac:dyDescent="0.35">
      <c r="A16" s="5" t="s">
        <v>18</v>
      </c>
      <c r="B16" s="19">
        <f ca="1">INDIRECT("'("&amp;$A$4&amp;")'!b16")</f>
        <v>34</v>
      </c>
      <c r="C16" s="19">
        <f ca="1">INDIRECT("'("&amp;$A$4&amp;")'!c16")</f>
        <v>2</v>
      </c>
      <c r="D16" s="20">
        <f t="shared" ca="1" si="0"/>
        <v>5.5555555555555552E-2</v>
      </c>
      <c r="E16" s="19"/>
      <c r="F16" s="19">
        <f ca="1">INDIRECT("'("&amp;$A$4&amp;")'!f16")</f>
        <v>12</v>
      </c>
      <c r="G16" s="19">
        <f ca="1">INDIRECT("'("&amp;$A$4&amp;")'!g16")</f>
        <v>1</v>
      </c>
      <c r="H16" s="20">
        <f t="shared" ca="1" si="1"/>
        <v>7.6923076923076927E-2</v>
      </c>
      <c r="I16" s="19"/>
      <c r="J16" s="14">
        <f t="shared" ca="1" si="2"/>
        <v>46</v>
      </c>
      <c r="K16" s="14">
        <f t="shared" ca="1" si="2"/>
        <v>3</v>
      </c>
      <c r="L16" s="15">
        <f t="shared" ca="1" si="3"/>
        <v>6.1224489795918366E-2</v>
      </c>
      <c r="M16" s="19"/>
      <c r="N16" s="19">
        <f ca="1">INDIRECT("'("&amp;$A$4&amp;")'!n16")</f>
        <v>0</v>
      </c>
      <c r="O16" s="19">
        <f ca="1">INDIRECT("'("&amp;$A$4&amp;")'!o16")</f>
        <v>2</v>
      </c>
      <c r="P16" s="20">
        <f t="shared" ca="1" si="4"/>
        <v>1</v>
      </c>
      <c r="Q16" s="19"/>
      <c r="R16" s="19">
        <f ca="1">INDIRECT("'("&amp;$A$4&amp;")'!r16")</f>
        <v>5</v>
      </c>
      <c r="S16" s="19">
        <f ca="1">INDIRECT("'("&amp;$A$4&amp;")'!s16")</f>
        <v>7</v>
      </c>
      <c r="T16" s="20">
        <f t="shared" ca="1" si="5"/>
        <v>0.58333333333333337</v>
      </c>
      <c r="U16" s="19"/>
      <c r="V16" s="14">
        <f t="shared" ca="1" si="6"/>
        <v>51</v>
      </c>
      <c r="W16" s="14">
        <f t="shared" ca="1" si="7"/>
        <v>12</v>
      </c>
      <c r="X16" s="20">
        <f t="shared" ca="1" si="8"/>
        <v>0.19047619047619047</v>
      </c>
      <c r="Y16" s="16"/>
      <c r="Z16" s="16"/>
      <c r="AA16" s="16"/>
      <c r="AB16" s="16"/>
      <c r="AC16" s="16"/>
      <c r="AD16" s="16"/>
      <c r="AE16" s="16"/>
      <c r="AF16" s="16"/>
      <c r="AG16" s="16"/>
    </row>
    <row r="17" spans="1:33" s="6" customFormat="1" ht="15" customHeight="1" x14ac:dyDescent="0.35">
      <c r="A17" s="5" t="s">
        <v>19</v>
      </c>
      <c r="B17" s="19">
        <f ca="1">INDIRECT("'("&amp;$A$4&amp;")'!b17")</f>
        <v>11</v>
      </c>
      <c r="C17" s="19">
        <f ca="1">INDIRECT("'("&amp;$A$4&amp;")'!c17")</f>
        <v>1</v>
      </c>
      <c r="D17" s="20">
        <f t="shared" ca="1" si="0"/>
        <v>8.3333333333333329E-2</v>
      </c>
      <c r="E17" s="19"/>
      <c r="F17" s="19">
        <f ca="1">INDIRECT("'("&amp;$A$4&amp;")'!f17")</f>
        <v>56</v>
      </c>
      <c r="G17" s="19">
        <f ca="1">INDIRECT("'("&amp;$A$4&amp;")'!g17")</f>
        <v>3</v>
      </c>
      <c r="H17" s="20">
        <f t="shared" ca="1" si="1"/>
        <v>5.0847457627118647E-2</v>
      </c>
      <c r="I17" s="19"/>
      <c r="J17" s="14">
        <f t="shared" ca="1" si="2"/>
        <v>67</v>
      </c>
      <c r="K17" s="14">
        <f t="shared" ca="1" si="2"/>
        <v>4</v>
      </c>
      <c r="L17" s="15">
        <f t="shared" ca="1" si="3"/>
        <v>5.6338028169014086E-2</v>
      </c>
      <c r="M17" s="19"/>
      <c r="N17" s="19">
        <f ca="1">INDIRECT("'("&amp;$A$4&amp;")'!n17")</f>
        <v>1</v>
      </c>
      <c r="O17" s="19">
        <f ca="1">INDIRECT("'("&amp;$A$4&amp;")'!o17")</f>
        <v>2</v>
      </c>
      <c r="P17" s="20">
        <f t="shared" ca="1" si="4"/>
        <v>0.66666666666666663</v>
      </c>
      <c r="Q17" s="19"/>
      <c r="R17" s="19">
        <f ca="1">INDIRECT("'("&amp;$A$4&amp;")'!r17")</f>
        <v>14</v>
      </c>
      <c r="S17" s="19">
        <f ca="1">INDIRECT("'("&amp;$A$4&amp;")'!s17")</f>
        <v>10</v>
      </c>
      <c r="T17" s="20">
        <f t="shared" ca="1" si="5"/>
        <v>0.41666666666666669</v>
      </c>
      <c r="U17" s="19"/>
      <c r="V17" s="14">
        <f t="shared" ca="1" si="6"/>
        <v>82</v>
      </c>
      <c r="W17" s="14">
        <f t="shared" ca="1" si="7"/>
        <v>16</v>
      </c>
      <c r="X17" s="20">
        <f t="shared" ca="1" si="8"/>
        <v>0.16326530612244897</v>
      </c>
      <c r="Y17" s="16"/>
      <c r="Z17" s="16"/>
      <c r="AA17" s="16"/>
      <c r="AB17" s="16"/>
      <c r="AC17" s="16"/>
      <c r="AD17" s="16"/>
      <c r="AE17" s="16"/>
      <c r="AF17" s="16"/>
      <c r="AG17" s="16"/>
    </row>
    <row r="18" spans="1:33" s="6" customFormat="1" ht="15" customHeight="1" x14ac:dyDescent="0.35">
      <c r="A18" s="5" t="s">
        <v>20</v>
      </c>
      <c r="B18" s="19">
        <f ca="1">INDIRECT("'("&amp;$A$4&amp;")'!b18")</f>
        <v>7</v>
      </c>
      <c r="C18" s="19">
        <f ca="1">INDIRECT("'("&amp;$A$4&amp;")'!c18")</f>
        <v>1</v>
      </c>
      <c r="D18" s="20">
        <f t="shared" ca="1" si="0"/>
        <v>0.125</v>
      </c>
      <c r="E18" s="19"/>
      <c r="F18" s="19">
        <f ca="1">INDIRECT("'("&amp;$A$4&amp;")'!f18")</f>
        <v>17</v>
      </c>
      <c r="G18" s="19">
        <f ca="1">INDIRECT("'("&amp;$A$4&amp;")'!g18")</f>
        <v>0</v>
      </c>
      <c r="H18" s="20">
        <f t="shared" ca="1" si="1"/>
        <v>0</v>
      </c>
      <c r="I18" s="19"/>
      <c r="J18" s="14">
        <f t="shared" ca="1" si="2"/>
        <v>24</v>
      </c>
      <c r="K18" s="14">
        <f t="shared" ca="1" si="2"/>
        <v>1</v>
      </c>
      <c r="L18" s="15">
        <f t="shared" ca="1" si="3"/>
        <v>0.04</v>
      </c>
      <c r="M18" s="19"/>
      <c r="N18" s="19">
        <f ca="1">INDIRECT("'("&amp;$A$4&amp;")'!n18")</f>
        <v>0</v>
      </c>
      <c r="O18" s="19">
        <f ca="1">INDIRECT("'("&amp;$A$4&amp;")'!o18")</f>
        <v>0</v>
      </c>
      <c r="P18" s="20" t="str">
        <f t="shared" ca="1" si="4"/>
        <v>-</v>
      </c>
      <c r="Q18" s="19"/>
      <c r="R18" s="19">
        <f ca="1">INDIRECT("'("&amp;$A$4&amp;")'!r18")</f>
        <v>5</v>
      </c>
      <c r="S18" s="19">
        <f ca="1">INDIRECT("'("&amp;$A$4&amp;")'!s18")</f>
        <v>0</v>
      </c>
      <c r="T18" s="20">
        <f t="shared" ca="1" si="5"/>
        <v>0</v>
      </c>
      <c r="U18" s="19"/>
      <c r="V18" s="14">
        <f t="shared" ca="1" si="6"/>
        <v>29</v>
      </c>
      <c r="W18" s="14">
        <f t="shared" ca="1" si="7"/>
        <v>1</v>
      </c>
      <c r="X18" s="20">
        <f t="shared" ca="1" si="8"/>
        <v>3.3333333333333333E-2</v>
      </c>
      <c r="Y18" s="16"/>
      <c r="Z18" s="16"/>
      <c r="AA18" s="16"/>
      <c r="AB18" s="16"/>
      <c r="AC18" s="16"/>
      <c r="AD18" s="16"/>
      <c r="AE18" s="16"/>
      <c r="AF18" s="16"/>
      <c r="AG18" s="16"/>
    </row>
    <row r="19" spans="1:33" s="6" customFormat="1" ht="15" customHeight="1" x14ac:dyDescent="0.35">
      <c r="A19" s="21" t="s">
        <v>21</v>
      </c>
      <c r="B19" s="19">
        <f ca="1">INDIRECT("'("&amp;$A$4&amp;")'!b19")</f>
        <v>23</v>
      </c>
      <c r="C19" s="19">
        <f ca="1">INDIRECT("'("&amp;$A$4&amp;")'!c19")</f>
        <v>8</v>
      </c>
      <c r="D19" s="20">
        <f t="shared" ca="1" si="0"/>
        <v>0.25806451612903225</v>
      </c>
      <c r="E19" s="19"/>
      <c r="F19" s="19">
        <f ca="1">INDIRECT("'("&amp;$A$4&amp;")'!f19")</f>
        <v>25</v>
      </c>
      <c r="G19" s="19">
        <f ca="1">INDIRECT("'("&amp;$A$4&amp;")'!g19")</f>
        <v>5</v>
      </c>
      <c r="H19" s="20">
        <f t="shared" ca="1" si="1"/>
        <v>0.16666666666666666</v>
      </c>
      <c r="I19" s="19"/>
      <c r="J19" s="14">
        <f t="shared" ca="1" si="2"/>
        <v>48</v>
      </c>
      <c r="K19" s="14">
        <f t="shared" ca="1" si="2"/>
        <v>13</v>
      </c>
      <c r="L19" s="15">
        <f t="shared" ca="1" si="3"/>
        <v>0.21311475409836064</v>
      </c>
      <c r="M19" s="19"/>
      <c r="N19" s="19">
        <f ca="1">INDIRECT("'("&amp;$A$4&amp;")'!n19")</f>
        <v>0</v>
      </c>
      <c r="O19" s="19">
        <f ca="1">INDIRECT("'("&amp;$A$4&amp;")'!o19")</f>
        <v>0</v>
      </c>
      <c r="P19" s="20" t="str">
        <f t="shared" ca="1" si="4"/>
        <v>-</v>
      </c>
      <c r="Q19" s="19"/>
      <c r="R19" s="19">
        <f ca="1">INDIRECT("'("&amp;$A$4&amp;")'!r19")</f>
        <v>9</v>
      </c>
      <c r="S19" s="19">
        <f ca="1">INDIRECT("'("&amp;$A$4&amp;")'!s19")</f>
        <v>21</v>
      </c>
      <c r="T19" s="20">
        <f t="shared" ca="1" si="5"/>
        <v>0.7</v>
      </c>
      <c r="U19" s="19"/>
      <c r="V19" s="14">
        <f t="shared" ca="1" si="6"/>
        <v>57</v>
      </c>
      <c r="W19" s="14">
        <f t="shared" ca="1" si="7"/>
        <v>34</v>
      </c>
      <c r="X19" s="20">
        <f t="shared" ca="1" si="8"/>
        <v>0.37362637362637363</v>
      </c>
      <c r="Y19" s="16"/>
      <c r="Z19" s="16"/>
      <c r="AA19" s="16"/>
      <c r="AB19" s="16"/>
      <c r="AC19" s="16"/>
      <c r="AD19" s="16"/>
      <c r="AE19" s="16"/>
      <c r="AF19" s="16"/>
      <c r="AG19" s="16"/>
    </row>
    <row r="20" spans="1:33" s="6" customFormat="1" ht="15" customHeight="1" x14ac:dyDescent="0.35">
      <c r="A20" s="21" t="s">
        <v>22</v>
      </c>
      <c r="B20" s="19">
        <f ca="1">INDIRECT("'("&amp;$A$4&amp;")'!b20")</f>
        <v>8</v>
      </c>
      <c r="C20" s="19">
        <f ca="1">INDIRECT("'("&amp;$A$4&amp;")'!c20")</f>
        <v>0</v>
      </c>
      <c r="D20" s="20">
        <f t="shared" ca="1" si="0"/>
        <v>0</v>
      </c>
      <c r="E20" s="19"/>
      <c r="F20" s="19">
        <f ca="1">INDIRECT("'("&amp;$A$4&amp;")'!f20")</f>
        <v>112</v>
      </c>
      <c r="G20" s="19">
        <f ca="1">INDIRECT("'("&amp;$A$4&amp;")'!g20")</f>
        <v>17</v>
      </c>
      <c r="H20" s="20">
        <f t="shared" ca="1" si="1"/>
        <v>0.13178294573643412</v>
      </c>
      <c r="I20" s="19"/>
      <c r="J20" s="14">
        <f t="shared" ca="1" si="2"/>
        <v>120</v>
      </c>
      <c r="K20" s="14">
        <f t="shared" ca="1" si="2"/>
        <v>17</v>
      </c>
      <c r="L20" s="15">
        <f t="shared" ca="1" si="3"/>
        <v>0.12408759124087591</v>
      </c>
      <c r="M20" s="19"/>
      <c r="N20" s="19">
        <f ca="1">INDIRECT("'("&amp;$A$4&amp;")'!n20")</f>
        <v>0</v>
      </c>
      <c r="O20" s="19">
        <f ca="1">INDIRECT("'("&amp;$A$4&amp;")'!o20")</f>
        <v>0</v>
      </c>
      <c r="P20" s="20" t="str">
        <f t="shared" ca="1" si="4"/>
        <v>-</v>
      </c>
      <c r="Q20" s="19"/>
      <c r="R20" s="19">
        <f ca="1">INDIRECT("'("&amp;$A$4&amp;")'!r20")</f>
        <v>15</v>
      </c>
      <c r="S20" s="19">
        <f ca="1">INDIRECT("'("&amp;$A$4&amp;")'!s20")</f>
        <v>12</v>
      </c>
      <c r="T20" s="20">
        <f t="shared" ca="1" si="5"/>
        <v>0.44444444444444442</v>
      </c>
      <c r="U20" s="19"/>
      <c r="V20" s="14">
        <f t="shared" ca="1" si="6"/>
        <v>135</v>
      </c>
      <c r="W20" s="14">
        <f t="shared" ca="1" si="7"/>
        <v>29</v>
      </c>
      <c r="X20" s="20">
        <f t="shared" ca="1" si="8"/>
        <v>0.17682926829268292</v>
      </c>
      <c r="Y20" s="16"/>
      <c r="Z20" s="16"/>
      <c r="AA20" s="16"/>
      <c r="AB20" s="16"/>
      <c r="AC20" s="16"/>
      <c r="AD20" s="16"/>
      <c r="AE20" s="16"/>
      <c r="AF20" s="16"/>
      <c r="AG20" s="16"/>
    </row>
    <row r="21" spans="1:33" s="6" customFormat="1" ht="15" customHeight="1" x14ac:dyDescent="0.35">
      <c r="A21" s="5" t="s">
        <v>23</v>
      </c>
      <c r="B21" s="19">
        <f ca="1">INDIRECT("'("&amp;$A$4&amp;")'!b21")</f>
        <v>26</v>
      </c>
      <c r="C21" s="19">
        <f ca="1">INDIRECT("'("&amp;$A$4&amp;")'!c21")</f>
        <v>5</v>
      </c>
      <c r="D21" s="20">
        <f t="shared" ca="1" si="0"/>
        <v>0.16129032258064516</v>
      </c>
      <c r="E21" s="19"/>
      <c r="F21" s="19">
        <f ca="1">INDIRECT("'("&amp;$A$4&amp;")'!f21")</f>
        <v>62</v>
      </c>
      <c r="G21" s="19">
        <f ca="1">INDIRECT("'("&amp;$A$4&amp;")'!g21")</f>
        <v>5</v>
      </c>
      <c r="H21" s="20">
        <f t="shared" ca="1" si="1"/>
        <v>7.4626865671641784E-2</v>
      </c>
      <c r="I21" s="19"/>
      <c r="J21" s="14">
        <f t="shared" ca="1" si="2"/>
        <v>88</v>
      </c>
      <c r="K21" s="14">
        <f t="shared" ca="1" si="2"/>
        <v>10</v>
      </c>
      <c r="L21" s="15">
        <f t="shared" ca="1" si="3"/>
        <v>0.10204081632653061</v>
      </c>
      <c r="M21" s="19"/>
      <c r="N21" s="19">
        <f ca="1">INDIRECT("'("&amp;$A$4&amp;")'!n21")</f>
        <v>0</v>
      </c>
      <c r="O21" s="19">
        <f ca="1">INDIRECT("'("&amp;$A$4&amp;")'!o21")</f>
        <v>0</v>
      </c>
      <c r="P21" s="20" t="str">
        <f t="shared" ca="1" si="4"/>
        <v>-</v>
      </c>
      <c r="Q21" s="19"/>
      <c r="R21" s="19">
        <f ca="1">INDIRECT("'("&amp;$A$4&amp;")'!r21")</f>
        <v>23</v>
      </c>
      <c r="S21" s="19">
        <f ca="1">INDIRECT("'("&amp;$A$4&amp;")'!s21")</f>
        <v>33</v>
      </c>
      <c r="T21" s="20">
        <f t="shared" ca="1" si="5"/>
        <v>0.5892857142857143</v>
      </c>
      <c r="U21" s="19"/>
      <c r="V21" s="14">
        <f t="shared" ca="1" si="6"/>
        <v>111</v>
      </c>
      <c r="W21" s="14">
        <f t="shared" ca="1" si="7"/>
        <v>43</v>
      </c>
      <c r="X21" s="20">
        <f t="shared" ca="1" si="8"/>
        <v>0.2792207792207792</v>
      </c>
      <c r="Y21" s="16"/>
      <c r="Z21" s="16"/>
      <c r="AA21" s="16"/>
      <c r="AB21" s="16"/>
      <c r="AC21" s="16"/>
      <c r="AD21" s="16"/>
      <c r="AE21" s="16"/>
      <c r="AF21" s="16"/>
      <c r="AG21" s="16"/>
    </row>
    <row r="22" spans="1:33" s="6" customFormat="1" ht="15" customHeight="1" x14ac:dyDescent="0.35">
      <c r="A22" s="5" t="s">
        <v>24</v>
      </c>
      <c r="B22" s="19">
        <f ca="1">INDIRECT("'("&amp;$A$4&amp;")'!b22")</f>
        <v>0</v>
      </c>
      <c r="C22" s="19">
        <f ca="1">INDIRECT("'("&amp;$A$4&amp;")'!c22")</f>
        <v>0</v>
      </c>
      <c r="D22" s="20" t="str">
        <f t="shared" ca="1" si="0"/>
        <v>-</v>
      </c>
      <c r="E22" s="19"/>
      <c r="F22" s="19">
        <f ca="1">INDIRECT("'("&amp;$A$4&amp;")'!f22")</f>
        <v>22</v>
      </c>
      <c r="G22" s="19">
        <f ca="1">INDIRECT("'("&amp;$A$4&amp;")'!g22")</f>
        <v>0</v>
      </c>
      <c r="H22" s="20">
        <f t="shared" ca="1" si="1"/>
        <v>0</v>
      </c>
      <c r="I22" s="19"/>
      <c r="J22" s="14">
        <f t="shared" ca="1" si="2"/>
        <v>22</v>
      </c>
      <c r="K22" s="14">
        <f t="shared" ca="1" si="2"/>
        <v>0</v>
      </c>
      <c r="L22" s="15">
        <f t="shared" ca="1" si="3"/>
        <v>0</v>
      </c>
      <c r="M22" s="19"/>
      <c r="N22" s="19">
        <f ca="1">INDIRECT("'("&amp;$A$4&amp;")'!n22")</f>
        <v>0</v>
      </c>
      <c r="O22" s="19">
        <f ca="1">INDIRECT("'("&amp;$A$4&amp;")'!o22")</f>
        <v>0</v>
      </c>
      <c r="P22" s="20" t="str">
        <f t="shared" ca="1" si="4"/>
        <v>-</v>
      </c>
      <c r="Q22" s="19"/>
      <c r="R22" s="19">
        <f ca="1">INDIRECT("'("&amp;$A$4&amp;")'!r22")</f>
        <v>4</v>
      </c>
      <c r="S22" s="19">
        <f ca="1">INDIRECT("'("&amp;$A$4&amp;")'!s22")</f>
        <v>7</v>
      </c>
      <c r="T22" s="20">
        <f t="shared" ca="1" si="5"/>
        <v>0.63636363636363635</v>
      </c>
      <c r="U22" s="19"/>
      <c r="V22" s="14">
        <f t="shared" ca="1" si="6"/>
        <v>26</v>
      </c>
      <c r="W22" s="14">
        <f t="shared" ca="1" si="7"/>
        <v>7</v>
      </c>
      <c r="X22" s="20">
        <f t="shared" ca="1" si="8"/>
        <v>0.21212121212121213</v>
      </c>
      <c r="Y22" s="16"/>
      <c r="Z22" s="16"/>
      <c r="AA22" s="16"/>
      <c r="AB22" s="16"/>
      <c r="AC22" s="16"/>
      <c r="AD22" s="16"/>
      <c r="AE22" s="16"/>
      <c r="AF22" s="16"/>
      <c r="AG22" s="16"/>
    </row>
    <row r="23" spans="1:33" s="6" customFormat="1" ht="15" customHeight="1" x14ac:dyDescent="0.35">
      <c r="A23" s="5" t="s">
        <v>25</v>
      </c>
      <c r="B23" s="19">
        <f ca="1">INDIRECT("'("&amp;$A$4&amp;")'!b23")</f>
        <v>1</v>
      </c>
      <c r="C23" s="19">
        <f ca="1">INDIRECT("'("&amp;$A$4&amp;")'!c23")</f>
        <v>1</v>
      </c>
      <c r="D23" s="20">
        <f t="shared" ca="1" si="0"/>
        <v>0.5</v>
      </c>
      <c r="E23" s="19"/>
      <c r="F23" s="19">
        <f ca="1">INDIRECT("'("&amp;$A$4&amp;")'!f23")</f>
        <v>25</v>
      </c>
      <c r="G23" s="19">
        <f ca="1">INDIRECT("'("&amp;$A$4&amp;")'!g23")</f>
        <v>2</v>
      </c>
      <c r="H23" s="20">
        <f t="shared" ca="1" si="1"/>
        <v>7.407407407407407E-2</v>
      </c>
      <c r="I23" s="19"/>
      <c r="J23" s="14">
        <f t="shared" ca="1" si="2"/>
        <v>26</v>
      </c>
      <c r="K23" s="14">
        <f t="shared" ca="1" si="2"/>
        <v>3</v>
      </c>
      <c r="L23" s="15">
        <f t="shared" ca="1" si="3"/>
        <v>0.10344827586206896</v>
      </c>
      <c r="M23" s="19"/>
      <c r="N23" s="19">
        <f ca="1">INDIRECT("'("&amp;$A$4&amp;")'!n23")</f>
        <v>1</v>
      </c>
      <c r="O23" s="19">
        <f ca="1">INDIRECT("'("&amp;$A$4&amp;")'!o23")</f>
        <v>1</v>
      </c>
      <c r="P23" s="20">
        <f t="shared" ca="1" si="4"/>
        <v>0.5</v>
      </c>
      <c r="Q23" s="19"/>
      <c r="R23" s="19">
        <f ca="1">INDIRECT("'("&amp;$A$4&amp;")'!r23")</f>
        <v>8</v>
      </c>
      <c r="S23" s="19">
        <f ca="1">INDIRECT("'("&amp;$A$4&amp;")'!s23")</f>
        <v>18</v>
      </c>
      <c r="T23" s="20">
        <f t="shared" ca="1" si="5"/>
        <v>0.69230769230769229</v>
      </c>
      <c r="U23" s="19"/>
      <c r="V23" s="14">
        <f t="shared" ca="1" si="6"/>
        <v>35</v>
      </c>
      <c r="W23" s="14">
        <f t="shared" ca="1" si="7"/>
        <v>22</v>
      </c>
      <c r="X23" s="20">
        <f t="shared" ca="1" si="8"/>
        <v>0.38596491228070173</v>
      </c>
      <c r="Y23" s="16"/>
      <c r="Z23" s="16"/>
      <c r="AA23" s="16"/>
      <c r="AB23" s="16"/>
      <c r="AC23" s="16"/>
      <c r="AD23" s="16"/>
      <c r="AE23" s="16"/>
      <c r="AF23" s="16"/>
      <c r="AG23" s="16"/>
    </row>
    <row r="24" spans="1:33" s="6" customFormat="1" ht="15" customHeight="1" x14ac:dyDescent="0.35">
      <c r="A24" s="5" t="s">
        <v>26</v>
      </c>
      <c r="B24" s="19">
        <f ca="1">INDIRECT("'("&amp;$A$4&amp;")'!b24")</f>
        <v>53</v>
      </c>
      <c r="C24" s="19">
        <f ca="1">INDIRECT("'("&amp;$A$4&amp;")'!c24")</f>
        <v>4</v>
      </c>
      <c r="D24" s="20">
        <f t="shared" ca="1" si="0"/>
        <v>7.0175438596491224E-2</v>
      </c>
      <c r="E24" s="19"/>
      <c r="F24" s="19">
        <f ca="1">INDIRECT("'("&amp;$A$4&amp;")'!f24")</f>
        <v>60</v>
      </c>
      <c r="G24" s="19">
        <f ca="1">INDIRECT("'("&amp;$A$4&amp;")'!g24")</f>
        <v>2</v>
      </c>
      <c r="H24" s="20">
        <f t="shared" ca="1" si="1"/>
        <v>3.2258064516129031E-2</v>
      </c>
      <c r="I24" s="19"/>
      <c r="J24" s="14">
        <f t="shared" ca="1" si="2"/>
        <v>113</v>
      </c>
      <c r="K24" s="14">
        <f t="shared" ca="1" si="2"/>
        <v>6</v>
      </c>
      <c r="L24" s="15">
        <f t="shared" ca="1" si="3"/>
        <v>5.0420168067226892E-2</v>
      </c>
      <c r="M24" s="19"/>
      <c r="N24" s="19">
        <f ca="1">INDIRECT("'("&amp;$A$4&amp;")'!n24")</f>
        <v>0</v>
      </c>
      <c r="O24" s="19">
        <f ca="1">INDIRECT("'("&amp;$A$4&amp;")'!o24")</f>
        <v>3</v>
      </c>
      <c r="P24" s="20">
        <f t="shared" ca="1" si="4"/>
        <v>1</v>
      </c>
      <c r="Q24" s="19"/>
      <c r="R24" s="19">
        <f ca="1">INDIRECT("'("&amp;$A$4&amp;")'!r24")</f>
        <v>16</v>
      </c>
      <c r="S24" s="19">
        <f ca="1">INDIRECT("'("&amp;$A$4&amp;")'!s24")</f>
        <v>15</v>
      </c>
      <c r="T24" s="20">
        <f t="shared" ca="1" si="5"/>
        <v>0.4838709677419355</v>
      </c>
      <c r="U24" s="19"/>
      <c r="V24" s="14">
        <f t="shared" ca="1" si="6"/>
        <v>129</v>
      </c>
      <c r="W24" s="14">
        <f t="shared" ca="1" si="7"/>
        <v>24</v>
      </c>
      <c r="X24" s="20">
        <f t="shared" ca="1" si="8"/>
        <v>0.15686274509803921</v>
      </c>
      <c r="Y24" s="16"/>
      <c r="Z24" s="16"/>
      <c r="AA24" s="16"/>
      <c r="AB24" s="16"/>
      <c r="AC24" s="16"/>
      <c r="AD24" s="16"/>
      <c r="AE24" s="16"/>
      <c r="AF24" s="16"/>
      <c r="AG24" s="16"/>
    </row>
    <row r="25" spans="1:33" s="6" customFormat="1" ht="15" customHeight="1" x14ac:dyDescent="0.35">
      <c r="A25" s="5" t="s">
        <v>27</v>
      </c>
      <c r="B25" s="19">
        <f ca="1">INDIRECT("'("&amp;$A$4&amp;")'!b25")</f>
        <v>7</v>
      </c>
      <c r="C25" s="19">
        <f ca="1">INDIRECT("'("&amp;$A$4&amp;")'!c25")</f>
        <v>0</v>
      </c>
      <c r="D25" s="20">
        <f t="shared" ca="1" si="0"/>
        <v>0</v>
      </c>
      <c r="E25" s="19"/>
      <c r="F25" s="19">
        <f ca="1">INDIRECT("'("&amp;$A$4&amp;")'!f25")</f>
        <v>42</v>
      </c>
      <c r="G25" s="19">
        <f ca="1">INDIRECT("'("&amp;$A$4&amp;")'!g25")</f>
        <v>9</v>
      </c>
      <c r="H25" s="20">
        <f t="shared" ca="1" si="1"/>
        <v>0.17647058823529413</v>
      </c>
      <c r="I25" s="19"/>
      <c r="J25" s="14">
        <f t="shared" ca="1" si="2"/>
        <v>49</v>
      </c>
      <c r="K25" s="14">
        <f t="shared" ca="1" si="2"/>
        <v>9</v>
      </c>
      <c r="L25" s="15">
        <f t="shared" ca="1" si="3"/>
        <v>0.15517241379310345</v>
      </c>
      <c r="M25" s="19"/>
      <c r="N25" s="19">
        <f ca="1">INDIRECT("'("&amp;$A$4&amp;")'!n25")</f>
        <v>0</v>
      </c>
      <c r="O25" s="19">
        <f ca="1">INDIRECT("'("&amp;$A$4&amp;")'!o25")</f>
        <v>0</v>
      </c>
      <c r="P25" s="20" t="str">
        <f t="shared" ca="1" si="4"/>
        <v>-</v>
      </c>
      <c r="Q25" s="19"/>
      <c r="R25" s="19">
        <f ca="1">INDIRECT("'("&amp;$A$4&amp;")'!r25")</f>
        <v>5</v>
      </c>
      <c r="S25" s="19">
        <f ca="1">INDIRECT("'("&amp;$A$4&amp;")'!s25")</f>
        <v>0</v>
      </c>
      <c r="T25" s="20">
        <f t="shared" ca="1" si="5"/>
        <v>0</v>
      </c>
      <c r="U25" s="19"/>
      <c r="V25" s="14">
        <f t="shared" ca="1" si="6"/>
        <v>54</v>
      </c>
      <c r="W25" s="14">
        <f t="shared" ca="1" si="7"/>
        <v>9</v>
      </c>
      <c r="X25" s="20">
        <f t="shared" ca="1" si="8"/>
        <v>0.14285714285714285</v>
      </c>
      <c r="Y25" s="16"/>
      <c r="Z25" s="16"/>
      <c r="AA25" s="16"/>
      <c r="AB25" s="16"/>
      <c r="AC25" s="16"/>
      <c r="AD25" s="16"/>
      <c r="AE25" s="16"/>
      <c r="AF25" s="16"/>
      <c r="AG25" s="16"/>
    </row>
    <row r="26" spans="1:33" s="6" customFormat="1" ht="15" customHeight="1" x14ac:dyDescent="0.35">
      <c r="A26" s="5" t="s">
        <v>28</v>
      </c>
      <c r="B26" s="19">
        <f ca="1">INDIRECT("'("&amp;$A$4&amp;")'!b26")</f>
        <v>5</v>
      </c>
      <c r="C26" s="19">
        <f ca="1">INDIRECT("'("&amp;$A$4&amp;")'!c26")</f>
        <v>54</v>
      </c>
      <c r="D26" s="20">
        <f t="shared" ca="1" si="0"/>
        <v>0.9152542372881356</v>
      </c>
      <c r="E26" s="19"/>
      <c r="F26" s="19">
        <f ca="1">INDIRECT("'("&amp;$A$4&amp;")'!f26")</f>
        <v>16</v>
      </c>
      <c r="G26" s="19">
        <f ca="1">INDIRECT("'("&amp;$A$4&amp;")'!g26")</f>
        <v>94</v>
      </c>
      <c r="H26" s="20">
        <f t="shared" ca="1" si="1"/>
        <v>0.8545454545454545</v>
      </c>
      <c r="I26" s="19"/>
      <c r="J26" s="14">
        <f t="shared" ca="1" si="2"/>
        <v>21</v>
      </c>
      <c r="K26" s="14">
        <f t="shared" ca="1" si="2"/>
        <v>148</v>
      </c>
      <c r="L26" s="15">
        <f t="shared" ca="1" si="3"/>
        <v>0.87573964497041423</v>
      </c>
      <c r="M26" s="19"/>
      <c r="N26" s="19">
        <f ca="1">INDIRECT("'("&amp;$A$4&amp;")'!n26")</f>
        <v>3</v>
      </c>
      <c r="O26" s="19">
        <f ca="1">INDIRECT("'("&amp;$A$4&amp;")'!o26")</f>
        <v>0</v>
      </c>
      <c r="P26" s="20">
        <f t="shared" ca="1" si="4"/>
        <v>0</v>
      </c>
      <c r="Q26" s="19"/>
      <c r="R26" s="19">
        <f ca="1">INDIRECT("'("&amp;$A$4&amp;")'!r26")</f>
        <v>17</v>
      </c>
      <c r="S26" s="19">
        <f ca="1">INDIRECT("'("&amp;$A$4&amp;")'!s26")</f>
        <v>11</v>
      </c>
      <c r="T26" s="20">
        <f t="shared" ca="1" si="5"/>
        <v>0.39285714285714285</v>
      </c>
      <c r="U26" s="19"/>
      <c r="V26" s="14">
        <f t="shared" ca="1" si="6"/>
        <v>41</v>
      </c>
      <c r="W26" s="14">
        <f t="shared" ca="1" si="7"/>
        <v>159</v>
      </c>
      <c r="X26" s="20">
        <f t="shared" ca="1" si="8"/>
        <v>0.79500000000000004</v>
      </c>
      <c r="Y26" s="16"/>
      <c r="Z26" s="16"/>
      <c r="AA26" s="16"/>
      <c r="AB26" s="16"/>
      <c r="AC26" s="16"/>
      <c r="AD26" s="16"/>
      <c r="AE26" s="16"/>
      <c r="AF26" s="16"/>
      <c r="AG26" s="16"/>
    </row>
    <row r="27" spans="1:33" s="6" customFormat="1" ht="15" customHeight="1" x14ac:dyDescent="0.35">
      <c r="A27" s="5" t="s">
        <v>29</v>
      </c>
      <c r="B27" s="19">
        <f ca="1">INDIRECT("'("&amp;$A$4&amp;")'!b27")</f>
        <v>21</v>
      </c>
      <c r="C27" s="19">
        <f ca="1">INDIRECT("'("&amp;$A$4&amp;")'!c27")</f>
        <v>4</v>
      </c>
      <c r="D27" s="20">
        <f t="shared" ca="1" si="0"/>
        <v>0.16</v>
      </c>
      <c r="E27" s="19"/>
      <c r="F27" s="19">
        <f ca="1">INDIRECT("'("&amp;$A$4&amp;")'!f27")</f>
        <v>58</v>
      </c>
      <c r="G27" s="19">
        <f ca="1">INDIRECT("'("&amp;$A$4&amp;")'!g27")</f>
        <v>5</v>
      </c>
      <c r="H27" s="20">
        <f t="shared" ca="1" si="1"/>
        <v>7.9365079365079361E-2</v>
      </c>
      <c r="I27" s="19"/>
      <c r="J27" s="14">
        <f t="shared" ca="1" si="2"/>
        <v>79</v>
      </c>
      <c r="K27" s="14">
        <f t="shared" ca="1" si="2"/>
        <v>9</v>
      </c>
      <c r="L27" s="15">
        <f t="shared" ca="1" si="3"/>
        <v>0.10227272727272728</v>
      </c>
      <c r="M27" s="19"/>
      <c r="N27" s="19">
        <f ca="1">INDIRECT("'("&amp;$A$4&amp;")'!n27")</f>
        <v>2</v>
      </c>
      <c r="O27" s="19">
        <f ca="1">INDIRECT("'("&amp;$A$4&amp;")'!o27")</f>
        <v>0</v>
      </c>
      <c r="P27" s="20">
        <f t="shared" ca="1" si="4"/>
        <v>0</v>
      </c>
      <c r="Q27" s="19"/>
      <c r="R27" s="19">
        <f ca="1">INDIRECT("'("&amp;$A$4&amp;")'!r27")</f>
        <v>15</v>
      </c>
      <c r="S27" s="19">
        <f ca="1">INDIRECT("'("&amp;$A$4&amp;")'!s27")</f>
        <v>10</v>
      </c>
      <c r="T27" s="20">
        <f t="shared" ca="1" si="5"/>
        <v>0.4</v>
      </c>
      <c r="U27" s="19"/>
      <c r="V27" s="14">
        <f t="shared" ca="1" si="6"/>
        <v>96</v>
      </c>
      <c r="W27" s="14">
        <f t="shared" ca="1" si="7"/>
        <v>19</v>
      </c>
      <c r="X27" s="20">
        <f t="shared" ca="1" si="8"/>
        <v>0.16521739130434782</v>
      </c>
      <c r="Y27" s="16"/>
      <c r="Z27" s="16"/>
      <c r="AA27" s="16"/>
      <c r="AB27" s="16"/>
      <c r="AC27" s="16"/>
      <c r="AD27" s="16"/>
      <c r="AE27" s="16"/>
      <c r="AF27" s="16"/>
      <c r="AG27" s="16"/>
    </row>
    <row r="28" spans="1:33" s="6" customFormat="1" ht="15" customHeight="1" x14ac:dyDescent="0.35">
      <c r="A28" s="5" t="s">
        <v>30</v>
      </c>
      <c r="B28" s="19">
        <f ca="1">INDIRECT("'("&amp;$A$4&amp;")'!b28")</f>
        <v>22</v>
      </c>
      <c r="C28" s="19">
        <f ca="1">INDIRECT("'("&amp;$A$4&amp;")'!c28")</f>
        <v>4</v>
      </c>
      <c r="D28" s="20">
        <f t="shared" ca="1" si="0"/>
        <v>0.15384615384615385</v>
      </c>
      <c r="E28" s="19"/>
      <c r="F28" s="19">
        <f ca="1">INDIRECT("'("&amp;$A$4&amp;")'!f28")</f>
        <v>20</v>
      </c>
      <c r="G28" s="19">
        <f ca="1">INDIRECT("'("&amp;$A$4&amp;")'!g28")</f>
        <v>2</v>
      </c>
      <c r="H28" s="20">
        <f t="shared" ca="1" si="1"/>
        <v>9.0909090909090912E-2</v>
      </c>
      <c r="I28" s="19"/>
      <c r="J28" s="14">
        <f t="shared" ca="1" si="2"/>
        <v>42</v>
      </c>
      <c r="K28" s="14">
        <f t="shared" ca="1" si="2"/>
        <v>6</v>
      </c>
      <c r="L28" s="15">
        <f t="shared" ca="1" si="3"/>
        <v>0.125</v>
      </c>
      <c r="M28" s="19"/>
      <c r="N28" s="19">
        <f ca="1">INDIRECT("'("&amp;$A$4&amp;")'!n28")</f>
        <v>0</v>
      </c>
      <c r="O28" s="19">
        <f ca="1">INDIRECT("'("&amp;$A$4&amp;")'!o28")</f>
        <v>0</v>
      </c>
      <c r="P28" s="20" t="str">
        <f t="shared" ca="1" si="4"/>
        <v>-</v>
      </c>
      <c r="Q28" s="19"/>
      <c r="R28" s="19">
        <f ca="1">INDIRECT("'("&amp;$A$4&amp;")'!r28")</f>
        <v>6</v>
      </c>
      <c r="S28" s="19">
        <f ca="1">INDIRECT("'("&amp;$A$4&amp;")'!s28")</f>
        <v>6</v>
      </c>
      <c r="T28" s="20">
        <f t="shared" ca="1" si="5"/>
        <v>0.5</v>
      </c>
      <c r="U28" s="19"/>
      <c r="V28" s="14">
        <f t="shared" ca="1" si="6"/>
        <v>48</v>
      </c>
      <c r="W28" s="14">
        <f t="shared" ca="1" si="7"/>
        <v>12</v>
      </c>
      <c r="X28" s="20">
        <f t="shared" ca="1" si="8"/>
        <v>0.2</v>
      </c>
      <c r="Y28" s="16"/>
      <c r="Z28" s="16"/>
      <c r="AA28" s="16"/>
      <c r="AB28" s="16"/>
      <c r="AC28" s="16"/>
      <c r="AD28" s="16"/>
      <c r="AE28" s="16"/>
      <c r="AF28" s="16"/>
      <c r="AG28" s="16"/>
    </row>
    <row r="29" spans="1:33" s="6" customFormat="1" ht="15" customHeight="1" x14ac:dyDescent="0.35">
      <c r="A29" s="5" t="s">
        <v>31</v>
      </c>
      <c r="B29" s="19">
        <f ca="1">INDIRECT("'("&amp;$A$4&amp;")'!b29")</f>
        <v>15</v>
      </c>
      <c r="C29" s="19">
        <f ca="1">INDIRECT("'("&amp;$A$4&amp;")'!c29")</f>
        <v>7</v>
      </c>
      <c r="D29" s="20">
        <f t="shared" ca="1" si="0"/>
        <v>0.31818181818181818</v>
      </c>
      <c r="E29" s="19"/>
      <c r="F29" s="19">
        <f ca="1">INDIRECT("'("&amp;$A$4&amp;")'!f29")</f>
        <v>26</v>
      </c>
      <c r="G29" s="19">
        <f ca="1">INDIRECT("'("&amp;$A$4&amp;")'!g29")</f>
        <v>5</v>
      </c>
      <c r="H29" s="20">
        <f t="shared" ca="1" si="1"/>
        <v>0.16129032258064516</v>
      </c>
      <c r="I29" s="19"/>
      <c r="J29" s="14">
        <f t="shared" ca="1" si="2"/>
        <v>41</v>
      </c>
      <c r="K29" s="14">
        <f t="shared" ca="1" si="2"/>
        <v>12</v>
      </c>
      <c r="L29" s="15">
        <f t="shared" ca="1" si="3"/>
        <v>0.22641509433962265</v>
      </c>
      <c r="M29" s="19"/>
      <c r="N29" s="19">
        <f ca="1">INDIRECT("'("&amp;$A$4&amp;")'!n29")</f>
        <v>0</v>
      </c>
      <c r="O29" s="19">
        <f ca="1">INDIRECT("'("&amp;$A$4&amp;")'!o29")</f>
        <v>4</v>
      </c>
      <c r="P29" s="20">
        <f t="shared" ca="1" si="4"/>
        <v>1</v>
      </c>
      <c r="Q29" s="19"/>
      <c r="R29" s="19">
        <f ca="1">INDIRECT("'("&amp;$A$4&amp;")'!r29")</f>
        <v>5</v>
      </c>
      <c r="S29" s="19">
        <f ca="1">INDIRECT("'("&amp;$A$4&amp;")'!s29")</f>
        <v>13</v>
      </c>
      <c r="T29" s="20">
        <f t="shared" ca="1" si="5"/>
        <v>0.72222222222222221</v>
      </c>
      <c r="U29" s="19"/>
      <c r="V29" s="14">
        <f t="shared" ca="1" si="6"/>
        <v>46</v>
      </c>
      <c r="W29" s="14">
        <f t="shared" ca="1" si="7"/>
        <v>29</v>
      </c>
      <c r="X29" s="20">
        <f t="shared" ca="1" si="8"/>
        <v>0.38666666666666666</v>
      </c>
      <c r="Y29" s="16"/>
      <c r="Z29" s="16"/>
      <c r="AA29" s="16"/>
      <c r="AB29" s="16"/>
      <c r="AC29" s="16"/>
      <c r="AD29" s="16"/>
      <c r="AE29" s="16"/>
      <c r="AF29" s="16"/>
      <c r="AG29" s="16"/>
    </row>
    <row r="30" spans="1:33" s="6" customFormat="1" ht="15" customHeight="1" x14ac:dyDescent="0.35">
      <c r="A30" s="5" t="s">
        <v>32</v>
      </c>
      <c r="B30" s="19">
        <f ca="1">INDIRECT("'("&amp;$A$4&amp;")'!b30")</f>
        <v>0</v>
      </c>
      <c r="C30" s="19">
        <f ca="1">INDIRECT("'("&amp;$A$4&amp;")'!c30")</f>
        <v>0</v>
      </c>
      <c r="D30" s="20" t="str">
        <f t="shared" ca="1" si="0"/>
        <v>-</v>
      </c>
      <c r="E30" s="19"/>
      <c r="F30" s="19">
        <f ca="1">INDIRECT("'("&amp;$A$4&amp;")'!f30")</f>
        <v>9</v>
      </c>
      <c r="G30" s="19">
        <f ca="1">INDIRECT("'("&amp;$A$4&amp;")'!g30")</f>
        <v>0</v>
      </c>
      <c r="H30" s="20">
        <f t="shared" ca="1" si="1"/>
        <v>0</v>
      </c>
      <c r="I30" s="19"/>
      <c r="J30" s="14">
        <f t="shared" ca="1" si="2"/>
        <v>9</v>
      </c>
      <c r="K30" s="14">
        <f t="shared" ca="1" si="2"/>
        <v>0</v>
      </c>
      <c r="L30" s="15">
        <f t="shared" ca="1" si="3"/>
        <v>0</v>
      </c>
      <c r="M30" s="19"/>
      <c r="N30" s="19">
        <f ca="1">INDIRECT("'("&amp;$A$4&amp;")'!n30")</f>
        <v>0</v>
      </c>
      <c r="O30" s="19">
        <f ca="1">INDIRECT("'("&amp;$A$4&amp;")'!o30")</f>
        <v>0</v>
      </c>
      <c r="P30" s="20" t="str">
        <f t="shared" ca="1" si="4"/>
        <v>-</v>
      </c>
      <c r="Q30" s="19"/>
      <c r="R30" s="19">
        <f ca="1">INDIRECT("'("&amp;$A$4&amp;")'!r30")</f>
        <v>2</v>
      </c>
      <c r="S30" s="19">
        <f ca="1">INDIRECT("'("&amp;$A$4&amp;")'!s30")</f>
        <v>0</v>
      </c>
      <c r="T30" s="20">
        <f t="shared" ca="1" si="5"/>
        <v>0</v>
      </c>
      <c r="U30" s="19"/>
      <c r="V30" s="14">
        <f t="shared" ca="1" si="6"/>
        <v>11</v>
      </c>
      <c r="W30" s="14">
        <f t="shared" ca="1" si="7"/>
        <v>0</v>
      </c>
      <c r="X30" s="20">
        <f t="shared" ca="1" si="8"/>
        <v>0</v>
      </c>
      <c r="Y30" s="16"/>
      <c r="Z30" s="16"/>
      <c r="AA30" s="16"/>
      <c r="AB30" s="16"/>
      <c r="AC30" s="16"/>
      <c r="AD30" s="16"/>
      <c r="AE30" s="16"/>
      <c r="AF30" s="16"/>
      <c r="AG30" s="16"/>
    </row>
    <row r="31" spans="1:33" s="6" customFormat="1" ht="15" customHeight="1" x14ac:dyDescent="0.35">
      <c r="A31" s="6" t="s">
        <v>33</v>
      </c>
      <c r="B31" s="19">
        <f ca="1">INDIRECT("'("&amp;$A$4&amp;")'!b31")</f>
        <v>31</v>
      </c>
      <c r="C31" s="19">
        <f ca="1">INDIRECT("'("&amp;$A$4&amp;")'!c31")</f>
        <v>2</v>
      </c>
      <c r="D31" s="20">
        <f t="shared" ca="1" si="0"/>
        <v>6.0606060606060608E-2</v>
      </c>
      <c r="E31" s="19"/>
      <c r="F31" s="19">
        <f ca="1">INDIRECT("'("&amp;$A$4&amp;")'!f31")</f>
        <v>93</v>
      </c>
      <c r="G31" s="19">
        <f ca="1">INDIRECT("'("&amp;$A$4&amp;")'!g31")</f>
        <v>9</v>
      </c>
      <c r="H31" s="20">
        <f t="shared" ca="1" si="1"/>
        <v>8.8235294117647065E-2</v>
      </c>
      <c r="I31" s="19"/>
      <c r="J31" s="14">
        <f t="shared" ca="1" si="2"/>
        <v>124</v>
      </c>
      <c r="K31" s="14">
        <f t="shared" ca="1" si="2"/>
        <v>11</v>
      </c>
      <c r="L31" s="15">
        <f t="shared" ca="1" si="3"/>
        <v>8.1481481481481488E-2</v>
      </c>
      <c r="M31" s="19"/>
      <c r="N31" s="19">
        <f ca="1">INDIRECT("'("&amp;$A$4&amp;")'!n31")</f>
        <v>0</v>
      </c>
      <c r="O31" s="19">
        <f ca="1">INDIRECT("'("&amp;$A$4&amp;")'!o31")</f>
        <v>1</v>
      </c>
      <c r="P31" s="20">
        <f t="shared" ca="1" si="4"/>
        <v>1</v>
      </c>
      <c r="Q31" s="19"/>
      <c r="R31" s="19">
        <f ca="1">INDIRECT("'("&amp;$A$4&amp;")'!r31")</f>
        <v>22</v>
      </c>
      <c r="S31" s="19">
        <f ca="1">INDIRECT("'("&amp;$A$4&amp;")'!s31")</f>
        <v>18</v>
      </c>
      <c r="T31" s="20">
        <f t="shared" ca="1" si="5"/>
        <v>0.45</v>
      </c>
      <c r="U31" s="19"/>
      <c r="V31" s="14">
        <f t="shared" ca="1" si="6"/>
        <v>146</v>
      </c>
      <c r="W31" s="14">
        <f t="shared" ca="1" si="7"/>
        <v>30</v>
      </c>
      <c r="X31" s="20">
        <f t="shared" ca="1" si="8"/>
        <v>0.17045454545454544</v>
      </c>
      <c r="Y31" s="16"/>
      <c r="Z31" s="16"/>
      <c r="AA31" s="16"/>
      <c r="AB31" s="16"/>
      <c r="AC31" s="16"/>
      <c r="AD31" s="16"/>
      <c r="AE31" s="16"/>
      <c r="AF31" s="16"/>
      <c r="AG31" s="16"/>
    </row>
    <row r="32" spans="1:33" s="6" customFormat="1" ht="15" customHeight="1" x14ac:dyDescent="0.35">
      <c r="A32" s="6" t="s">
        <v>34</v>
      </c>
      <c r="B32" s="19">
        <f ca="1">INDIRECT("'("&amp;$A$4&amp;")'!b32")</f>
        <v>45</v>
      </c>
      <c r="C32" s="19">
        <f ca="1">INDIRECT("'("&amp;$A$4&amp;")'!c32")</f>
        <v>10</v>
      </c>
      <c r="D32" s="20">
        <f t="shared" ca="1" si="0"/>
        <v>0.18181818181818182</v>
      </c>
      <c r="E32" s="19"/>
      <c r="F32" s="19">
        <f ca="1">INDIRECT("'("&amp;$A$4&amp;")'!f32")</f>
        <v>64</v>
      </c>
      <c r="G32" s="19">
        <f ca="1">INDIRECT("'("&amp;$A$4&amp;")'!g32")</f>
        <v>8</v>
      </c>
      <c r="H32" s="20">
        <f t="shared" ca="1" si="1"/>
        <v>0.1111111111111111</v>
      </c>
      <c r="I32" s="19"/>
      <c r="J32" s="14">
        <f t="shared" ca="1" si="2"/>
        <v>109</v>
      </c>
      <c r="K32" s="14">
        <f t="shared" ca="1" si="2"/>
        <v>18</v>
      </c>
      <c r="L32" s="15">
        <f t="shared" ca="1" si="3"/>
        <v>0.14173228346456693</v>
      </c>
      <c r="M32" s="19"/>
      <c r="N32" s="19">
        <f ca="1">INDIRECT("'("&amp;$A$4&amp;")'!n32")</f>
        <v>0</v>
      </c>
      <c r="O32" s="19">
        <f ca="1">INDIRECT("'("&amp;$A$4&amp;")'!o32")</f>
        <v>0</v>
      </c>
      <c r="P32" s="20" t="str">
        <f t="shared" ca="1" si="4"/>
        <v>-</v>
      </c>
      <c r="Q32" s="19"/>
      <c r="R32" s="19">
        <f ca="1">INDIRECT("'("&amp;$A$4&amp;")'!r32")</f>
        <v>9</v>
      </c>
      <c r="S32" s="19">
        <f ca="1">INDIRECT("'("&amp;$A$4&amp;")'!s32")</f>
        <v>13</v>
      </c>
      <c r="T32" s="20">
        <f t="shared" ca="1" si="5"/>
        <v>0.59090909090909094</v>
      </c>
      <c r="U32" s="19"/>
      <c r="V32" s="14">
        <f t="shared" ca="1" si="6"/>
        <v>118</v>
      </c>
      <c r="W32" s="14">
        <f t="shared" ca="1" si="7"/>
        <v>31</v>
      </c>
      <c r="X32" s="20">
        <f t="shared" ca="1" si="8"/>
        <v>0.20805369127516779</v>
      </c>
      <c r="Y32" s="16"/>
      <c r="Z32" s="16"/>
      <c r="AA32" s="16"/>
      <c r="AB32" s="16"/>
      <c r="AC32" s="16"/>
      <c r="AD32" s="16"/>
      <c r="AE32" s="16"/>
      <c r="AF32" s="16"/>
      <c r="AG32" s="16"/>
    </row>
    <row r="33" spans="1:33" s="6" customFormat="1" ht="15" customHeight="1" x14ac:dyDescent="0.35">
      <c r="A33" s="5" t="s">
        <v>35</v>
      </c>
      <c r="B33" s="19">
        <f ca="1">INDIRECT("'("&amp;$A$4&amp;")'!b33")</f>
        <v>8</v>
      </c>
      <c r="C33" s="19">
        <f ca="1">INDIRECT("'("&amp;$A$4&amp;")'!c33")</f>
        <v>0</v>
      </c>
      <c r="D33" s="20">
        <f t="shared" ca="1" si="0"/>
        <v>0</v>
      </c>
      <c r="E33" s="19"/>
      <c r="F33" s="19">
        <f ca="1">INDIRECT("'("&amp;$A$4&amp;")'!f33")</f>
        <v>32</v>
      </c>
      <c r="G33" s="19">
        <f ca="1">INDIRECT("'("&amp;$A$4&amp;")'!g33")</f>
        <v>1</v>
      </c>
      <c r="H33" s="20">
        <f t="shared" ca="1" si="1"/>
        <v>3.0303030303030304E-2</v>
      </c>
      <c r="I33" s="19"/>
      <c r="J33" s="14">
        <f t="shared" ca="1" si="2"/>
        <v>40</v>
      </c>
      <c r="K33" s="14">
        <f t="shared" ca="1" si="2"/>
        <v>1</v>
      </c>
      <c r="L33" s="15">
        <f t="shared" ca="1" si="3"/>
        <v>2.4390243902439025E-2</v>
      </c>
      <c r="M33" s="19"/>
      <c r="N33" s="19">
        <f ca="1">INDIRECT("'("&amp;$A$4&amp;")'!n33")</f>
        <v>0</v>
      </c>
      <c r="O33" s="19">
        <f ca="1">INDIRECT("'("&amp;$A$4&amp;")'!o33")</f>
        <v>0</v>
      </c>
      <c r="P33" s="20" t="str">
        <f t="shared" ca="1" si="4"/>
        <v>-</v>
      </c>
      <c r="Q33" s="19"/>
      <c r="R33" s="19">
        <f ca="1">INDIRECT("'("&amp;$A$4&amp;")'!r33")</f>
        <v>2</v>
      </c>
      <c r="S33" s="19">
        <f ca="1">INDIRECT("'("&amp;$A$4&amp;")'!s33")</f>
        <v>7</v>
      </c>
      <c r="T33" s="20">
        <f t="shared" ca="1" si="5"/>
        <v>0.77777777777777779</v>
      </c>
      <c r="U33" s="19"/>
      <c r="V33" s="14">
        <f t="shared" ca="1" si="6"/>
        <v>42</v>
      </c>
      <c r="W33" s="14">
        <f t="shared" ca="1" si="7"/>
        <v>8</v>
      </c>
      <c r="X33" s="20">
        <f t="shared" ca="1" si="8"/>
        <v>0.16</v>
      </c>
      <c r="Y33" s="16"/>
      <c r="Z33" s="16"/>
      <c r="AA33" s="16"/>
      <c r="AB33" s="16"/>
      <c r="AC33" s="16"/>
      <c r="AD33" s="16"/>
      <c r="AE33" s="16"/>
      <c r="AF33" s="16"/>
      <c r="AG33" s="16"/>
    </row>
    <row r="34" spans="1:33" s="6" customFormat="1" ht="15" customHeight="1" x14ac:dyDescent="0.35">
      <c r="A34" s="6" t="s">
        <v>36</v>
      </c>
      <c r="B34" s="19">
        <f ca="1">INDIRECT("'("&amp;$A$4&amp;")'!b34")</f>
        <v>13</v>
      </c>
      <c r="C34" s="19">
        <f ca="1">INDIRECT("'("&amp;$A$4&amp;")'!c34")</f>
        <v>0</v>
      </c>
      <c r="D34" s="20">
        <f t="shared" ca="1" si="0"/>
        <v>0</v>
      </c>
      <c r="E34" s="19"/>
      <c r="F34" s="19">
        <f ca="1">INDIRECT("'("&amp;$A$4&amp;")'!f34")</f>
        <v>48</v>
      </c>
      <c r="G34" s="19">
        <f ca="1">INDIRECT("'("&amp;$A$4&amp;")'!g34")</f>
        <v>5</v>
      </c>
      <c r="H34" s="20">
        <f t="shared" ca="1" si="1"/>
        <v>9.4339622641509441E-2</v>
      </c>
      <c r="I34" s="19"/>
      <c r="J34" s="14">
        <f t="shared" ca="1" si="2"/>
        <v>61</v>
      </c>
      <c r="K34" s="14">
        <f t="shared" ca="1" si="2"/>
        <v>5</v>
      </c>
      <c r="L34" s="15">
        <f t="shared" ca="1" si="3"/>
        <v>7.575757575757576E-2</v>
      </c>
      <c r="M34" s="19"/>
      <c r="N34" s="19">
        <f ca="1">INDIRECT("'("&amp;$A$4&amp;")'!n34")</f>
        <v>1</v>
      </c>
      <c r="O34" s="19">
        <f ca="1">INDIRECT("'("&amp;$A$4&amp;")'!o34")</f>
        <v>3</v>
      </c>
      <c r="P34" s="20">
        <f t="shared" ca="1" si="4"/>
        <v>0.75</v>
      </c>
      <c r="Q34" s="19"/>
      <c r="R34" s="19">
        <f ca="1">INDIRECT("'("&amp;$A$4&amp;")'!r34")</f>
        <v>3</v>
      </c>
      <c r="S34" s="19">
        <f ca="1">INDIRECT("'("&amp;$A$4&amp;")'!s34")</f>
        <v>7</v>
      </c>
      <c r="T34" s="20">
        <f t="shared" ca="1" si="5"/>
        <v>0.7</v>
      </c>
      <c r="U34" s="19"/>
      <c r="V34" s="14">
        <f t="shared" ca="1" si="6"/>
        <v>65</v>
      </c>
      <c r="W34" s="14">
        <f t="shared" ca="1" si="7"/>
        <v>15</v>
      </c>
      <c r="X34" s="20">
        <f t="shared" ca="1" si="8"/>
        <v>0.1875</v>
      </c>
      <c r="Y34" s="16"/>
      <c r="Z34" s="16"/>
      <c r="AA34" s="16"/>
      <c r="AB34" s="16"/>
      <c r="AC34" s="16"/>
      <c r="AD34" s="16"/>
      <c r="AE34" s="16"/>
      <c r="AF34" s="16"/>
      <c r="AG34" s="16"/>
    </row>
    <row r="35" spans="1:33" s="6" customFormat="1" ht="15" customHeight="1" x14ac:dyDescent="0.35">
      <c r="A35" s="6" t="s">
        <v>37</v>
      </c>
      <c r="B35" s="19">
        <f ca="1">INDIRECT("'("&amp;$A$4&amp;")'!b35")</f>
        <v>25</v>
      </c>
      <c r="C35" s="19">
        <f ca="1">INDIRECT("'("&amp;$A$4&amp;")'!c35")</f>
        <v>5</v>
      </c>
      <c r="D35" s="20">
        <f t="shared" ca="1" si="0"/>
        <v>0.16666666666666666</v>
      </c>
      <c r="E35" s="19"/>
      <c r="F35" s="19">
        <f ca="1">INDIRECT("'("&amp;$A$4&amp;")'!f35")</f>
        <v>36</v>
      </c>
      <c r="G35" s="19">
        <f ca="1">INDIRECT("'("&amp;$A$4&amp;")'!g35")</f>
        <v>2</v>
      </c>
      <c r="H35" s="20">
        <f t="shared" ca="1" si="1"/>
        <v>5.2631578947368418E-2</v>
      </c>
      <c r="I35" s="19"/>
      <c r="J35" s="14">
        <f t="shared" ca="1" si="2"/>
        <v>61</v>
      </c>
      <c r="K35" s="14">
        <f t="shared" ca="1" si="2"/>
        <v>7</v>
      </c>
      <c r="L35" s="15">
        <f t="shared" ca="1" si="3"/>
        <v>0.10294117647058823</v>
      </c>
      <c r="M35" s="19"/>
      <c r="N35" s="19">
        <f ca="1">INDIRECT("'("&amp;$A$4&amp;")'!n35")</f>
        <v>2</v>
      </c>
      <c r="O35" s="19">
        <f ca="1">INDIRECT("'("&amp;$A$4&amp;")'!o35")</f>
        <v>0</v>
      </c>
      <c r="P35" s="20">
        <f t="shared" ca="1" si="4"/>
        <v>0</v>
      </c>
      <c r="Q35" s="19"/>
      <c r="R35" s="19">
        <f ca="1">INDIRECT("'("&amp;$A$4&amp;")'!r35")</f>
        <v>6</v>
      </c>
      <c r="S35" s="19">
        <f ca="1">INDIRECT("'("&amp;$A$4&amp;")'!s35")</f>
        <v>4</v>
      </c>
      <c r="T35" s="20">
        <f t="shared" ca="1" si="5"/>
        <v>0.4</v>
      </c>
      <c r="U35" s="19"/>
      <c r="V35" s="14">
        <f t="shared" ca="1" si="6"/>
        <v>69</v>
      </c>
      <c r="W35" s="14">
        <f t="shared" ca="1" si="7"/>
        <v>11</v>
      </c>
      <c r="X35" s="20">
        <f t="shared" ca="1" si="8"/>
        <v>0.13750000000000001</v>
      </c>
      <c r="Y35" s="16"/>
      <c r="Z35" s="16"/>
      <c r="AA35" s="16"/>
      <c r="AB35" s="16"/>
      <c r="AC35" s="16"/>
      <c r="AD35" s="16"/>
      <c r="AE35" s="16"/>
      <c r="AF35" s="16"/>
      <c r="AG35" s="16"/>
    </row>
    <row r="36" spans="1:33" s="6" customFormat="1" ht="15" customHeight="1" x14ac:dyDescent="0.35">
      <c r="A36" s="5" t="s">
        <v>38</v>
      </c>
      <c r="B36" s="19">
        <f ca="1">INDIRECT("'("&amp;$A$4&amp;")'!b36")</f>
        <v>0</v>
      </c>
      <c r="C36" s="19">
        <f ca="1">INDIRECT("'("&amp;$A$4&amp;")'!c36")</f>
        <v>0</v>
      </c>
      <c r="D36" s="20" t="str">
        <f t="shared" ca="1" si="0"/>
        <v>-</v>
      </c>
      <c r="E36" s="19"/>
      <c r="F36" s="19">
        <f ca="1">INDIRECT("'("&amp;$A$4&amp;")'!f36")</f>
        <v>0</v>
      </c>
      <c r="G36" s="19">
        <f ca="1">INDIRECT("'("&amp;$A$4&amp;")'!g36")</f>
        <v>0</v>
      </c>
      <c r="H36" s="20" t="str">
        <f t="shared" ca="1" si="1"/>
        <v>-</v>
      </c>
      <c r="I36" s="19"/>
      <c r="J36" s="14">
        <f t="shared" ca="1" si="2"/>
        <v>0</v>
      </c>
      <c r="K36" s="14">
        <f t="shared" ca="1" si="2"/>
        <v>0</v>
      </c>
      <c r="L36" s="15" t="str">
        <f t="shared" ca="1" si="3"/>
        <v>-</v>
      </c>
      <c r="M36" s="19"/>
      <c r="N36" s="19">
        <f ca="1">INDIRECT("'("&amp;$A$4&amp;")'!n36")</f>
        <v>2</v>
      </c>
      <c r="O36" s="19">
        <f ca="1">INDIRECT("'("&amp;$A$4&amp;")'!o36")</f>
        <v>5</v>
      </c>
      <c r="P36" s="20">
        <f t="shared" ca="1" si="4"/>
        <v>0.7142857142857143</v>
      </c>
      <c r="Q36" s="19"/>
      <c r="R36" s="19">
        <f ca="1">INDIRECT("'("&amp;$A$4&amp;")'!r36")</f>
        <v>0</v>
      </c>
      <c r="S36" s="19">
        <f ca="1">INDIRECT("'("&amp;$A$4&amp;")'!s36")</f>
        <v>1</v>
      </c>
      <c r="T36" s="20">
        <f t="shared" ca="1" si="5"/>
        <v>1</v>
      </c>
      <c r="U36" s="19"/>
      <c r="V36" s="14">
        <f t="shared" ca="1" si="6"/>
        <v>2</v>
      </c>
      <c r="W36" s="14">
        <f t="shared" ca="1" si="7"/>
        <v>6</v>
      </c>
      <c r="X36" s="20">
        <f t="shared" ca="1" si="8"/>
        <v>0.75</v>
      </c>
      <c r="Y36" s="16"/>
      <c r="Z36" s="16"/>
      <c r="AA36" s="16"/>
      <c r="AB36" s="16"/>
      <c r="AC36" s="16"/>
      <c r="AD36" s="16"/>
      <c r="AE36" s="16"/>
      <c r="AF36" s="16"/>
      <c r="AG36" s="16"/>
    </row>
    <row r="37" spans="1:33" s="6" customFormat="1" ht="15" customHeight="1" x14ac:dyDescent="0.35">
      <c r="A37" s="6" t="s">
        <v>39</v>
      </c>
      <c r="B37" s="19">
        <f ca="1">INDIRECT("'("&amp;$A$4&amp;")'!b37")</f>
        <v>25</v>
      </c>
      <c r="C37" s="19">
        <f ca="1">INDIRECT("'("&amp;$A$4&amp;")'!c37")</f>
        <v>5</v>
      </c>
      <c r="D37" s="20">
        <f t="shared" ca="1" si="0"/>
        <v>0.16666666666666666</v>
      </c>
      <c r="E37" s="19"/>
      <c r="F37" s="19">
        <f ca="1">INDIRECT("'("&amp;$A$4&amp;")'!f37")</f>
        <v>38</v>
      </c>
      <c r="G37" s="19">
        <f ca="1">INDIRECT("'("&amp;$A$4&amp;")'!g37")</f>
        <v>3</v>
      </c>
      <c r="H37" s="20">
        <f t="shared" ca="1" si="1"/>
        <v>7.3170731707317069E-2</v>
      </c>
      <c r="I37" s="19"/>
      <c r="J37" s="14">
        <f t="shared" ca="1" si="2"/>
        <v>63</v>
      </c>
      <c r="K37" s="14">
        <f t="shared" ca="1" si="2"/>
        <v>8</v>
      </c>
      <c r="L37" s="15">
        <f t="shared" ca="1" si="3"/>
        <v>0.11267605633802817</v>
      </c>
      <c r="M37" s="19"/>
      <c r="N37" s="19">
        <f ca="1">INDIRECT("'("&amp;$A$4&amp;")'!n37")</f>
        <v>3</v>
      </c>
      <c r="O37" s="19">
        <f ca="1">INDIRECT("'("&amp;$A$4&amp;")'!o37")</f>
        <v>1</v>
      </c>
      <c r="P37" s="20">
        <f t="shared" ca="1" si="4"/>
        <v>0.25</v>
      </c>
      <c r="Q37" s="19"/>
      <c r="R37" s="19">
        <f ca="1">INDIRECT("'("&amp;$A$4&amp;")'!r37")</f>
        <v>12</v>
      </c>
      <c r="S37" s="19">
        <f ca="1">INDIRECT("'("&amp;$A$4&amp;")'!s37")</f>
        <v>6</v>
      </c>
      <c r="T37" s="20">
        <f t="shared" ca="1" si="5"/>
        <v>0.33333333333333331</v>
      </c>
      <c r="U37" s="19"/>
      <c r="V37" s="14">
        <f t="shared" ca="1" si="6"/>
        <v>78</v>
      </c>
      <c r="W37" s="14">
        <f t="shared" ca="1" si="7"/>
        <v>15</v>
      </c>
      <c r="X37" s="20">
        <f t="shared" ca="1" si="8"/>
        <v>0.16129032258064516</v>
      </c>
      <c r="Y37" s="16"/>
      <c r="Z37" s="16"/>
      <c r="AA37" s="16"/>
      <c r="AB37" s="16"/>
      <c r="AC37" s="16"/>
      <c r="AD37" s="16"/>
      <c r="AE37" s="16"/>
      <c r="AF37" s="16"/>
      <c r="AG37" s="16"/>
    </row>
    <row r="38" spans="1:33" s="6" customFormat="1" ht="15" customHeight="1" x14ac:dyDescent="0.35">
      <c r="A38" s="6" t="s">
        <v>40</v>
      </c>
      <c r="B38" s="19">
        <f ca="1">INDIRECT("'("&amp;$A$4&amp;")'!b38")</f>
        <v>7</v>
      </c>
      <c r="C38" s="19">
        <f ca="1">INDIRECT("'("&amp;$A$4&amp;")'!c38")</f>
        <v>2</v>
      </c>
      <c r="D38" s="20">
        <f t="shared" ca="1" si="0"/>
        <v>0.22222222222222221</v>
      </c>
      <c r="E38" s="19"/>
      <c r="F38" s="19">
        <f ca="1">INDIRECT("'("&amp;$A$4&amp;")'!f38")</f>
        <v>40</v>
      </c>
      <c r="G38" s="19">
        <f ca="1">INDIRECT("'("&amp;$A$4&amp;")'!g38")</f>
        <v>8</v>
      </c>
      <c r="H38" s="20">
        <f t="shared" ca="1" si="1"/>
        <v>0.16666666666666666</v>
      </c>
      <c r="I38" s="19"/>
      <c r="J38" s="14">
        <f t="shared" ca="1" si="2"/>
        <v>47</v>
      </c>
      <c r="K38" s="14">
        <f t="shared" ca="1" si="2"/>
        <v>10</v>
      </c>
      <c r="L38" s="15">
        <f t="shared" ca="1" si="3"/>
        <v>0.17543859649122806</v>
      </c>
      <c r="M38" s="19"/>
      <c r="N38" s="19">
        <f ca="1">INDIRECT("'("&amp;$A$4&amp;")'!n38")</f>
        <v>0</v>
      </c>
      <c r="O38" s="19">
        <f ca="1">INDIRECT("'("&amp;$A$4&amp;")'!o38")</f>
        <v>4</v>
      </c>
      <c r="P38" s="20">
        <f t="shared" ca="1" si="4"/>
        <v>1</v>
      </c>
      <c r="Q38" s="19"/>
      <c r="R38" s="19">
        <f ca="1">INDIRECT("'("&amp;$A$4&amp;")'!r38")</f>
        <v>4</v>
      </c>
      <c r="S38" s="19">
        <f ca="1">INDIRECT("'("&amp;$A$4&amp;")'!s38")</f>
        <v>5</v>
      </c>
      <c r="T38" s="20">
        <f t="shared" ca="1" si="5"/>
        <v>0.55555555555555558</v>
      </c>
      <c r="U38" s="19"/>
      <c r="V38" s="14">
        <f t="shared" ca="1" si="6"/>
        <v>51</v>
      </c>
      <c r="W38" s="14">
        <f t="shared" ca="1" si="7"/>
        <v>19</v>
      </c>
      <c r="X38" s="20">
        <f t="shared" ca="1" si="8"/>
        <v>0.27142857142857141</v>
      </c>
      <c r="Y38" s="16"/>
      <c r="Z38" s="16"/>
      <c r="AA38" s="16"/>
      <c r="AB38" s="16"/>
      <c r="AC38" s="16"/>
      <c r="AD38" s="16"/>
      <c r="AE38" s="16"/>
      <c r="AF38" s="16"/>
      <c r="AG38" s="16"/>
    </row>
    <row r="39" spans="1:33" s="6" customFormat="1" ht="15" customHeight="1" x14ac:dyDescent="0.35">
      <c r="A39" s="6" t="s">
        <v>41</v>
      </c>
      <c r="B39" s="19">
        <f ca="1">INDIRECT("'("&amp;$A$4&amp;")'!b39")</f>
        <v>8</v>
      </c>
      <c r="C39" s="19">
        <f ca="1">INDIRECT("'("&amp;$A$4&amp;")'!c39")</f>
        <v>1</v>
      </c>
      <c r="D39" s="20">
        <f t="shared" ca="1" si="0"/>
        <v>0.1111111111111111</v>
      </c>
      <c r="E39" s="19"/>
      <c r="F39" s="19">
        <f ca="1">INDIRECT("'("&amp;$A$4&amp;")'!f39")</f>
        <v>16</v>
      </c>
      <c r="G39" s="19">
        <f ca="1">INDIRECT("'("&amp;$A$4&amp;")'!g39")</f>
        <v>3</v>
      </c>
      <c r="H39" s="20">
        <f t="shared" ca="1" si="1"/>
        <v>0.15789473684210525</v>
      </c>
      <c r="I39" s="19"/>
      <c r="J39" s="14">
        <f t="shared" ca="1" si="2"/>
        <v>24</v>
      </c>
      <c r="K39" s="14">
        <f t="shared" ca="1" si="2"/>
        <v>4</v>
      </c>
      <c r="L39" s="15">
        <f t="shared" ca="1" si="3"/>
        <v>0.14285714285714285</v>
      </c>
      <c r="M39" s="19"/>
      <c r="N39" s="19">
        <f ca="1">INDIRECT("'("&amp;$A$4&amp;")'!n39")</f>
        <v>0</v>
      </c>
      <c r="O39" s="19">
        <f ca="1">INDIRECT("'("&amp;$A$4&amp;")'!o39")</f>
        <v>0</v>
      </c>
      <c r="P39" s="20" t="str">
        <f t="shared" ca="1" si="4"/>
        <v>-</v>
      </c>
      <c r="Q39" s="19"/>
      <c r="R39" s="19">
        <f ca="1">INDIRECT("'("&amp;$A$4&amp;")'!r39")</f>
        <v>1</v>
      </c>
      <c r="S39" s="19">
        <f ca="1">INDIRECT("'("&amp;$A$4&amp;")'!s39")</f>
        <v>0</v>
      </c>
      <c r="T39" s="20">
        <f t="shared" ca="1" si="5"/>
        <v>0</v>
      </c>
      <c r="U39" s="19"/>
      <c r="V39" s="14">
        <f t="shared" ca="1" si="6"/>
        <v>25</v>
      </c>
      <c r="W39" s="14">
        <f t="shared" ca="1" si="7"/>
        <v>4</v>
      </c>
      <c r="X39" s="20">
        <f t="shared" ca="1" si="8"/>
        <v>0.13793103448275862</v>
      </c>
      <c r="Y39" s="16"/>
      <c r="Z39" s="16"/>
      <c r="AA39" s="16"/>
      <c r="AB39" s="16"/>
      <c r="AC39" s="16"/>
      <c r="AD39" s="16"/>
      <c r="AE39" s="16"/>
      <c r="AF39" s="16"/>
      <c r="AG39" s="16"/>
    </row>
    <row r="40" spans="1:33" s="6" customFormat="1" ht="15" customHeight="1" x14ac:dyDescent="0.35">
      <c r="A40" s="5" t="s">
        <v>42</v>
      </c>
      <c r="B40" s="19">
        <f ca="1">INDIRECT("'("&amp;$A$4&amp;")'!b40")</f>
        <v>21</v>
      </c>
      <c r="C40" s="19">
        <f ca="1">INDIRECT("'("&amp;$A$4&amp;")'!c40")</f>
        <v>9</v>
      </c>
      <c r="D40" s="20">
        <f t="shared" ca="1" si="0"/>
        <v>0.3</v>
      </c>
      <c r="E40" s="19"/>
      <c r="F40" s="19">
        <f ca="1">INDIRECT("'("&amp;$A$4&amp;")'!f40")</f>
        <v>24</v>
      </c>
      <c r="G40" s="19">
        <f ca="1">INDIRECT("'("&amp;$A$4&amp;")'!g40")</f>
        <v>1</v>
      </c>
      <c r="H40" s="20">
        <f t="shared" ca="1" si="1"/>
        <v>0.04</v>
      </c>
      <c r="I40" s="19"/>
      <c r="J40" s="14">
        <f t="shared" ca="1" si="2"/>
        <v>45</v>
      </c>
      <c r="K40" s="14">
        <f t="shared" ca="1" si="2"/>
        <v>10</v>
      </c>
      <c r="L40" s="15">
        <f t="shared" ca="1" si="3"/>
        <v>0.18181818181818182</v>
      </c>
      <c r="M40" s="19"/>
      <c r="N40" s="19">
        <f ca="1">INDIRECT("'("&amp;$A$4&amp;")'!n40")</f>
        <v>0</v>
      </c>
      <c r="O40" s="19">
        <f ca="1">INDIRECT("'("&amp;$A$4&amp;")'!o40")</f>
        <v>0</v>
      </c>
      <c r="P40" s="20" t="str">
        <f t="shared" ca="1" si="4"/>
        <v>-</v>
      </c>
      <c r="Q40" s="19"/>
      <c r="R40" s="19">
        <f ca="1">INDIRECT("'("&amp;$A$4&amp;")'!r40")</f>
        <v>3</v>
      </c>
      <c r="S40" s="19">
        <f ca="1">INDIRECT("'("&amp;$A$4&amp;")'!s40")</f>
        <v>6</v>
      </c>
      <c r="T40" s="20">
        <f t="shared" ca="1" si="5"/>
        <v>0.66666666666666663</v>
      </c>
      <c r="U40" s="19"/>
      <c r="V40" s="14">
        <f t="shared" ca="1" si="6"/>
        <v>48</v>
      </c>
      <c r="W40" s="14">
        <f t="shared" ca="1" si="7"/>
        <v>16</v>
      </c>
      <c r="X40" s="20">
        <f t="shared" ca="1" si="8"/>
        <v>0.25</v>
      </c>
      <c r="Y40" s="16"/>
      <c r="Z40" s="16"/>
      <c r="AA40" s="16"/>
      <c r="AB40" s="16"/>
      <c r="AC40" s="16"/>
      <c r="AD40" s="16"/>
      <c r="AE40" s="16"/>
      <c r="AF40" s="16"/>
      <c r="AG40" s="16"/>
    </row>
    <row r="41" spans="1:33" s="6" customFormat="1" ht="15" customHeight="1" x14ac:dyDescent="0.35">
      <c r="A41" s="5" t="s">
        <v>43</v>
      </c>
      <c r="B41" s="19">
        <f ca="1">INDIRECT("'("&amp;$A$4&amp;")'!b41")</f>
        <v>6</v>
      </c>
      <c r="C41" s="19">
        <f ca="1">INDIRECT("'("&amp;$A$4&amp;")'!c41")</f>
        <v>2</v>
      </c>
      <c r="D41" s="20">
        <f t="shared" ca="1" si="0"/>
        <v>0.25</v>
      </c>
      <c r="E41" s="19"/>
      <c r="F41" s="19">
        <f ca="1">INDIRECT("'("&amp;$A$4&amp;")'!f41")</f>
        <v>44</v>
      </c>
      <c r="G41" s="19">
        <f ca="1">INDIRECT("'("&amp;$A$4&amp;")'!g41")</f>
        <v>12</v>
      </c>
      <c r="H41" s="20">
        <f t="shared" ca="1" si="1"/>
        <v>0.21428571428571427</v>
      </c>
      <c r="I41" s="19"/>
      <c r="J41" s="14">
        <f t="shared" ca="1" si="2"/>
        <v>50</v>
      </c>
      <c r="K41" s="14">
        <f t="shared" ca="1" si="2"/>
        <v>14</v>
      </c>
      <c r="L41" s="15">
        <f t="shared" ca="1" si="3"/>
        <v>0.21875</v>
      </c>
      <c r="M41" s="19"/>
      <c r="N41" s="19">
        <f ca="1">INDIRECT("'("&amp;$A$4&amp;")'!n41")</f>
        <v>0</v>
      </c>
      <c r="O41" s="19">
        <f ca="1">INDIRECT("'("&amp;$A$4&amp;")'!o41")</f>
        <v>0</v>
      </c>
      <c r="P41" s="20" t="str">
        <f t="shared" ca="1" si="4"/>
        <v>-</v>
      </c>
      <c r="Q41" s="19"/>
      <c r="R41" s="19">
        <f ca="1">INDIRECT("'("&amp;$A$4&amp;")'!r41")</f>
        <v>2</v>
      </c>
      <c r="S41" s="19">
        <f ca="1">INDIRECT("'("&amp;$A$4&amp;")'!s41")</f>
        <v>7</v>
      </c>
      <c r="T41" s="20">
        <f t="shared" ca="1" si="5"/>
        <v>0.77777777777777779</v>
      </c>
      <c r="U41" s="19"/>
      <c r="V41" s="14">
        <f t="shared" ca="1" si="6"/>
        <v>52</v>
      </c>
      <c r="W41" s="14">
        <f t="shared" ca="1" si="7"/>
        <v>21</v>
      </c>
      <c r="X41" s="20">
        <f t="shared" ca="1" si="8"/>
        <v>0.28767123287671231</v>
      </c>
      <c r="Y41" s="16"/>
      <c r="Z41" s="16"/>
      <c r="AA41" s="16"/>
      <c r="AB41" s="16"/>
      <c r="AC41" s="16"/>
      <c r="AD41" s="16"/>
      <c r="AE41" s="16"/>
      <c r="AF41" s="16"/>
      <c r="AG41" s="16"/>
    </row>
    <row r="42" spans="1:33" s="6" customFormat="1" ht="15" customHeight="1" x14ac:dyDescent="0.35">
      <c r="A42" s="5" t="s">
        <v>44</v>
      </c>
      <c r="B42" s="19">
        <f ca="1">INDIRECT("'("&amp;$A$4&amp;")'!b42")</f>
        <v>12</v>
      </c>
      <c r="C42" s="19">
        <f ca="1">INDIRECT("'("&amp;$A$4&amp;")'!c42")</f>
        <v>0</v>
      </c>
      <c r="D42" s="20">
        <f t="shared" ca="1" si="0"/>
        <v>0</v>
      </c>
      <c r="E42" s="19"/>
      <c r="F42" s="19">
        <f ca="1">INDIRECT("'("&amp;$A$4&amp;")'!f42")</f>
        <v>23</v>
      </c>
      <c r="G42" s="19">
        <f ca="1">INDIRECT("'("&amp;$A$4&amp;")'!g42")</f>
        <v>5</v>
      </c>
      <c r="H42" s="20">
        <f t="shared" ca="1" si="1"/>
        <v>0.17857142857142858</v>
      </c>
      <c r="I42" s="19"/>
      <c r="J42" s="14">
        <f t="shared" ca="1" si="2"/>
        <v>35</v>
      </c>
      <c r="K42" s="14">
        <f t="shared" ca="1" si="2"/>
        <v>5</v>
      </c>
      <c r="L42" s="15">
        <f t="shared" ca="1" si="3"/>
        <v>0.125</v>
      </c>
      <c r="M42" s="19"/>
      <c r="N42" s="19">
        <f ca="1">INDIRECT("'("&amp;$A$4&amp;")'!n42")</f>
        <v>0</v>
      </c>
      <c r="O42" s="19">
        <f ca="1">INDIRECT("'("&amp;$A$4&amp;")'!o42")</f>
        <v>2</v>
      </c>
      <c r="P42" s="20">
        <f t="shared" ca="1" si="4"/>
        <v>1</v>
      </c>
      <c r="Q42" s="19"/>
      <c r="R42" s="19">
        <f ca="1">INDIRECT("'("&amp;$A$4&amp;")'!r42")</f>
        <v>4</v>
      </c>
      <c r="S42" s="19">
        <f ca="1">INDIRECT("'("&amp;$A$4&amp;")'!s42")</f>
        <v>4</v>
      </c>
      <c r="T42" s="20">
        <f t="shared" ca="1" si="5"/>
        <v>0.5</v>
      </c>
      <c r="U42" s="19"/>
      <c r="V42" s="14">
        <f t="shared" ca="1" si="6"/>
        <v>39</v>
      </c>
      <c r="W42" s="14">
        <f t="shared" ca="1" si="7"/>
        <v>11</v>
      </c>
      <c r="X42" s="20">
        <f t="shared" ca="1" si="8"/>
        <v>0.22</v>
      </c>
      <c r="Y42" s="16"/>
      <c r="Z42" s="16"/>
      <c r="AA42" s="16"/>
      <c r="AB42" s="16"/>
      <c r="AC42" s="16"/>
      <c r="AD42" s="16"/>
      <c r="AE42" s="16"/>
      <c r="AF42" s="16"/>
      <c r="AG42" s="16"/>
    </row>
    <row r="43" spans="1:33" s="6" customFormat="1" ht="15" customHeight="1" x14ac:dyDescent="0.35">
      <c r="A43" s="5" t="s">
        <v>45</v>
      </c>
      <c r="B43" s="19">
        <f ca="1">INDIRECT("'("&amp;$A$4&amp;")'!b43")</f>
        <v>11</v>
      </c>
      <c r="C43" s="19">
        <f ca="1">INDIRECT("'("&amp;$A$4&amp;")'!c43")</f>
        <v>2</v>
      </c>
      <c r="D43" s="20">
        <f t="shared" ca="1" si="0"/>
        <v>0.15384615384615385</v>
      </c>
      <c r="E43" s="19"/>
      <c r="F43" s="19">
        <f ca="1">INDIRECT("'("&amp;$A$4&amp;")'!f43")</f>
        <v>38</v>
      </c>
      <c r="G43" s="19">
        <f ca="1">INDIRECT("'("&amp;$A$4&amp;")'!g43")</f>
        <v>6</v>
      </c>
      <c r="H43" s="20">
        <f t="shared" ca="1" si="1"/>
        <v>0.13636363636363635</v>
      </c>
      <c r="I43" s="19"/>
      <c r="J43" s="14">
        <f t="shared" ca="1" si="2"/>
        <v>49</v>
      </c>
      <c r="K43" s="14">
        <f t="shared" ca="1" si="2"/>
        <v>8</v>
      </c>
      <c r="L43" s="15">
        <f t="shared" ca="1" si="3"/>
        <v>0.14035087719298245</v>
      </c>
      <c r="M43" s="19"/>
      <c r="N43" s="19">
        <f ca="1">INDIRECT("'("&amp;$A$4&amp;")'!n43")</f>
        <v>0</v>
      </c>
      <c r="O43" s="19">
        <f ca="1">INDIRECT("'("&amp;$A$4&amp;")'!o43")</f>
        <v>0</v>
      </c>
      <c r="P43" s="20" t="str">
        <f t="shared" ca="1" si="4"/>
        <v>-</v>
      </c>
      <c r="Q43" s="19"/>
      <c r="R43" s="19">
        <f ca="1">INDIRECT("'("&amp;$A$4&amp;")'!r43")</f>
        <v>10</v>
      </c>
      <c r="S43" s="19">
        <f ca="1">INDIRECT("'("&amp;$A$4&amp;")'!s43")</f>
        <v>14</v>
      </c>
      <c r="T43" s="20">
        <f t="shared" ca="1" si="5"/>
        <v>0.58333333333333337</v>
      </c>
      <c r="U43" s="19"/>
      <c r="V43" s="14">
        <f t="shared" ca="1" si="6"/>
        <v>59</v>
      </c>
      <c r="W43" s="14">
        <f t="shared" ca="1" si="7"/>
        <v>22</v>
      </c>
      <c r="X43" s="20">
        <f t="shared" ca="1" si="8"/>
        <v>0.27160493827160492</v>
      </c>
      <c r="Y43" s="16"/>
      <c r="Z43" s="16"/>
      <c r="AA43" s="16"/>
      <c r="AB43" s="16"/>
      <c r="AC43" s="16"/>
      <c r="AD43" s="16"/>
      <c r="AE43" s="16"/>
      <c r="AF43" s="16"/>
      <c r="AG43" s="16"/>
    </row>
    <row r="44" spans="1:33" s="6" customFormat="1" ht="15" customHeight="1" x14ac:dyDescent="0.35">
      <c r="A44" s="5" t="s">
        <v>46</v>
      </c>
      <c r="B44" s="19">
        <f ca="1">INDIRECT("'("&amp;$A$4&amp;")'!b44")</f>
        <v>7</v>
      </c>
      <c r="C44" s="19">
        <f ca="1">INDIRECT("'("&amp;$A$4&amp;")'!c44")</f>
        <v>1</v>
      </c>
      <c r="D44" s="20">
        <f t="shared" ca="1" si="0"/>
        <v>0.125</v>
      </c>
      <c r="E44" s="19"/>
      <c r="F44" s="19">
        <f ca="1">INDIRECT("'("&amp;$A$4&amp;")'!f44")</f>
        <v>36</v>
      </c>
      <c r="G44" s="19">
        <f ca="1">INDIRECT("'("&amp;$A$4&amp;")'!g44")</f>
        <v>10</v>
      </c>
      <c r="H44" s="20">
        <f t="shared" ca="1" si="1"/>
        <v>0.21739130434782608</v>
      </c>
      <c r="I44" s="19"/>
      <c r="J44" s="14">
        <f t="shared" ca="1" si="2"/>
        <v>43</v>
      </c>
      <c r="K44" s="14">
        <f t="shared" ca="1" si="2"/>
        <v>11</v>
      </c>
      <c r="L44" s="15">
        <f t="shared" ca="1" si="3"/>
        <v>0.20370370370370369</v>
      </c>
      <c r="M44" s="19"/>
      <c r="N44" s="19">
        <f ca="1">INDIRECT("'("&amp;$A$4&amp;")'!n44")</f>
        <v>0</v>
      </c>
      <c r="O44" s="19">
        <f ca="1">INDIRECT("'("&amp;$A$4&amp;")'!o44")</f>
        <v>0</v>
      </c>
      <c r="P44" s="20" t="str">
        <f t="shared" ca="1" si="4"/>
        <v>-</v>
      </c>
      <c r="Q44" s="19"/>
      <c r="R44" s="19">
        <f ca="1">INDIRECT("'("&amp;$A$4&amp;")'!r44")</f>
        <v>5</v>
      </c>
      <c r="S44" s="19">
        <f ca="1">INDIRECT("'("&amp;$A$4&amp;")'!s44")</f>
        <v>1</v>
      </c>
      <c r="T44" s="20">
        <f t="shared" ca="1" si="5"/>
        <v>0.16666666666666666</v>
      </c>
      <c r="U44" s="19"/>
      <c r="V44" s="14">
        <f t="shared" ca="1" si="6"/>
        <v>48</v>
      </c>
      <c r="W44" s="14">
        <f t="shared" ca="1" si="7"/>
        <v>12</v>
      </c>
      <c r="X44" s="20">
        <f t="shared" ca="1" si="8"/>
        <v>0.2</v>
      </c>
      <c r="Y44" s="16"/>
      <c r="Z44" s="16"/>
      <c r="AA44" s="16"/>
      <c r="AB44" s="16"/>
      <c r="AC44" s="16"/>
      <c r="AD44" s="16"/>
      <c r="AE44" s="16"/>
      <c r="AF44" s="16"/>
      <c r="AG44" s="16"/>
    </row>
    <row r="45" spans="1:33" s="6" customFormat="1" ht="15" customHeight="1" x14ac:dyDescent="0.35">
      <c r="A45" s="5" t="s">
        <v>47</v>
      </c>
      <c r="B45" s="19">
        <f ca="1">INDIRECT("'("&amp;$A$4&amp;")'!b45")</f>
        <v>28</v>
      </c>
      <c r="C45" s="19">
        <f ca="1">INDIRECT("'("&amp;$A$4&amp;")'!c45")</f>
        <v>2</v>
      </c>
      <c r="D45" s="20">
        <f t="shared" ca="1" si="0"/>
        <v>6.6666666666666666E-2</v>
      </c>
      <c r="E45" s="19"/>
      <c r="F45" s="19">
        <f ca="1">INDIRECT("'("&amp;$A$4&amp;")'!f45")</f>
        <v>7</v>
      </c>
      <c r="G45" s="19">
        <f ca="1">INDIRECT("'("&amp;$A$4&amp;")'!g45")</f>
        <v>0</v>
      </c>
      <c r="H45" s="20">
        <f t="shared" ca="1" si="1"/>
        <v>0</v>
      </c>
      <c r="I45" s="19"/>
      <c r="J45" s="14">
        <f t="shared" ca="1" si="2"/>
        <v>35</v>
      </c>
      <c r="K45" s="14">
        <f t="shared" ca="1" si="2"/>
        <v>2</v>
      </c>
      <c r="L45" s="15">
        <f t="shared" ca="1" si="3"/>
        <v>5.4054054054054057E-2</v>
      </c>
      <c r="M45" s="19"/>
      <c r="N45" s="19">
        <f ca="1">INDIRECT("'("&amp;$A$4&amp;")'!n45")</f>
        <v>3</v>
      </c>
      <c r="O45" s="19">
        <f ca="1">INDIRECT("'("&amp;$A$4&amp;")'!o45")</f>
        <v>1</v>
      </c>
      <c r="P45" s="20">
        <f t="shared" ca="1" si="4"/>
        <v>0.25</v>
      </c>
      <c r="Q45" s="19"/>
      <c r="R45" s="19">
        <f ca="1">INDIRECT("'("&amp;$A$4&amp;")'!r45")</f>
        <v>15</v>
      </c>
      <c r="S45" s="19">
        <f ca="1">INDIRECT("'("&amp;$A$4&amp;")'!s45")</f>
        <v>1</v>
      </c>
      <c r="T45" s="20">
        <f t="shared" ca="1" si="5"/>
        <v>6.25E-2</v>
      </c>
      <c r="U45" s="19"/>
      <c r="V45" s="14">
        <f t="shared" ca="1" si="6"/>
        <v>53</v>
      </c>
      <c r="W45" s="14">
        <f t="shared" ca="1" si="7"/>
        <v>4</v>
      </c>
      <c r="X45" s="20">
        <f t="shared" ca="1" si="8"/>
        <v>7.0175438596491224E-2</v>
      </c>
      <c r="Y45" s="16"/>
      <c r="Z45" s="16"/>
      <c r="AA45" s="16"/>
      <c r="AB45" s="16"/>
      <c r="AC45" s="16"/>
      <c r="AD45" s="16"/>
      <c r="AE45" s="16"/>
      <c r="AF45" s="16"/>
      <c r="AG45" s="16"/>
    </row>
    <row r="46" spans="1:33" s="6" customFormat="1" ht="15" customHeight="1" x14ac:dyDescent="0.35">
      <c r="A46" s="5" t="s">
        <v>48</v>
      </c>
      <c r="B46" s="19">
        <f ca="1">INDIRECT("'("&amp;$A$4&amp;")'!b46")</f>
        <v>13</v>
      </c>
      <c r="C46" s="19">
        <f ca="1">INDIRECT("'("&amp;$A$4&amp;")'!c46")</f>
        <v>0</v>
      </c>
      <c r="D46" s="20">
        <f t="shared" ca="1" si="0"/>
        <v>0</v>
      </c>
      <c r="E46" s="19"/>
      <c r="F46" s="19">
        <f ca="1">INDIRECT("'("&amp;$A$4&amp;")'!f46")</f>
        <v>16</v>
      </c>
      <c r="G46" s="19">
        <f ca="1">INDIRECT("'("&amp;$A$4&amp;")'!g46")</f>
        <v>3</v>
      </c>
      <c r="H46" s="20">
        <f t="shared" ca="1" si="1"/>
        <v>0.15789473684210525</v>
      </c>
      <c r="I46" s="19"/>
      <c r="J46" s="14">
        <f t="shared" ca="1" si="2"/>
        <v>29</v>
      </c>
      <c r="K46" s="14">
        <f t="shared" ca="1" si="2"/>
        <v>3</v>
      </c>
      <c r="L46" s="15">
        <f t="shared" ca="1" si="3"/>
        <v>9.375E-2</v>
      </c>
      <c r="M46" s="19"/>
      <c r="N46" s="19">
        <f ca="1">INDIRECT("'("&amp;$A$4&amp;")'!n46")</f>
        <v>0</v>
      </c>
      <c r="O46" s="19">
        <f ca="1">INDIRECT("'("&amp;$A$4&amp;")'!o46")</f>
        <v>1</v>
      </c>
      <c r="P46" s="20">
        <f t="shared" ca="1" si="4"/>
        <v>1</v>
      </c>
      <c r="Q46" s="19"/>
      <c r="R46" s="19">
        <f ca="1">INDIRECT("'("&amp;$A$4&amp;")'!r46")</f>
        <v>4</v>
      </c>
      <c r="S46" s="19">
        <f ca="1">INDIRECT("'("&amp;$A$4&amp;")'!s46")</f>
        <v>9</v>
      </c>
      <c r="T46" s="20">
        <f t="shared" ca="1" si="5"/>
        <v>0.69230769230769229</v>
      </c>
      <c r="U46" s="19"/>
      <c r="V46" s="14">
        <f t="shared" ca="1" si="6"/>
        <v>33</v>
      </c>
      <c r="W46" s="14">
        <f t="shared" ca="1" si="7"/>
        <v>13</v>
      </c>
      <c r="X46" s="20">
        <f t="shared" ca="1" si="8"/>
        <v>0.28260869565217389</v>
      </c>
      <c r="Y46" s="16"/>
      <c r="Z46" s="16"/>
      <c r="AA46" s="16"/>
      <c r="AB46" s="16"/>
      <c r="AC46" s="16"/>
      <c r="AD46" s="16"/>
      <c r="AE46" s="16"/>
      <c r="AF46" s="16"/>
      <c r="AG46" s="16"/>
    </row>
    <row r="47" spans="1:33" s="6" customFormat="1" ht="15" customHeight="1" x14ac:dyDescent="0.35">
      <c r="A47" s="5" t="s">
        <v>49</v>
      </c>
      <c r="B47" s="19">
        <f ca="1">INDIRECT("'("&amp;$A$4&amp;")'!b47")</f>
        <v>13</v>
      </c>
      <c r="C47" s="19">
        <f ca="1">INDIRECT("'("&amp;$A$4&amp;")'!c47")</f>
        <v>4</v>
      </c>
      <c r="D47" s="20">
        <f t="shared" ca="1" si="0"/>
        <v>0.23529411764705882</v>
      </c>
      <c r="E47" s="19"/>
      <c r="F47" s="19">
        <f ca="1">INDIRECT("'("&amp;$A$4&amp;")'!f47")</f>
        <v>38</v>
      </c>
      <c r="G47" s="19">
        <f ca="1">INDIRECT("'("&amp;$A$4&amp;")'!g47")</f>
        <v>4</v>
      </c>
      <c r="H47" s="20">
        <f t="shared" ca="1" si="1"/>
        <v>9.5238095238095233E-2</v>
      </c>
      <c r="I47" s="19"/>
      <c r="J47" s="14">
        <f t="shared" ca="1" si="2"/>
        <v>51</v>
      </c>
      <c r="K47" s="14">
        <f t="shared" ca="1" si="2"/>
        <v>8</v>
      </c>
      <c r="L47" s="15">
        <f t="shared" ca="1" si="3"/>
        <v>0.13559322033898305</v>
      </c>
      <c r="M47" s="19"/>
      <c r="N47" s="19">
        <f ca="1">INDIRECT("'("&amp;$A$4&amp;")'!n47")</f>
        <v>0</v>
      </c>
      <c r="O47" s="19">
        <f ca="1">INDIRECT("'("&amp;$A$4&amp;")'!o47")</f>
        <v>0</v>
      </c>
      <c r="P47" s="20" t="str">
        <f t="shared" ca="1" si="4"/>
        <v>-</v>
      </c>
      <c r="Q47" s="19"/>
      <c r="R47" s="19">
        <f ca="1">INDIRECT("'("&amp;$A$4&amp;")'!r47")</f>
        <v>4</v>
      </c>
      <c r="S47" s="19">
        <f ca="1">INDIRECT("'("&amp;$A$4&amp;")'!s47")</f>
        <v>7</v>
      </c>
      <c r="T47" s="20">
        <f t="shared" ca="1" si="5"/>
        <v>0.63636363636363635</v>
      </c>
      <c r="U47" s="19"/>
      <c r="V47" s="14">
        <f t="shared" ca="1" si="6"/>
        <v>55</v>
      </c>
      <c r="W47" s="14">
        <f t="shared" ca="1" si="7"/>
        <v>15</v>
      </c>
      <c r="X47" s="20">
        <f t="shared" ca="1" si="8"/>
        <v>0.21428571428571427</v>
      </c>
      <c r="Y47" s="16"/>
      <c r="Z47" s="16"/>
      <c r="AA47" s="16"/>
      <c r="AB47" s="16"/>
      <c r="AC47" s="16"/>
      <c r="AD47" s="16"/>
      <c r="AE47" s="16"/>
      <c r="AF47" s="16"/>
      <c r="AG47" s="16"/>
    </row>
    <row r="48" spans="1:33" s="6" customFormat="1" ht="15" customHeight="1" x14ac:dyDescent="0.35">
      <c r="A48" s="5" t="s">
        <v>50</v>
      </c>
      <c r="B48" s="19">
        <f ca="1">INDIRECT("'("&amp;$A$4&amp;")'!b48")</f>
        <v>0</v>
      </c>
      <c r="C48" s="19">
        <f ca="1">INDIRECT("'("&amp;$A$4&amp;")'!c48")</f>
        <v>0</v>
      </c>
      <c r="D48" s="20" t="str">
        <f t="shared" ref="D48" ca="1" si="9">IF(B48+C48=0,"-",(C48/(B48+C48)))</f>
        <v>-</v>
      </c>
      <c r="E48" s="19"/>
      <c r="F48" s="19">
        <f ca="1">INDIRECT("'("&amp;$A$4&amp;")'!f48")</f>
        <v>3</v>
      </c>
      <c r="G48" s="19">
        <f ca="1">INDIRECT("'("&amp;$A$4&amp;")'!g48")</f>
        <v>0</v>
      </c>
      <c r="H48" s="20">
        <f t="shared" ref="H48" ca="1" si="10">IF(F48+G48=0,"-",(G48/(F48+G48)))</f>
        <v>0</v>
      </c>
      <c r="I48" s="19"/>
      <c r="J48" s="14">
        <f t="shared" ref="J48" ca="1" si="11">B48+F48</f>
        <v>3</v>
      </c>
      <c r="K48" s="14">
        <f t="shared" ref="K48" ca="1" si="12">C48+G48</f>
        <v>0</v>
      </c>
      <c r="L48" s="15">
        <f t="shared" ref="L48" ca="1" si="13">IF(J48+K48=0,"-",(K48/(J48+K48)))</f>
        <v>0</v>
      </c>
      <c r="M48" s="19"/>
      <c r="N48" s="19">
        <f ca="1">INDIRECT("'("&amp;$A$4&amp;")'!n48")</f>
        <v>0</v>
      </c>
      <c r="O48" s="19">
        <f ca="1">INDIRECT("'("&amp;$A$4&amp;")'!o48")</f>
        <v>0</v>
      </c>
      <c r="P48" s="20" t="str">
        <f t="shared" ref="P48" ca="1" si="14">IF(N48+O48=0,"-",(O48/(N48+O48)))</f>
        <v>-</v>
      </c>
      <c r="Q48" s="19"/>
      <c r="R48" s="19">
        <f ca="1">INDIRECT("'("&amp;$A$4&amp;")'!r48")</f>
        <v>0</v>
      </c>
      <c r="S48" s="19">
        <f ca="1">INDIRECT("'("&amp;$A$4&amp;")'!s48")</f>
        <v>1</v>
      </c>
      <c r="T48" s="20">
        <f t="shared" ref="T48" ca="1" si="15">IF(R48+S48=0,"-",(S48/(R48+S48)))</f>
        <v>1</v>
      </c>
      <c r="U48" s="19"/>
      <c r="V48" s="14">
        <f t="shared" ref="V48" ca="1" si="16">J48+N48+R48</f>
        <v>3</v>
      </c>
      <c r="W48" s="14">
        <f t="shared" ref="W48" ca="1" si="17">K48+O48+S48</f>
        <v>1</v>
      </c>
      <c r="X48" s="20">
        <f t="shared" ref="X48" ca="1" si="18">IF(V48+W48=0,"-",(W48/(V48+W48)))</f>
        <v>0.25</v>
      </c>
      <c r="Y48" s="16"/>
      <c r="Z48" s="16"/>
      <c r="AA48" s="16"/>
      <c r="AB48" s="16"/>
      <c r="AC48" s="16"/>
      <c r="AD48" s="16"/>
      <c r="AE48" s="16"/>
      <c r="AF48" s="16"/>
      <c r="AG48" s="16"/>
    </row>
    <row r="49" spans="1:33" s="6" customFormat="1" ht="15" customHeight="1" x14ac:dyDescent="0.35">
      <c r="A49" s="22" t="s">
        <v>51</v>
      </c>
      <c r="B49" s="14">
        <f ca="1">SUM(B50:B56)</f>
        <v>691</v>
      </c>
      <c r="C49" s="14">
        <f ca="1">SUM(C50:C56)</f>
        <v>118</v>
      </c>
      <c r="D49" s="15">
        <f t="shared" ca="1" si="0"/>
        <v>0.14585908529048208</v>
      </c>
      <c r="E49" s="14"/>
      <c r="F49" s="14">
        <f ca="1">SUM(F50:F56)</f>
        <v>41</v>
      </c>
      <c r="G49" s="14">
        <f ca="1">SUM(G50:G56)</f>
        <v>7</v>
      </c>
      <c r="H49" s="15">
        <f t="shared" ca="1" si="1"/>
        <v>0.14583333333333334</v>
      </c>
      <c r="I49" s="14"/>
      <c r="J49" s="14">
        <f t="shared" ca="1" si="2"/>
        <v>732</v>
      </c>
      <c r="K49" s="14">
        <f t="shared" ca="1" si="2"/>
        <v>125</v>
      </c>
      <c r="L49" s="15">
        <f t="shared" ca="1" si="3"/>
        <v>0.14585764294049008</v>
      </c>
      <c r="M49" s="14"/>
      <c r="N49" s="14">
        <f ca="1">SUM(N50:N56)</f>
        <v>5</v>
      </c>
      <c r="O49" s="14">
        <f ca="1">SUM(O50:O56)</f>
        <v>17</v>
      </c>
      <c r="P49" s="15">
        <f t="shared" ca="1" si="4"/>
        <v>0.77272727272727271</v>
      </c>
      <c r="Q49" s="14"/>
      <c r="R49" s="14">
        <f ca="1">SUM(R50:R56)</f>
        <v>151</v>
      </c>
      <c r="S49" s="14">
        <f ca="1">SUM(S50:S56)</f>
        <v>183</v>
      </c>
      <c r="T49" s="15">
        <f t="shared" ca="1" si="5"/>
        <v>0.54790419161676651</v>
      </c>
      <c r="U49" s="14"/>
      <c r="V49" s="14">
        <f ca="1">SUM(V50:V56)</f>
        <v>888</v>
      </c>
      <c r="W49" s="14">
        <f ca="1">SUM(W50:W56)</f>
        <v>325</v>
      </c>
      <c r="X49" s="15">
        <f t="shared" ca="1" si="8"/>
        <v>0.26793075020610058</v>
      </c>
      <c r="Y49" s="16"/>
      <c r="Z49" s="16"/>
      <c r="AA49" s="16"/>
      <c r="AB49" s="16"/>
      <c r="AC49" s="16"/>
      <c r="AD49" s="16"/>
      <c r="AE49" s="16"/>
      <c r="AF49" s="16"/>
      <c r="AG49" s="16"/>
    </row>
    <row r="50" spans="1:33" s="6" customFormat="1" ht="15" customHeight="1" x14ac:dyDescent="0.35">
      <c r="A50" s="5" t="s">
        <v>52</v>
      </c>
      <c r="B50" s="19">
        <f ca="1">INDIRECT("'("&amp;$A$4&amp;")'!b50")</f>
        <v>106</v>
      </c>
      <c r="C50" s="19">
        <f ca="1">INDIRECT("'("&amp;$A$4&amp;")'!c50")</f>
        <v>19</v>
      </c>
      <c r="D50" s="20">
        <f t="shared" ca="1" si="0"/>
        <v>0.152</v>
      </c>
      <c r="E50" s="19"/>
      <c r="F50" s="19">
        <f ca="1">INDIRECT("'("&amp;$A$4&amp;")'!f50")</f>
        <v>0</v>
      </c>
      <c r="G50" s="19">
        <f ca="1">INDIRECT("'("&amp;$A$4&amp;")'!g50")</f>
        <v>0</v>
      </c>
      <c r="H50" s="20" t="str">
        <f t="shared" ca="1" si="1"/>
        <v>-</v>
      </c>
      <c r="I50" s="19"/>
      <c r="J50" s="14">
        <f t="shared" ca="1" si="2"/>
        <v>106</v>
      </c>
      <c r="K50" s="14">
        <f t="shared" ca="1" si="2"/>
        <v>19</v>
      </c>
      <c r="L50" s="15">
        <f t="shared" ca="1" si="3"/>
        <v>0.152</v>
      </c>
      <c r="M50" s="19"/>
      <c r="N50" s="19">
        <f ca="1">INDIRECT("'("&amp;$A$4&amp;")'!n50")</f>
        <v>0</v>
      </c>
      <c r="O50" s="19">
        <f ca="1">INDIRECT("'("&amp;$A$4&amp;")'!o50")</f>
        <v>0</v>
      </c>
      <c r="P50" s="20" t="str">
        <f t="shared" ca="1" si="4"/>
        <v>-</v>
      </c>
      <c r="Q50" s="19"/>
      <c r="R50" s="19">
        <f ca="1">INDIRECT("'("&amp;$A$4&amp;")'!r50")</f>
        <v>31</v>
      </c>
      <c r="S50" s="19">
        <f ca="1">INDIRECT("'("&amp;$A$4&amp;")'!s50")</f>
        <v>28</v>
      </c>
      <c r="T50" s="20">
        <f t="shared" ca="1" si="5"/>
        <v>0.47457627118644069</v>
      </c>
      <c r="U50" s="19"/>
      <c r="V50" s="14">
        <f t="shared" ref="V50:V55" ca="1" si="19">J50+N50+R50</f>
        <v>137</v>
      </c>
      <c r="W50" s="14">
        <f t="shared" ref="W50:W55" ca="1" si="20">K50+O50+S50</f>
        <v>47</v>
      </c>
      <c r="X50" s="20">
        <f t="shared" ca="1" si="8"/>
        <v>0.25543478260869568</v>
      </c>
      <c r="Y50" s="16"/>
      <c r="Z50" s="16"/>
      <c r="AA50" s="16"/>
      <c r="AB50" s="16"/>
      <c r="AC50" s="16"/>
      <c r="AD50" s="16"/>
      <c r="AE50" s="16"/>
      <c r="AF50" s="16"/>
      <c r="AG50" s="16"/>
    </row>
    <row r="51" spans="1:33" s="6" customFormat="1" ht="15" customHeight="1" x14ac:dyDescent="0.35">
      <c r="A51" s="5" t="s">
        <v>53</v>
      </c>
      <c r="B51" s="19">
        <f ca="1">INDIRECT("'("&amp;$A$4&amp;")'!b51")</f>
        <v>43</v>
      </c>
      <c r="C51" s="19">
        <f ca="1">INDIRECT("'("&amp;$A$4&amp;")'!c51")</f>
        <v>8</v>
      </c>
      <c r="D51" s="20">
        <f t="shared" ca="1" si="0"/>
        <v>0.15686274509803921</v>
      </c>
      <c r="E51" s="19"/>
      <c r="F51" s="19">
        <f ca="1">INDIRECT("'("&amp;$A$4&amp;")'!f51")</f>
        <v>21</v>
      </c>
      <c r="G51" s="19">
        <f ca="1">INDIRECT("'("&amp;$A$4&amp;")'!g51")</f>
        <v>4</v>
      </c>
      <c r="H51" s="20">
        <f t="shared" ca="1" si="1"/>
        <v>0.16</v>
      </c>
      <c r="I51" s="19"/>
      <c r="J51" s="14">
        <f t="shared" ca="1" si="2"/>
        <v>64</v>
      </c>
      <c r="K51" s="14">
        <f t="shared" ca="1" si="2"/>
        <v>12</v>
      </c>
      <c r="L51" s="15">
        <f t="shared" ca="1" si="3"/>
        <v>0.15789473684210525</v>
      </c>
      <c r="M51" s="19"/>
      <c r="N51" s="19">
        <f ca="1">INDIRECT("'("&amp;$A$4&amp;")'!n51")</f>
        <v>1</v>
      </c>
      <c r="O51" s="19">
        <f ca="1">INDIRECT("'("&amp;$A$4&amp;")'!o51")</f>
        <v>6</v>
      </c>
      <c r="P51" s="20">
        <f t="shared" ca="1" si="4"/>
        <v>0.8571428571428571</v>
      </c>
      <c r="Q51" s="19"/>
      <c r="R51" s="19">
        <f ca="1">INDIRECT("'("&amp;$A$4&amp;")'!r51")</f>
        <v>32</v>
      </c>
      <c r="S51" s="19">
        <f ca="1">INDIRECT("'("&amp;$A$4&amp;")'!s51")</f>
        <v>23</v>
      </c>
      <c r="T51" s="20">
        <f t="shared" ca="1" si="5"/>
        <v>0.41818181818181815</v>
      </c>
      <c r="U51" s="19"/>
      <c r="V51" s="14">
        <f t="shared" ca="1" si="19"/>
        <v>97</v>
      </c>
      <c r="W51" s="14">
        <f t="shared" ca="1" si="20"/>
        <v>41</v>
      </c>
      <c r="X51" s="20">
        <f t="shared" ca="1" si="8"/>
        <v>0.29710144927536231</v>
      </c>
      <c r="Y51" s="16"/>
      <c r="Z51" s="16"/>
      <c r="AA51" s="16"/>
      <c r="AB51" s="16"/>
      <c r="AC51" s="16"/>
      <c r="AD51" s="16"/>
      <c r="AE51" s="16"/>
      <c r="AF51" s="16"/>
      <c r="AG51" s="16"/>
    </row>
    <row r="52" spans="1:33" s="6" customFormat="1" ht="15" customHeight="1" x14ac:dyDescent="0.35">
      <c r="A52" s="5" t="s">
        <v>54</v>
      </c>
      <c r="B52" s="19">
        <f ca="1">INDIRECT("'("&amp;$A$4&amp;")'!b52")</f>
        <v>20</v>
      </c>
      <c r="C52" s="19">
        <f ca="1">INDIRECT("'("&amp;$A$4&amp;")'!c52")</f>
        <v>3</v>
      </c>
      <c r="D52" s="20">
        <f t="shared" ca="1" si="0"/>
        <v>0.13043478260869565</v>
      </c>
      <c r="E52" s="19"/>
      <c r="F52" s="19">
        <f ca="1">INDIRECT("'("&amp;$A$4&amp;")'!f52")</f>
        <v>1</v>
      </c>
      <c r="G52" s="19">
        <f ca="1">INDIRECT("'("&amp;$A$4&amp;")'!g52")</f>
        <v>0</v>
      </c>
      <c r="H52" s="20">
        <f t="shared" ca="1" si="1"/>
        <v>0</v>
      </c>
      <c r="I52" s="19"/>
      <c r="J52" s="14">
        <f t="shared" ca="1" si="2"/>
        <v>21</v>
      </c>
      <c r="K52" s="14">
        <f t="shared" ca="1" si="2"/>
        <v>3</v>
      </c>
      <c r="L52" s="15">
        <f t="shared" ca="1" si="3"/>
        <v>0.125</v>
      </c>
      <c r="M52" s="19"/>
      <c r="N52" s="19">
        <f ca="1">INDIRECT("'("&amp;$A$4&amp;")'!n52")</f>
        <v>0</v>
      </c>
      <c r="O52" s="19">
        <f ca="1">INDIRECT("'("&amp;$A$4&amp;")'!o52")</f>
        <v>0</v>
      </c>
      <c r="P52" s="20" t="str">
        <f t="shared" ca="1" si="4"/>
        <v>-</v>
      </c>
      <c r="Q52" s="19"/>
      <c r="R52" s="19">
        <f ca="1">INDIRECT("'("&amp;$A$4&amp;")'!r52")</f>
        <v>8</v>
      </c>
      <c r="S52" s="19">
        <f ca="1">INDIRECT("'("&amp;$A$4&amp;")'!s52")</f>
        <v>9</v>
      </c>
      <c r="T52" s="20">
        <f t="shared" ca="1" si="5"/>
        <v>0.52941176470588236</v>
      </c>
      <c r="U52" s="19"/>
      <c r="V52" s="14">
        <f t="shared" ca="1" si="19"/>
        <v>29</v>
      </c>
      <c r="W52" s="14">
        <f t="shared" ca="1" si="20"/>
        <v>12</v>
      </c>
      <c r="X52" s="20">
        <f t="shared" ca="1" si="8"/>
        <v>0.29268292682926828</v>
      </c>
      <c r="Y52" s="16"/>
      <c r="Z52" s="16"/>
      <c r="AA52" s="16"/>
      <c r="AB52" s="16"/>
      <c r="AC52" s="16"/>
      <c r="AD52" s="16"/>
      <c r="AE52" s="16"/>
      <c r="AF52" s="16"/>
      <c r="AG52" s="16"/>
    </row>
    <row r="53" spans="1:33" s="6" customFormat="1" ht="15" customHeight="1" x14ac:dyDescent="0.35">
      <c r="A53" s="2" t="s">
        <v>55</v>
      </c>
      <c r="B53" s="19">
        <f ca="1">INDIRECT("'("&amp;$A$4&amp;")'!b53")</f>
        <v>22</v>
      </c>
      <c r="C53" s="19">
        <f ca="1">INDIRECT("'("&amp;$A$4&amp;")'!c53")</f>
        <v>4</v>
      </c>
      <c r="D53" s="20">
        <f t="shared" ca="1" si="0"/>
        <v>0.15384615384615385</v>
      </c>
      <c r="E53" s="19"/>
      <c r="F53" s="19">
        <f ca="1">INDIRECT("'("&amp;$A$4&amp;")'!f53")</f>
        <v>0</v>
      </c>
      <c r="G53" s="19">
        <f ca="1">INDIRECT("'("&amp;$A$4&amp;")'!g53")</f>
        <v>0</v>
      </c>
      <c r="H53" s="20" t="str">
        <f t="shared" ca="1" si="1"/>
        <v>-</v>
      </c>
      <c r="I53" s="19"/>
      <c r="J53" s="14">
        <f t="shared" ca="1" si="2"/>
        <v>22</v>
      </c>
      <c r="K53" s="14">
        <f t="shared" ca="1" si="2"/>
        <v>4</v>
      </c>
      <c r="L53" s="15">
        <f t="shared" ca="1" si="3"/>
        <v>0.15384615384615385</v>
      </c>
      <c r="M53" s="19"/>
      <c r="N53" s="19">
        <f ca="1">INDIRECT("'("&amp;$A$4&amp;")'!n53")</f>
        <v>1</v>
      </c>
      <c r="O53" s="19">
        <f ca="1">INDIRECT("'("&amp;$A$4&amp;")'!o53")</f>
        <v>4</v>
      </c>
      <c r="P53" s="20">
        <f t="shared" ca="1" si="4"/>
        <v>0.8</v>
      </c>
      <c r="Q53" s="19"/>
      <c r="R53" s="19">
        <f ca="1">INDIRECT("'("&amp;$A$4&amp;")'!r53")</f>
        <v>10</v>
      </c>
      <c r="S53" s="19">
        <f ca="1">INDIRECT("'("&amp;$A$4&amp;")'!s53")</f>
        <v>21</v>
      </c>
      <c r="T53" s="20">
        <f t="shared" ca="1" si="5"/>
        <v>0.67741935483870963</v>
      </c>
      <c r="U53" s="19"/>
      <c r="V53" s="14">
        <f t="shared" ca="1" si="19"/>
        <v>33</v>
      </c>
      <c r="W53" s="14">
        <f t="shared" ca="1" si="20"/>
        <v>29</v>
      </c>
      <c r="X53" s="20">
        <f t="shared" ca="1" si="8"/>
        <v>0.46774193548387094</v>
      </c>
      <c r="Y53" s="16"/>
      <c r="Z53" s="16"/>
      <c r="AA53" s="16"/>
      <c r="AB53" s="16"/>
      <c r="AC53" s="16"/>
      <c r="AD53" s="16"/>
      <c r="AE53" s="16"/>
      <c r="AF53" s="16"/>
      <c r="AG53" s="16"/>
    </row>
    <row r="54" spans="1:33" s="6" customFormat="1" ht="15" customHeight="1" x14ac:dyDescent="0.35">
      <c r="A54" s="2" t="s">
        <v>56</v>
      </c>
      <c r="B54" s="19">
        <f ca="1">INDIRECT("'("&amp;$A$4&amp;")'!b54")</f>
        <v>52</v>
      </c>
      <c r="C54" s="19">
        <f ca="1">INDIRECT("'("&amp;$A$4&amp;")'!c54")</f>
        <v>38</v>
      </c>
      <c r="D54" s="20">
        <f t="shared" ca="1" si="0"/>
        <v>0.42222222222222222</v>
      </c>
      <c r="E54" s="19"/>
      <c r="F54" s="19">
        <f ca="1">INDIRECT("'("&amp;$A$4&amp;")'!f54")</f>
        <v>0</v>
      </c>
      <c r="G54" s="19">
        <f ca="1">INDIRECT("'("&amp;$A$4&amp;")'!g54")</f>
        <v>0</v>
      </c>
      <c r="H54" s="20" t="str">
        <f t="shared" ca="1" si="1"/>
        <v>-</v>
      </c>
      <c r="I54" s="19"/>
      <c r="J54" s="14">
        <f t="shared" ca="1" si="2"/>
        <v>52</v>
      </c>
      <c r="K54" s="14">
        <f t="shared" ca="1" si="2"/>
        <v>38</v>
      </c>
      <c r="L54" s="15">
        <f t="shared" ca="1" si="3"/>
        <v>0.42222222222222222</v>
      </c>
      <c r="M54" s="19"/>
      <c r="N54" s="19">
        <f ca="1">INDIRECT("'("&amp;$A$4&amp;")'!n54")</f>
        <v>0</v>
      </c>
      <c r="O54" s="19">
        <f ca="1">INDIRECT("'("&amp;$A$4&amp;")'!o54")</f>
        <v>0</v>
      </c>
      <c r="P54" s="20" t="str">
        <f t="shared" ca="1" si="4"/>
        <v>-</v>
      </c>
      <c r="Q54" s="19"/>
      <c r="R54" s="19">
        <f ca="1">INDIRECT("'("&amp;$A$4&amp;")'!r54")</f>
        <v>9</v>
      </c>
      <c r="S54" s="19">
        <f ca="1">INDIRECT("'("&amp;$A$4&amp;")'!s54")</f>
        <v>11</v>
      </c>
      <c r="T54" s="20">
        <f t="shared" ca="1" si="5"/>
        <v>0.55000000000000004</v>
      </c>
      <c r="U54" s="19"/>
      <c r="V54" s="14">
        <f t="shared" ca="1" si="19"/>
        <v>61</v>
      </c>
      <c r="W54" s="14">
        <f t="shared" ca="1" si="20"/>
        <v>49</v>
      </c>
      <c r="X54" s="20">
        <f t="shared" ca="1" si="8"/>
        <v>0.44545454545454544</v>
      </c>
      <c r="Y54" s="16"/>
      <c r="Z54" s="16"/>
      <c r="AA54" s="16"/>
      <c r="AB54" s="16"/>
      <c r="AC54" s="16"/>
      <c r="AD54" s="16"/>
      <c r="AE54" s="16"/>
      <c r="AF54" s="16"/>
      <c r="AG54" s="16"/>
    </row>
    <row r="55" spans="1:33" s="6" customFormat="1" ht="15" customHeight="1" thickBot="1" x14ac:dyDescent="0.4">
      <c r="A55" s="2" t="s">
        <v>57</v>
      </c>
      <c r="B55" s="19">
        <f ca="1">INDIRECT("'("&amp;$A$4&amp;")'!b55")</f>
        <v>61</v>
      </c>
      <c r="C55" s="19">
        <f ca="1">INDIRECT("'("&amp;$A$4&amp;")'!c55")</f>
        <v>5</v>
      </c>
      <c r="D55" s="20">
        <f t="shared" ca="1" si="0"/>
        <v>7.575757575757576E-2</v>
      </c>
      <c r="E55" s="24"/>
      <c r="F55" s="19">
        <f ca="1">INDIRECT("'("&amp;$A$4&amp;")'!f55")</f>
        <v>19</v>
      </c>
      <c r="G55" s="19">
        <f ca="1">INDIRECT("'("&amp;$A$4&amp;")'!g55")</f>
        <v>3</v>
      </c>
      <c r="H55" s="20">
        <f t="shared" ca="1" si="1"/>
        <v>0.13636363636363635</v>
      </c>
      <c r="I55" s="24"/>
      <c r="J55" s="14">
        <f t="shared" ca="1" si="2"/>
        <v>80</v>
      </c>
      <c r="K55" s="14">
        <f t="shared" ca="1" si="2"/>
        <v>8</v>
      </c>
      <c r="L55" s="15">
        <f t="shared" ca="1" si="3"/>
        <v>9.0909090909090912E-2</v>
      </c>
      <c r="M55" s="24"/>
      <c r="N55" s="19">
        <f ca="1">INDIRECT("'("&amp;$A$4&amp;")'!n55")</f>
        <v>2</v>
      </c>
      <c r="O55" s="19">
        <f ca="1">INDIRECT("'("&amp;$A$4&amp;")'!o55")</f>
        <v>3</v>
      </c>
      <c r="P55" s="20">
        <f t="shared" ca="1" si="4"/>
        <v>0.6</v>
      </c>
      <c r="Q55" s="24"/>
      <c r="R55" s="19">
        <f ca="1">INDIRECT("'("&amp;$A$4&amp;")'!r55")</f>
        <v>19</v>
      </c>
      <c r="S55" s="19">
        <f ca="1">INDIRECT("'("&amp;$A$4&amp;")'!s55")</f>
        <v>25</v>
      </c>
      <c r="T55" s="20">
        <f t="shared" ca="1" si="5"/>
        <v>0.56818181818181823</v>
      </c>
      <c r="U55" s="24"/>
      <c r="V55" s="14">
        <f t="shared" ca="1" si="19"/>
        <v>101</v>
      </c>
      <c r="W55" s="14">
        <f t="shared" ca="1" si="20"/>
        <v>36</v>
      </c>
      <c r="X55" s="20">
        <f t="shared" ca="1" si="8"/>
        <v>0.26277372262773724</v>
      </c>
      <c r="Y55" s="16"/>
      <c r="Z55" s="16"/>
      <c r="AA55" s="16"/>
      <c r="AB55" s="16"/>
      <c r="AC55" s="16"/>
      <c r="AD55" s="16"/>
      <c r="AE55" s="16"/>
      <c r="AF55" s="16"/>
      <c r="AG55" s="16"/>
    </row>
    <row r="56" spans="1:33" s="6" customFormat="1" ht="15" customHeight="1" thickBot="1" x14ac:dyDescent="0.4">
      <c r="A56" s="23" t="s">
        <v>58</v>
      </c>
      <c r="B56" s="19">
        <f ca="1">INDIRECT("'("&amp;$A$4&amp;")'!b56")</f>
        <v>387</v>
      </c>
      <c r="C56" s="19">
        <f ca="1">INDIRECT("'("&amp;$A$4&amp;")'!c56")</f>
        <v>41</v>
      </c>
      <c r="D56" s="20">
        <f t="shared" ref="D56" ca="1" si="21">IF(B56+C56=0,"-",(C56/(B56+C56)))</f>
        <v>9.5794392523364483E-2</v>
      </c>
      <c r="E56" s="24"/>
      <c r="F56" s="19">
        <f ca="1">INDIRECT("'("&amp;$A$4&amp;")'!f56")</f>
        <v>0</v>
      </c>
      <c r="G56" s="19">
        <f ca="1">INDIRECT("'("&amp;$A$4&amp;")'!g56")</f>
        <v>0</v>
      </c>
      <c r="H56" s="20" t="str">
        <f t="shared" ref="H56" ca="1" si="22">IF(F56+G56=0,"-",(G56/(F56+G56)))</f>
        <v>-</v>
      </c>
      <c r="I56" s="24"/>
      <c r="J56" s="14">
        <f t="shared" ref="J56" ca="1" si="23">B56+F56</f>
        <v>387</v>
      </c>
      <c r="K56" s="14">
        <f t="shared" ref="K56" ca="1" si="24">C56+G56</f>
        <v>41</v>
      </c>
      <c r="L56" s="15">
        <f t="shared" ref="L56" ca="1" si="25">IF(J56+K56=0,"-",(K56/(J56+K56)))</f>
        <v>9.5794392523364483E-2</v>
      </c>
      <c r="M56" s="24"/>
      <c r="N56" s="19">
        <f ca="1">INDIRECT("'("&amp;$A$4&amp;")'!n56")</f>
        <v>1</v>
      </c>
      <c r="O56" s="19">
        <f ca="1">INDIRECT("'("&amp;$A$4&amp;")'!o56")</f>
        <v>4</v>
      </c>
      <c r="P56" s="20">
        <f t="shared" ref="P56" ca="1" si="26">IF(N56+O56=0,"-",(O56/(N56+O56)))</f>
        <v>0.8</v>
      </c>
      <c r="Q56" s="24"/>
      <c r="R56" s="19">
        <f ca="1">INDIRECT("'("&amp;$A$4&amp;")'!r56")</f>
        <v>42</v>
      </c>
      <c r="S56" s="19">
        <f ca="1">INDIRECT("'("&amp;$A$4&amp;")'!s56")</f>
        <v>66</v>
      </c>
      <c r="T56" s="20">
        <f t="shared" ref="T56" ca="1" si="27">IF(R56+S56=0,"-",(S56/(R56+S56)))</f>
        <v>0.61111111111111116</v>
      </c>
      <c r="U56" s="24"/>
      <c r="V56" s="14">
        <f t="shared" ref="V56" ca="1" si="28">J56+N56+R56</f>
        <v>430</v>
      </c>
      <c r="W56" s="14">
        <f t="shared" ref="W56" ca="1" si="29">K56+O56+S56</f>
        <v>111</v>
      </c>
      <c r="X56" s="20">
        <f t="shared" ref="X56" ca="1" si="30">IF(V56+W56=0,"-",(W56/(V56+W56)))</f>
        <v>0.20517560073937152</v>
      </c>
      <c r="Y56" s="16"/>
      <c r="Z56" s="16"/>
      <c r="AA56" s="16"/>
      <c r="AB56" s="16"/>
      <c r="AC56" s="16"/>
      <c r="AD56" s="16"/>
      <c r="AE56" s="16"/>
      <c r="AF56" s="16"/>
      <c r="AG56" s="16"/>
    </row>
    <row r="57" spans="1:33" s="6" customFormat="1" ht="15" customHeight="1" x14ac:dyDescent="0.35">
      <c r="A57" s="5"/>
      <c r="B57" s="32"/>
      <c r="C57" s="32"/>
      <c r="D57" s="32"/>
      <c r="E57" s="32"/>
      <c r="F57" s="32"/>
      <c r="G57" s="32"/>
      <c r="H57" s="32"/>
      <c r="I57" s="32"/>
      <c r="J57" s="32"/>
      <c r="K57" s="32"/>
      <c r="L57" s="32"/>
      <c r="M57" s="32"/>
      <c r="N57" s="32"/>
      <c r="O57" s="32"/>
      <c r="P57" s="32"/>
      <c r="Q57" s="32"/>
      <c r="R57" s="32"/>
      <c r="S57" s="32"/>
      <c r="T57" s="32"/>
      <c r="U57" s="32"/>
      <c r="V57" s="32"/>
      <c r="W57" s="32"/>
      <c r="X57" s="32"/>
      <c r="Y57" s="5"/>
      <c r="Z57" s="5"/>
      <c r="AA57" s="16"/>
      <c r="AB57" s="16"/>
      <c r="AC57" s="16"/>
      <c r="AD57" s="16"/>
      <c r="AE57" s="16"/>
      <c r="AF57" s="16"/>
      <c r="AG57" s="16"/>
    </row>
    <row r="58" spans="1:33" x14ac:dyDescent="0.35">
      <c r="A58" s="32" t="s">
        <v>59</v>
      </c>
      <c r="B58" s="32"/>
      <c r="C58" s="32"/>
      <c r="D58" s="32"/>
      <c r="E58" s="32"/>
      <c r="F58" s="32"/>
      <c r="G58" s="32"/>
      <c r="H58" s="32"/>
      <c r="I58" s="32"/>
      <c r="J58" s="32"/>
      <c r="K58" s="32"/>
      <c r="L58" s="32"/>
      <c r="M58" s="32"/>
      <c r="N58" s="32"/>
      <c r="O58" s="32"/>
      <c r="P58" s="32"/>
      <c r="Q58" s="32"/>
      <c r="R58" s="32"/>
      <c r="S58" s="32"/>
      <c r="T58" s="32"/>
      <c r="U58" s="32"/>
      <c r="V58" s="32"/>
      <c r="W58" s="32"/>
      <c r="X58" s="32"/>
    </row>
    <row r="59" spans="1:33" x14ac:dyDescent="0.35">
      <c r="A59" s="32" t="s">
        <v>69</v>
      </c>
      <c r="B59" s="33"/>
      <c r="C59" s="33"/>
      <c r="D59" s="33"/>
      <c r="E59" s="33"/>
      <c r="F59" s="33"/>
      <c r="G59" s="33"/>
      <c r="H59" s="33"/>
      <c r="I59" s="33"/>
      <c r="J59" s="33"/>
      <c r="K59" s="33"/>
      <c r="L59" s="33"/>
      <c r="M59" s="33"/>
      <c r="N59" s="33"/>
      <c r="O59" s="33"/>
      <c r="P59" s="33"/>
      <c r="Q59" s="33"/>
      <c r="R59" s="33"/>
      <c r="S59" s="33"/>
      <c r="T59" s="33"/>
      <c r="U59" s="33"/>
      <c r="V59" s="33"/>
      <c r="W59" s="33"/>
      <c r="X59" s="33"/>
    </row>
    <row r="60" spans="1:33" x14ac:dyDescent="0.35">
      <c r="A60" s="33"/>
    </row>
    <row r="61" spans="1:33" x14ac:dyDescent="0.35">
      <c r="A61" s="28" t="s">
        <v>60</v>
      </c>
      <c r="B61" s="34"/>
      <c r="C61" s="34"/>
      <c r="D61" s="34"/>
      <c r="E61" s="34"/>
      <c r="F61" s="34"/>
      <c r="G61" s="34"/>
      <c r="H61" s="34"/>
      <c r="I61" s="34"/>
      <c r="J61" s="34"/>
      <c r="K61" s="34"/>
      <c r="L61" s="34"/>
      <c r="M61" s="34"/>
      <c r="N61" s="34"/>
      <c r="O61" s="34"/>
      <c r="P61" s="34"/>
      <c r="Q61" s="34"/>
      <c r="R61" s="34"/>
      <c r="S61" s="34"/>
      <c r="T61" s="34"/>
      <c r="U61" s="34"/>
      <c r="V61" s="34"/>
      <c r="W61" s="34"/>
      <c r="X61" s="34"/>
    </row>
    <row r="62" spans="1:33" ht="15" customHeight="1" x14ac:dyDescent="0.35">
      <c r="A62" s="34" t="s">
        <v>61</v>
      </c>
    </row>
    <row r="63" spans="1:33" x14ac:dyDescent="0.35">
      <c r="B63" s="29"/>
      <c r="C63" s="29"/>
      <c r="D63" s="29"/>
      <c r="E63" s="29"/>
      <c r="F63" s="29"/>
      <c r="G63" s="29"/>
      <c r="H63" s="29"/>
      <c r="I63" s="29"/>
      <c r="J63" s="29"/>
      <c r="K63" s="29"/>
      <c r="L63" s="29"/>
      <c r="M63" s="29"/>
      <c r="N63" s="29"/>
      <c r="O63" s="29"/>
      <c r="P63" s="29"/>
      <c r="Q63" s="29"/>
      <c r="R63" s="29"/>
      <c r="S63" s="29"/>
      <c r="T63" s="29"/>
      <c r="U63" s="29"/>
      <c r="V63" s="29"/>
      <c r="W63" s="29"/>
      <c r="X63" s="29"/>
    </row>
    <row r="64" spans="1:33" x14ac:dyDescent="0.35">
      <c r="A64" s="5" t="s">
        <v>62</v>
      </c>
      <c r="B64" s="29"/>
      <c r="C64" s="29"/>
      <c r="D64" s="29"/>
      <c r="E64" s="29"/>
      <c r="F64" s="29"/>
      <c r="G64" s="29"/>
      <c r="H64" s="29"/>
      <c r="I64" s="29"/>
      <c r="J64" s="29"/>
      <c r="K64" s="29"/>
      <c r="L64" s="29"/>
      <c r="M64" s="29"/>
      <c r="N64" s="29"/>
      <c r="O64" s="29"/>
      <c r="P64" s="29"/>
      <c r="Q64" s="29"/>
      <c r="R64" s="29"/>
      <c r="S64" s="29"/>
      <c r="T64" s="29"/>
      <c r="U64" s="29"/>
      <c r="V64" s="29"/>
      <c r="W64" s="29"/>
      <c r="X64" s="29"/>
    </row>
    <row r="65" spans="1:24" x14ac:dyDescent="0.35">
      <c r="A65" s="30" t="s">
        <v>63</v>
      </c>
    </row>
    <row r="66" spans="1:24" x14ac:dyDescent="0.35">
      <c r="B66" s="32"/>
      <c r="C66" s="32"/>
      <c r="D66" s="32"/>
      <c r="E66" s="32"/>
      <c r="F66" s="32"/>
      <c r="G66" s="32"/>
      <c r="H66" s="32"/>
      <c r="I66" s="32"/>
      <c r="J66" s="32"/>
      <c r="K66" s="32"/>
      <c r="L66" s="32"/>
      <c r="M66" s="32"/>
      <c r="N66" s="32"/>
      <c r="O66" s="32"/>
      <c r="P66" s="32"/>
      <c r="Q66" s="32"/>
      <c r="R66" s="32"/>
      <c r="S66" s="32"/>
      <c r="T66" s="32"/>
      <c r="U66" s="32"/>
      <c r="V66" s="32"/>
      <c r="W66" s="32"/>
      <c r="X66" s="32"/>
    </row>
    <row r="67" spans="1:24" x14ac:dyDescent="0.35">
      <c r="A67" s="32" t="s">
        <v>64</v>
      </c>
      <c r="X67" s="6"/>
    </row>
    <row r="68" spans="1:24" x14ac:dyDescent="0.35">
      <c r="A68" s="30"/>
      <c r="X68" s="37" t="s">
        <v>66</v>
      </c>
    </row>
    <row r="69" spans="1:24" x14ac:dyDescent="0.35">
      <c r="A69" s="5" t="s">
        <v>65</v>
      </c>
      <c r="X69" s="31" t="s">
        <v>68</v>
      </c>
    </row>
    <row r="70" spans="1:24" x14ac:dyDescent="0.35">
      <c r="A70" s="30" t="s">
        <v>67</v>
      </c>
    </row>
  </sheetData>
  <mergeCells count="8">
    <mergeCell ref="A4:L4"/>
    <mergeCell ref="A1:X1"/>
    <mergeCell ref="B6:D6"/>
    <mergeCell ref="F6:H6"/>
    <mergeCell ref="J6:L6"/>
    <mergeCell ref="N6:P6"/>
    <mergeCell ref="R6:T6"/>
    <mergeCell ref="V6:X6"/>
  </mergeCells>
  <hyperlinks>
    <hyperlink ref="A65" r:id="rId1" xr:uid="{00000000-0004-0000-0200-000000000000}"/>
    <hyperlink ref="A70" r:id="rId2" xr:uid="{00000000-0004-0000-0200-000001000000}"/>
    <hyperlink ref="X68" r:id="rId3" xr:uid="{00000000-0004-0000-0200-000002000000}"/>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05BE3-A889-4692-9911-FD789CD2A27D}">
  <dimension ref="B1:H22"/>
  <sheetViews>
    <sheetView topLeftCell="A5" workbookViewId="0">
      <selection activeCell="A4" sqref="A4:L4"/>
    </sheetView>
  </sheetViews>
  <sheetFormatPr defaultRowHeight="14.5" x14ac:dyDescent="0.35"/>
  <cols>
    <col min="2" max="2" width="56.81640625" customWidth="1"/>
    <col min="5" max="5" width="1.81640625" hidden="1" customWidth="1"/>
    <col min="6" max="6" width="8.1796875" hidden="1" customWidth="1"/>
    <col min="7" max="7" width="3.54296875" hidden="1" customWidth="1"/>
  </cols>
  <sheetData>
    <row r="1" spans="2:8" x14ac:dyDescent="0.35">
      <c r="B1" t="s">
        <v>139</v>
      </c>
      <c r="G1" t="s">
        <v>115</v>
      </c>
    </row>
    <row r="2" spans="2:8" x14ac:dyDescent="0.35">
      <c r="G2" t="s">
        <v>116</v>
      </c>
      <c r="H2" s="70"/>
    </row>
    <row r="3" spans="2:8" x14ac:dyDescent="0.35">
      <c r="B3" s="71" t="s">
        <v>117</v>
      </c>
      <c r="C3" s="71" t="s">
        <v>118</v>
      </c>
      <c r="D3" s="71" t="s">
        <v>119</v>
      </c>
      <c r="E3" s="71"/>
      <c r="F3" t="s">
        <v>120</v>
      </c>
      <c r="G3" s="71"/>
      <c r="H3" s="71" t="s">
        <v>121</v>
      </c>
    </row>
    <row r="4" spans="2:8" ht="73.5" customHeight="1" x14ac:dyDescent="0.35">
      <c r="B4" s="72" t="s">
        <v>137</v>
      </c>
      <c r="C4" t="s">
        <v>122</v>
      </c>
      <c r="D4" t="s">
        <v>149</v>
      </c>
      <c r="E4">
        <f>IF(D4="No",0,1)</f>
        <v>0</v>
      </c>
      <c r="F4" t="s">
        <v>123</v>
      </c>
    </row>
    <row r="5" spans="2:8" x14ac:dyDescent="0.35">
      <c r="B5" t="s">
        <v>124</v>
      </c>
      <c r="C5" t="s">
        <v>122</v>
      </c>
      <c r="D5" t="s">
        <v>149</v>
      </c>
      <c r="E5">
        <f t="shared" ref="E5:E20" si="0">IF(D5="No",0,1)</f>
        <v>0</v>
      </c>
      <c r="F5" t="s">
        <v>125</v>
      </c>
    </row>
    <row r="6" spans="2:8" x14ac:dyDescent="0.35">
      <c r="B6" t="s">
        <v>127</v>
      </c>
      <c r="C6" t="s">
        <v>122</v>
      </c>
      <c r="D6" t="s">
        <v>149</v>
      </c>
      <c r="E6">
        <f t="shared" si="0"/>
        <v>0</v>
      </c>
      <c r="F6" t="s">
        <v>122</v>
      </c>
    </row>
    <row r="7" spans="2:8" x14ac:dyDescent="0.35">
      <c r="B7" t="s">
        <v>148</v>
      </c>
      <c r="C7" t="s">
        <v>122</v>
      </c>
      <c r="D7" t="s">
        <v>149</v>
      </c>
      <c r="E7">
        <f t="shared" si="0"/>
        <v>0</v>
      </c>
      <c r="F7" t="s">
        <v>126</v>
      </c>
    </row>
    <row r="8" spans="2:8" x14ac:dyDescent="0.35">
      <c r="B8" t="s">
        <v>140</v>
      </c>
      <c r="C8" t="s">
        <v>122</v>
      </c>
      <c r="D8" t="s">
        <v>149</v>
      </c>
      <c r="E8">
        <f t="shared" si="0"/>
        <v>0</v>
      </c>
    </row>
    <row r="9" spans="2:8" x14ac:dyDescent="0.35">
      <c r="B9" t="s">
        <v>141</v>
      </c>
      <c r="C9" t="s">
        <v>122</v>
      </c>
      <c r="D9" t="s">
        <v>149</v>
      </c>
      <c r="E9">
        <f t="shared" si="0"/>
        <v>0</v>
      </c>
    </row>
    <row r="10" spans="2:8" x14ac:dyDescent="0.35">
      <c r="B10" t="s">
        <v>142</v>
      </c>
      <c r="C10" t="s">
        <v>122</v>
      </c>
      <c r="D10" t="s">
        <v>149</v>
      </c>
      <c r="E10">
        <f t="shared" si="0"/>
        <v>0</v>
      </c>
      <c r="F10" t="s">
        <v>130</v>
      </c>
    </row>
    <row r="11" spans="2:8" x14ac:dyDescent="0.35">
      <c r="B11" t="s">
        <v>143</v>
      </c>
      <c r="C11" t="s">
        <v>122</v>
      </c>
      <c r="D11" t="s">
        <v>149</v>
      </c>
      <c r="E11">
        <f t="shared" si="0"/>
        <v>0</v>
      </c>
    </row>
    <row r="12" spans="2:8" x14ac:dyDescent="0.35">
      <c r="B12" t="s">
        <v>144</v>
      </c>
      <c r="C12" t="s">
        <v>122</v>
      </c>
      <c r="D12" t="s">
        <v>149</v>
      </c>
      <c r="E12">
        <f t="shared" si="0"/>
        <v>0</v>
      </c>
    </row>
    <row r="13" spans="2:8" x14ac:dyDescent="0.35">
      <c r="B13" t="s">
        <v>128</v>
      </c>
      <c r="C13" t="s">
        <v>122</v>
      </c>
      <c r="D13" t="s">
        <v>149</v>
      </c>
      <c r="E13">
        <f t="shared" si="0"/>
        <v>0</v>
      </c>
    </row>
    <row r="14" spans="2:8" x14ac:dyDescent="0.35">
      <c r="B14" t="s">
        <v>129</v>
      </c>
      <c r="C14" t="s">
        <v>122</v>
      </c>
      <c r="D14" t="s">
        <v>149</v>
      </c>
      <c r="E14">
        <f t="shared" si="0"/>
        <v>0</v>
      </c>
    </row>
    <row r="15" spans="2:8" x14ac:dyDescent="0.35">
      <c r="B15" t="s">
        <v>131</v>
      </c>
      <c r="C15" t="s">
        <v>122</v>
      </c>
      <c r="D15" t="s">
        <v>149</v>
      </c>
      <c r="E15">
        <f t="shared" si="0"/>
        <v>0</v>
      </c>
    </row>
    <row r="16" spans="2:8" x14ac:dyDescent="0.35">
      <c r="B16" t="s">
        <v>132</v>
      </c>
      <c r="C16" t="s">
        <v>122</v>
      </c>
      <c r="D16" t="s">
        <v>149</v>
      </c>
      <c r="E16">
        <f t="shared" si="0"/>
        <v>0</v>
      </c>
    </row>
    <row r="17" spans="2:8" x14ac:dyDescent="0.35">
      <c r="B17" t="s">
        <v>133</v>
      </c>
      <c r="C17" t="s">
        <v>122</v>
      </c>
      <c r="D17" t="s">
        <v>149</v>
      </c>
      <c r="E17">
        <f t="shared" si="0"/>
        <v>0</v>
      </c>
    </row>
    <row r="18" spans="2:8" x14ac:dyDescent="0.35">
      <c r="B18" t="s">
        <v>134</v>
      </c>
      <c r="C18" t="s">
        <v>122</v>
      </c>
      <c r="D18" t="s">
        <v>150</v>
      </c>
      <c r="E18">
        <f t="shared" si="0"/>
        <v>1</v>
      </c>
      <c r="H18" t="s">
        <v>151</v>
      </c>
    </row>
    <row r="19" spans="2:8" x14ac:dyDescent="0.35">
      <c r="B19" t="s">
        <v>135</v>
      </c>
      <c r="C19" t="s">
        <v>122</v>
      </c>
      <c r="D19" t="s">
        <v>149</v>
      </c>
      <c r="E19">
        <f t="shared" si="0"/>
        <v>0</v>
      </c>
    </row>
    <row r="20" spans="2:8" x14ac:dyDescent="0.35">
      <c r="B20" t="s">
        <v>145</v>
      </c>
      <c r="C20" t="s">
        <v>122</v>
      </c>
      <c r="D20" t="s">
        <v>149</v>
      </c>
      <c r="E20">
        <f t="shared" si="0"/>
        <v>0</v>
      </c>
    </row>
    <row r="22" spans="2:8" x14ac:dyDescent="0.35">
      <c r="B22" t="s">
        <v>136</v>
      </c>
      <c r="C22" s="73">
        <f>SUM(E4:E20)</f>
        <v>1</v>
      </c>
    </row>
  </sheetData>
  <conditionalFormatting sqref="D4:D6 D21 D13:D17">
    <cfRule type="containsText" dxfId="14" priority="16" operator="containsText" text="Yes">
      <formula>NOT(ISERROR(SEARCH("Yes",D4)))</formula>
    </cfRule>
    <cfRule type="containsText" dxfId="13" priority="17" operator="containsText" text="No">
      <formula>NOT(ISERROR(SEARCH("No",D4)))</formula>
    </cfRule>
  </conditionalFormatting>
  <conditionalFormatting sqref="C13:C20 C4:C6">
    <cfRule type="notContainsBlanks" dxfId="12" priority="18">
      <formula>LEN(TRIM(C4))&gt;0</formula>
    </cfRule>
  </conditionalFormatting>
  <conditionalFormatting sqref="C22">
    <cfRule type="cellIs" dxfId="11" priority="14" operator="greaterThan">
      <formula>0</formula>
    </cfRule>
    <cfRule type="cellIs" dxfId="10" priority="15" operator="lessThan">
      <formula>1</formula>
    </cfRule>
  </conditionalFormatting>
  <conditionalFormatting sqref="D7">
    <cfRule type="containsText" dxfId="9" priority="8" operator="containsText" text="Yes">
      <formula>NOT(ISERROR(SEARCH("Yes",D7)))</formula>
    </cfRule>
    <cfRule type="containsText" dxfId="8" priority="9" operator="containsText" text="No">
      <formula>NOT(ISERROR(SEARCH("No",D7)))</formula>
    </cfRule>
  </conditionalFormatting>
  <conditionalFormatting sqref="C7">
    <cfRule type="notContainsBlanks" dxfId="7" priority="10">
      <formula>LEN(TRIM(C7))&gt;0</formula>
    </cfRule>
  </conditionalFormatting>
  <conditionalFormatting sqref="D18">
    <cfRule type="containsText" dxfId="6" priority="6" operator="containsText" text="Yes">
      <formula>NOT(ISERROR(SEARCH("Yes",D18)))</formula>
    </cfRule>
    <cfRule type="containsText" dxfId="5" priority="7" operator="containsText" text="No">
      <formula>NOT(ISERROR(SEARCH("No",D18)))</formula>
    </cfRule>
  </conditionalFormatting>
  <conditionalFormatting sqref="D8:D12">
    <cfRule type="containsText" dxfId="4" priority="3" operator="containsText" text="Yes">
      <formula>NOT(ISERROR(SEARCH("Yes",D8)))</formula>
    </cfRule>
    <cfRule type="containsText" dxfId="3" priority="4" operator="containsText" text="No">
      <formula>NOT(ISERROR(SEARCH("No",D8)))</formula>
    </cfRule>
  </conditionalFormatting>
  <conditionalFormatting sqref="C8:C12">
    <cfRule type="notContainsBlanks" dxfId="2" priority="5">
      <formula>LEN(TRIM(C8))&gt;0</formula>
    </cfRule>
  </conditionalFormatting>
  <conditionalFormatting sqref="D19:D20">
    <cfRule type="containsText" dxfId="1" priority="1" operator="containsText" text="Yes">
      <formula>NOT(ISERROR(SEARCH("Yes",D19)))</formula>
    </cfRule>
    <cfRule type="containsText" dxfId="0" priority="2" operator="containsText" text="No">
      <formula>NOT(ISERROR(SEARCH("No",D19)))</formula>
    </cfRule>
  </conditionalFormatting>
  <dataValidations count="3">
    <dataValidation type="list" allowBlank="1" showInputMessage="1" showErrorMessage="1" sqref="D21" xr:uid="{DB32B968-5301-4764-A340-C0AE5DF51422}">
      <formula1>$Q$1:$Q$2</formula1>
    </dataValidation>
    <dataValidation type="list" allowBlank="1" showInputMessage="1" showErrorMessage="1" sqref="C4:C20" xr:uid="{8412C1B9-4103-4B87-B9EE-F131D774BF1E}">
      <formula1>$F$3:$F$10</formula1>
    </dataValidation>
    <dataValidation type="list" allowBlank="1" showInputMessage="1" showErrorMessage="1" sqref="D4:D20" xr:uid="{7F1E9860-668E-4D71-9BC2-6D29AF613012}">
      <formula1>$G$1:$G$2</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E6C24-56F5-4802-B4F1-6E0D425FB799}">
  <sheetPr codeName="Sheet6"/>
  <dimension ref="B2:R74"/>
  <sheetViews>
    <sheetView workbookViewId="0">
      <selection activeCell="A4" sqref="A4:L4"/>
    </sheetView>
  </sheetViews>
  <sheetFormatPr defaultColWidth="8.81640625" defaultRowHeight="13" x14ac:dyDescent="0.3"/>
  <cols>
    <col min="1" max="15" width="8.81640625" style="43"/>
    <col min="16" max="16" width="13.54296875" style="43" bestFit="1" customWidth="1"/>
    <col min="17" max="16384" width="8.81640625" style="43"/>
  </cols>
  <sheetData>
    <row r="2" spans="2:18" x14ac:dyDescent="0.3">
      <c r="B2" s="44" t="s">
        <v>78</v>
      </c>
      <c r="C2" s="43" t="s">
        <v>79</v>
      </c>
    </row>
    <row r="3" spans="2:18" ht="14.5" x14ac:dyDescent="0.35">
      <c r="B3" s="45" t="s">
        <v>80</v>
      </c>
      <c r="C3" s="43" t="s">
        <v>81</v>
      </c>
    </row>
    <row r="4" spans="2:18" ht="14.5" x14ac:dyDescent="0.35">
      <c r="B4" s="45"/>
    </row>
    <row r="6" spans="2:18" ht="14.5" x14ac:dyDescent="0.35">
      <c r="B6" s="46" t="s">
        <v>82</v>
      </c>
      <c r="D6" s="46" t="s">
        <v>76</v>
      </c>
      <c r="F6" s="46" t="s">
        <v>83</v>
      </c>
      <c r="H6" s="47">
        <f>MAX(H8:H53)</f>
        <v>46</v>
      </c>
      <c r="I6" s="46" t="s">
        <v>84</v>
      </c>
      <c r="K6" s="46" t="s">
        <v>85</v>
      </c>
      <c r="M6" s="48"/>
      <c r="N6" s="49"/>
      <c r="O6" s="50"/>
      <c r="P6" s="49"/>
      <c r="Q6" s="49"/>
      <c r="R6" s="49"/>
    </row>
    <row r="7" spans="2:18" ht="14.5" x14ac:dyDescent="0.35">
      <c r="B7" s="51" t="s">
        <v>86</v>
      </c>
      <c r="D7" s="52" t="s">
        <v>87</v>
      </c>
      <c r="F7" s="52" t="s">
        <v>88</v>
      </c>
      <c r="H7" s="47">
        <v>47</v>
      </c>
      <c r="I7" s="44" t="e">
        <f>VLOOKUP(H7,H8:I53,2,FALSE)</f>
        <v>#N/A</v>
      </c>
      <c r="K7" s="52" t="str">
        <f>CONCATENATE("_",D7,".xlsx")</f>
        <v>_2018_19.xlsx</v>
      </c>
      <c r="M7" s="53"/>
      <c r="N7" s="49"/>
      <c r="O7" s="50"/>
      <c r="P7" s="49"/>
      <c r="Q7" s="49"/>
      <c r="R7" s="49"/>
    </row>
    <row r="8" spans="2:18" ht="14.5" x14ac:dyDescent="0.35">
      <c r="D8" s="54" t="str">
        <f>CONCATENATE(LEFT(D7,4),"-",RIGHT(D7,2))</f>
        <v>2018-19</v>
      </c>
      <c r="H8" s="43">
        <v>1</v>
      </c>
      <c r="I8" s="55" t="s">
        <v>12</v>
      </c>
      <c r="M8" s="56"/>
      <c r="N8" s="49"/>
      <c r="O8" s="49"/>
      <c r="P8" s="56"/>
      <c r="Q8" s="49"/>
      <c r="R8" s="49"/>
    </row>
    <row r="9" spans="2:18" ht="14.5" x14ac:dyDescent="0.35">
      <c r="D9" s="44" t="str">
        <f>CONCATENATE(LEFT(D7,2),RIGHT(D7,2))</f>
        <v>2019</v>
      </c>
      <c r="H9" s="43">
        <v>2</v>
      </c>
      <c r="I9" s="55" t="s">
        <v>13</v>
      </c>
      <c r="M9" s="56"/>
      <c r="N9" s="49"/>
      <c r="O9" s="49"/>
      <c r="P9" s="57"/>
      <c r="Q9" s="49"/>
      <c r="R9" s="49"/>
    </row>
    <row r="10" spans="2:18" ht="14.5" x14ac:dyDescent="0.35">
      <c r="H10" s="43">
        <v>3</v>
      </c>
      <c r="I10" s="55" t="s">
        <v>14</v>
      </c>
      <c r="M10" s="57"/>
      <c r="N10" s="49"/>
      <c r="O10" s="49"/>
      <c r="P10" s="57"/>
      <c r="Q10" s="49"/>
      <c r="R10" s="49"/>
    </row>
    <row r="11" spans="2:18" ht="14.5" x14ac:dyDescent="0.35">
      <c r="H11" s="43">
        <v>4</v>
      </c>
      <c r="I11" s="55" t="s">
        <v>15</v>
      </c>
      <c r="M11" s="57"/>
      <c r="N11" s="49"/>
      <c r="O11" s="49"/>
      <c r="P11" s="57"/>
      <c r="Q11" s="49"/>
      <c r="R11" s="49"/>
    </row>
    <row r="12" spans="2:18" ht="14.5" x14ac:dyDescent="0.35">
      <c r="H12" s="43">
        <v>5</v>
      </c>
      <c r="I12" s="55" t="s">
        <v>16</v>
      </c>
      <c r="M12" s="58"/>
      <c r="P12" s="58"/>
      <c r="R12" s="58"/>
    </row>
    <row r="13" spans="2:18" ht="14.5" x14ac:dyDescent="0.35">
      <c r="H13" s="43">
        <v>6</v>
      </c>
      <c r="I13" s="55" t="s">
        <v>17</v>
      </c>
      <c r="M13" s="59" t="s">
        <v>92</v>
      </c>
      <c r="O13" s="47">
        <f>MAX(O15:O19)</f>
        <v>4</v>
      </c>
      <c r="P13" s="46" t="s">
        <v>93</v>
      </c>
      <c r="Q13" s="46" t="s">
        <v>94</v>
      </c>
      <c r="R13" s="46" t="s">
        <v>95</v>
      </c>
    </row>
    <row r="14" spans="2:18" ht="14.5" x14ac:dyDescent="0.35">
      <c r="H14" s="43">
        <v>7</v>
      </c>
      <c r="I14" s="55" t="s">
        <v>18</v>
      </c>
      <c r="M14" s="60" t="s">
        <v>97</v>
      </c>
      <c r="O14" s="47">
        <v>5</v>
      </c>
      <c r="P14" s="44" t="e">
        <f>VLOOKUP(O14,O15:P19,2,FALSE)</f>
        <v>#N/A</v>
      </c>
      <c r="Q14" s="44" t="e">
        <f>VLOOKUP(P14,P15:Q19,2,FALSE)</f>
        <v>#N/A</v>
      </c>
      <c r="R14" s="44" t="e">
        <f>VLOOKUP(Q14,Q15:R19,2,FALSE)</f>
        <v>#N/A</v>
      </c>
    </row>
    <row r="15" spans="2:18" ht="14.5" x14ac:dyDescent="0.35">
      <c r="H15" s="43">
        <v>8</v>
      </c>
      <c r="I15" s="55" t="s">
        <v>19</v>
      </c>
      <c r="M15" s="56"/>
      <c r="O15" s="43">
        <v>1</v>
      </c>
      <c r="P15" s="45" t="s">
        <v>106</v>
      </c>
      <c r="Q15" s="43" t="s">
        <v>96</v>
      </c>
      <c r="R15" s="49" t="s">
        <v>7</v>
      </c>
    </row>
    <row r="16" spans="2:18" ht="14.5" x14ac:dyDescent="0.35">
      <c r="H16" s="43">
        <v>9</v>
      </c>
      <c r="I16" s="55" t="s">
        <v>20</v>
      </c>
      <c r="M16" s="56"/>
      <c r="O16" s="43">
        <v>2</v>
      </c>
      <c r="P16" s="45" t="s">
        <v>107</v>
      </c>
      <c r="Q16" s="43" t="s">
        <v>89</v>
      </c>
      <c r="R16" s="49" t="s">
        <v>7</v>
      </c>
    </row>
    <row r="17" spans="8:18" ht="14.5" x14ac:dyDescent="0.35">
      <c r="H17" s="43">
        <v>10</v>
      </c>
      <c r="I17" s="55" t="s">
        <v>21</v>
      </c>
      <c r="M17" s="56"/>
      <c r="O17" s="43">
        <v>3</v>
      </c>
      <c r="P17" s="45" t="s">
        <v>108</v>
      </c>
      <c r="Q17" s="43" t="s">
        <v>91</v>
      </c>
      <c r="R17" s="49" t="s">
        <v>7</v>
      </c>
    </row>
    <row r="18" spans="8:18" ht="14.5" x14ac:dyDescent="0.35">
      <c r="H18" s="43">
        <v>11</v>
      </c>
      <c r="I18" s="55" t="s">
        <v>22</v>
      </c>
      <c r="M18" s="56"/>
      <c r="O18" s="43">
        <v>4</v>
      </c>
      <c r="P18" s="45" t="s">
        <v>109</v>
      </c>
      <c r="Q18" s="43" t="s">
        <v>90</v>
      </c>
      <c r="R18" s="49" t="s">
        <v>7</v>
      </c>
    </row>
    <row r="19" spans="8:18" ht="14.5" x14ac:dyDescent="0.35">
      <c r="H19" s="43">
        <v>12</v>
      </c>
      <c r="I19" s="55" t="s">
        <v>24</v>
      </c>
      <c r="M19" s="56"/>
      <c r="P19" s="45"/>
      <c r="R19" s="49"/>
    </row>
    <row r="20" spans="8:18" ht="14.5" x14ac:dyDescent="0.35">
      <c r="H20" s="43">
        <v>13</v>
      </c>
      <c r="I20" s="55" t="s">
        <v>25</v>
      </c>
      <c r="M20" s="56"/>
      <c r="P20" s="45"/>
      <c r="R20" s="49"/>
    </row>
    <row r="21" spans="8:18" ht="14.5" x14ac:dyDescent="0.35">
      <c r="H21" s="43">
        <v>14</v>
      </c>
      <c r="I21" s="55" t="s">
        <v>26</v>
      </c>
      <c r="M21" s="56"/>
      <c r="P21" s="45"/>
      <c r="R21" s="49"/>
    </row>
    <row r="22" spans="8:18" ht="14.5" x14ac:dyDescent="0.35">
      <c r="H22" s="43">
        <v>15</v>
      </c>
      <c r="I22" s="55" t="s">
        <v>27</v>
      </c>
      <c r="M22" s="56"/>
      <c r="P22" s="45"/>
      <c r="R22" s="49"/>
    </row>
    <row r="23" spans="8:18" ht="14.5" x14ac:dyDescent="0.35">
      <c r="H23" s="43">
        <v>16</v>
      </c>
      <c r="I23" s="55" t="s">
        <v>58</v>
      </c>
      <c r="M23" s="56"/>
      <c r="P23" s="45"/>
      <c r="R23" s="49"/>
    </row>
    <row r="24" spans="8:18" ht="14.5" x14ac:dyDescent="0.35">
      <c r="H24" s="43">
        <v>17</v>
      </c>
      <c r="I24" s="55" t="s">
        <v>52</v>
      </c>
      <c r="M24" s="59" t="s">
        <v>92</v>
      </c>
      <c r="O24" s="47">
        <f>MAX(O26:O30)</f>
        <v>4</v>
      </c>
      <c r="P24" s="46" t="s">
        <v>98</v>
      </c>
      <c r="Q24" s="46" t="s">
        <v>99</v>
      </c>
      <c r="R24" s="46" t="s">
        <v>100</v>
      </c>
    </row>
    <row r="25" spans="8:18" ht="14.5" x14ac:dyDescent="0.35">
      <c r="H25" s="43">
        <v>18</v>
      </c>
      <c r="I25" s="55" t="s">
        <v>28</v>
      </c>
      <c r="M25" s="60" t="s">
        <v>97</v>
      </c>
      <c r="O25" s="47">
        <v>5</v>
      </c>
      <c r="P25" s="44" t="e">
        <f>VLOOKUP(O25,O26:P30,2,FALSE)</f>
        <v>#N/A</v>
      </c>
      <c r="Q25" s="44" t="e">
        <f>VLOOKUP(P25,P26:Q30,2,FALSE)</f>
        <v>#N/A</v>
      </c>
      <c r="R25" s="44" t="e">
        <f>VLOOKUP(Q25,Q26:R30,2,FALSE)</f>
        <v>#N/A</v>
      </c>
    </row>
    <row r="26" spans="8:18" ht="14.5" x14ac:dyDescent="0.35">
      <c r="H26" s="43">
        <v>19</v>
      </c>
      <c r="I26" s="55" t="s">
        <v>29</v>
      </c>
      <c r="M26" s="56"/>
      <c r="O26" s="43">
        <v>1</v>
      </c>
      <c r="P26" s="45" t="s">
        <v>110</v>
      </c>
      <c r="Q26" s="43" t="s">
        <v>96</v>
      </c>
      <c r="R26" s="49" t="s">
        <v>8</v>
      </c>
    </row>
    <row r="27" spans="8:18" ht="14.5" x14ac:dyDescent="0.35">
      <c r="H27" s="43">
        <v>20</v>
      </c>
      <c r="I27" s="55" t="s">
        <v>30</v>
      </c>
      <c r="M27" s="56"/>
      <c r="O27" s="43">
        <v>2</v>
      </c>
      <c r="P27" s="45" t="s">
        <v>111</v>
      </c>
      <c r="Q27" s="43" t="s">
        <v>89</v>
      </c>
      <c r="R27" s="49" t="s">
        <v>8</v>
      </c>
    </row>
    <row r="28" spans="8:18" ht="14.5" x14ac:dyDescent="0.35">
      <c r="H28" s="43">
        <v>21</v>
      </c>
      <c r="I28" s="55" t="s">
        <v>31</v>
      </c>
      <c r="M28" s="56"/>
      <c r="O28" s="43">
        <v>3</v>
      </c>
      <c r="P28" s="45" t="s">
        <v>112</v>
      </c>
      <c r="Q28" s="43" t="s">
        <v>91</v>
      </c>
      <c r="R28" s="49" t="s">
        <v>8</v>
      </c>
    </row>
    <row r="29" spans="8:18" ht="14.5" x14ac:dyDescent="0.35">
      <c r="H29" s="43">
        <v>22</v>
      </c>
      <c r="I29" s="55" t="s">
        <v>32</v>
      </c>
      <c r="M29" s="56"/>
      <c r="O29" s="43">
        <v>4</v>
      </c>
      <c r="P29" s="45" t="s">
        <v>113</v>
      </c>
      <c r="Q29" s="43" t="s">
        <v>90</v>
      </c>
      <c r="R29" s="49" t="s">
        <v>8</v>
      </c>
    </row>
    <row r="30" spans="8:18" ht="14.5" x14ac:dyDescent="0.35">
      <c r="H30" s="43">
        <v>23</v>
      </c>
      <c r="I30" s="55" t="s">
        <v>50</v>
      </c>
      <c r="M30" s="56"/>
      <c r="P30" s="45"/>
      <c r="R30" s="49"/>
    </row>
    <row r="31" spans="8:18" ht="14.5" x14ac:dyDescent="0.35">
      <c r="H31" s="43">
        <v>24</v>
      </c>
      <c r="I31" s="55" t="s">
        <v>33</v>
      </c>
      <c r="M31" s="56"/>
      <c r="P31" s="45"/>
      <c r="R31" s="49"/>
    </row>
    <row r="32" spans="8:18" ht="14.5" x14ac:dyDescent="0.35">
      <c r="H32" s="43">
        <v>25</v>
      </c>
      <c r="I32" s="55" t="s">
        <v>34</v>
      </c>
      <c r="M32" s="56"/>
      <c r="P32" s="45"/>
      <c r="R32" s="49"/>
    </row>
    <row r="33" spans="8:18" ht="14.5" x14ac:dyDescent="0.35">
      <c r="H33" s="43">
        <v>26</v>
      </c>
      <c r="I33" s="55" t="s">
        <v>35</v>
      </c>
      <c r="M33" s="56"/>
      <c r="P33" s="45"/>
      <c r="R33" s="49"/>
    </row>
    <row r="34" spans="8:18" ht="14.5" x14ac:dyDescent="0.35">
      <c r="H34" s="43">
        <v>27</v>
      </c>
      <c r="I34" s="55" t="s">
        <v>36</v>
      </c>
      <c r="M34" s="58"/>
      <c r="P34" s="58"/>
      <c r="R34" s="49"/>
    </row>
    <row r="35" spans="8:18" ht="14.5" x14ac:dyDescent="0.35">
      <c r="H35" s="43">
        <v>28</v>
      </c>
      <c r="I35" s="55" t="s">
        <v>53</v>
      </c>
      <c r="M35" s="56"/>
      <c r="N35" s="56"/>
      <c r="O35" s="56"/>
      <c r="P35" s="56"/>
      <c r="Q35" s="56"/>
      <c r="R35" s="56"/>
    </row>
    <row r="36" spans="8:18" ht="14.5" x14ac:dyDescent="0.35">
      <c r="H36" s="43">
        <v>29</v>
      </c>
      <c r="I36" s="55" t="s">
        <v>37</v>
      </c>
      <c r="M36" s="56"/>
      <c r="N36" s="56"/>
      <c r="O36" s="56"/>
      <c r="P36" s="56"/>
      <c r="Q36" s="56"/>
      <c r="R36" s="56"/>
    </row>
    <row r="37" spans="8:18" ht="14.5" x14ac:dyDescent="0.35">
      <c r="H37" s="43">
        <v>30</v>
      </c>
      <c r="I37" s="55" t="s">
        <v>39</v>
      </c>
      <c r="M37" s="56"/>
      <c r="N37" s="56"/>
      <c r="O37" s="56"/>
      <c r="P37" s="56"/>
      <c r="Q37" s="56"/>
      <c r="R37" s="56"/>
    </row>
    <row r="38" spans="8:18" ht="14.5" x14ac:dyDescent="0.35">
      <c r="H38" s="43">
        <v>31</v>
      </c>
      <c r="I38" s="55" t="s">
        <v>40</v>
      </c>
      <c r="M38" s="56"/>
      <c r="N38" s="56"/>
      <c r="O38" s="56"/>
      <c r="P38" s="56"/>
      <c r="Q38" s="56"/>
      <c r="R38" s="56"/>
    </row>
    <row r="39" spans="8:18" ht="14.5" x14ac:dyDescent="0.35">
      <c r="H39" s="43">
        <v>32</v>
      </c>
      <c r="I39" s="55" t="s">
        <v>41</v>
      </c>
      <c r="M39" s="56"/>
      <c r="N39" s="56"/>
      <c r="O39" s="56"/>
      <c r="P39" s="56"/>
      <c r="Q39" s="56"/>
      <c r="R39" s="56"/>
    </row>
    <row r="40" spans="8:18" ht="14.5" x14ac:dyDescent="0.35">
      <c r="H40" s="43">
        <v>33</v>
      </c>
      <c r="I40" s="55" t="s">
        <v>42</v>
      </c>
      <c r="M40" s="56"/>
      <c r="N40" s="56"/>
      <c r="O40" s="56"/>
      <c r="P40" s="56"/>
      <c r="Q40" s="56"/>
      <c r="R40" s="56"/>
    </row>
    <row r="41" spans="8:18" ht="14.5" x14ac:dyDescent="0.35">
      <c r="H41" s="43">
        <v>34</v>
      </c>
      <c r="I41" s="55" t="s">
        <v>43</v>
      </c>
      <c r="M41" s="56"/>
      <c r="N41" s="56"/>
      <c r="O41" s="56"/>
      <c r="P41" s="56"/>
      <c r="Q41" s="56"/>
      <c r="R41" s="56"/>
    </row>
    <row r="42" spans="8:18" ht="14.5" x14ac:dyDescent="0.35">
      <c r="H42" s="43">
        <v>35</v>
      </c>
      <c r="I42" s="55" t="s">
        <v>44</v>
      </c>
      <c r="M42" s="56"/>
      <c r="N42" s="56"/>
      <c r="O42" s="56"/>
      <c r="P42" s="56"/>
      <c r="Q42" s="56"/>
      <c r="R42" s="56"/>
    </row>
    <row r="43" spans="8:18" ht="14.5" x14ac:dyDescent="0.35">
      <c r="H43" s="43">
        <v>36</v>
      </c>
      <c r="I43" s="55" t="s">
        <v>54</v>
      </c>
      <c r="M43" s="56"/>
      <c r="N43" s="56"/>
      <c r="O43" s="56"/>
      <c r="P43" s="56"/>
      <c r="Q43" s="56"/>
      <c r="R43" s="56"/>
    </row>
    <row r="44" spans="8:18" ht="14.5" x14ac:dyDescent="0.35">
      <c r="H44" s="43">
        <v>37</v>
      </c>
      <c r="I44" s="55" t="s">
        <v>45</v>
      </c>
      <c r="M44" s="56"/>
      <c r="N44" s="56"/>
      <c r="O44" s="56"/>
      <c r="P44" s="56"/>
      <c r="Q44" s="56"/>
      <c r="R44" s="56"/>
    </row>
    <row r="45" spans="8:18" ht="14.5" x14ac:dyDescent="0.35">
      <c r="H45" s="43">
        <v>38</v>
      </c>
      <c r="I45" s="55" t="s">
        <v>46</v>
      </c>
      <c r="M45" s="56"/>
      <c r="N45" s="56"/>
      <c r="O45" s="56"/>
      <c r="P45" s="56"/>
      <c r="Q45" s="56"/>
      <c r="R45" s="56"/>
    </row>
    <row r="46" spans="8:18" ht="14.5" x14ac:dyDescent="0.35">
      <c r="H46" s="43">
        <v>39</v>
      </c>
      <c r="I46" s="55" t="s">
        <v>47</v>
      </c>
      <c r="M46" s="56"/>
      <c r="N46" s="56"/>
      <c r="O46" s="56"/>
      <c r="P46" s="56"/>
      <c r="Q46" s="56"/>
      <c r="R46" s="56"/>
    </row>
    <row r="47" spans="8:18" ht="14.5" x14ac:dyDescent="0.35">
      <c r="H47" s="43">
        <v>40</v>
      </c>
      <c r="I47" s="55" t="s">
        <v>55</v>
      </c>
      <c r="M47" s="56"/>
      <c r="N47" s="56"/>
      <c r="O47" s="56"/>
      <c r="P47" s="56"/>
      <c r="Q47" s="56"/>
      <c r="R47" s="56"/>
    </row>
    <row r="48" spans="8:18" ht="14.5" x14ac:dyDescent="0.35">
      <c r="H48" s="43">
        <v>41</v>
      </c>
      <c r="I48" s="55" t="s">
        <v>48</v>
      </c>
      <c r="M48" s="56"/>
      <c r="N48" s="56"/>
      <c r="O48" s="56"/>
      <c r="P48" s="56"/>
      <c r="Q48" s="56"/>
      <c r="R48" s="56"/>
    </row>
    <row r="49" spans="8:18" ht="14.5" x14ac:dyDescent="0.35">
      <c r="H49" s="43">
        <v>42</v>
      </c>
      <c r="I49" s="55" t="s">
        <v>56</v>
      </c>
      <c r="M49" s="56"/>
      <c r="N49" s="56"/>
      <c r="O49" s="56"/>
      <c r="P49" s="56"/>
      <c r="Q49" s="56"/>
      <c r="R49" s="56"/>
    </row>
    <row r="50" spans="8:18" ht="14.5" x14ac:dyDescent="0.35">
      <c r="H50" s="43">
        <v>43</v>
      </c>
      <c r="I50" s="55" t="s">
        <v>49</v>
      </c>
      <c r="M50" s="56"/>
      <c r="N50" s="56"/>
      <c r="O50" s="56"/>
      <c r="P50" s="56"/>
      <c r="Q50" s="56"/>
      <c r="R50" s="56"/>
    </row>
    <row r="51" spans="8:18" ht="14.5" x14ac:dyDescent="0.35">
      <c r="H51" s="43">
        <v>44</v>
      </c>
      <c r="I51" s="55" t="s">
        <v>57</v>
      </c>
      <c r="M51" s="56"/>
      <c r="N51" s="56"/>
      <c r="O51" s="56"/>
      <c r="P51" s="56"/>
      <c r="Q51" s="56"/>
      <c r="R51" s="56"/>
    </row>
    <row r="52" spans="8:18" ht="14.5" x14ac:dyDescent="0.35">
      <c r="H52" s="43">
        <v>45</v>
      </c>
      <c r="I52" s="55" t="s">
        <v>23</v>
      </c>
      <c r="M52" s="58"/>
      <c r="P52" s="45"/>
      <c r="R52" s="49"/>
    </row>
    <row r="53" spans="8:18" ht="14.5" x14ac:dyDescent="0.35">
      <c r="H53" s="43">
        <v>46</v>
      </c>
      <c r="I53" s="55" t="s">
        <v>38</v>
      </c>
      <c r="M53" s="58"/>
      <c r="P53" s="45"/>
      <c r="R53" s="49"/>
    </row>
    <row r="54" spans="8:18" ht="14.5" x14ac:dyDescent="0.35">
      <c r="M54" s="58"/>
      <c r="P54" s="45"/>
      <c r="R54" s="49"/>
    </row>
    <row r="55" spans="8:18" ht="14.5" x14ac:dyDescent="0.35">
      <c r="M55" s="58"/>
      <c r="P55" s="45"/>
      <c r="R55" s="49"/>
    </row>
    <row r="56" spans="8:18" x14ac:dyDescent="0.3">
      <c r="P56" s="61"/>
      <c r="R56" s="49"/>
    </row>
    <row r="57" spans="8:18" ht="14.5" x14ac:dyDescent="0.35">
      <c r="O57" s="45"/>
    </row>
    <row r="58" spans="8:18" ht="14.5" x14ac:dyDescent="0.35">
      <c r="O58" s="45"/>
    </row>
    <row r="59" spans="8:18" ht="14.5" x14ac:dyDescent="0.35">
      <c r="O59" s="45"/>
    </row>
    <row r="60" spans="8:18" ht="14.5" x14ac:dyDescent="0.35">
      <c r="O60" s="45"/>
    </row>
    <row r="61" spans="8:18" ht="14.5" x14ac:dyDescent="0.35">
      <c r="O61" s="45"/>
    </row>
    <row r="74" spans="9:9" ht="14.5" x14ac:dyDescent="0.35">
      <c r="I74" s="55"/>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FC2E0-B8BB-48BD-A14A-D6DF874A2083}">
  <sheetPr codeName="Sheet7"/>
  <dimension ref="A1:G369"/>
  <sheetViews>
    <sheetView workbookViewId="0">
      <selection activeCell="A4" sqref="A4:L4"/>
    </sheetView>
  </sheetViews>
  <sheetFormatPr defaultRowHeight="14.5" x14ac:dyDescent="0.35"/>
  <cols>
    <col min="1" max="7" width="13.1796875" customWidth="1"/>
  </cols>
  <sheetData>
    <row r="1" spans="1:7" x14ac:dyDescent="0.35">
      <c r="A1" t="s">
        <v>76</v>
      </c>
      <c r="B1" t="s">
        <v>101</v>
      </c>
      <c r="C1" t="s">
        <v>102</v>
      </c>
      <c r="D1" t="s">
        <v>77</v>
      </c>
      <c r="E1" t="s">
        <v>104</v>
      </c>
      <c r="F1" t="s">
        <v>105</v>
      </c>
      <c r="G1" t="s">
        <v>103</v>
      </c>
    </row>
    <row r="2" spans="1:7" x14ac:dyDescent="0.35">
      <c r="A2">
        <v>2019</v>
      </c>
      <c r="B2" t="s">
        <v>12</v>
      </c>
      <c r="C2" t="s">
        <v>102</v>
      </c>
      <c r="D2" t="s">
        <v>77</v>
      </c>
      <c r="E2" t="s">
        <v>96</v>
      </c>
      <c r="F2" t="s">
        <v>7</v>
      </c>
      <c r="G2">
        <v>17</v>
      </c>
    </row>
    <row r="3" spans="1:7" x14ac:dyDescent="0.35">
      <c r="A3">
        <v>2019</v>
      </c>
      <c r="B3" t="s">
        <v>12</v>
      </c>
      <c r="C3" t="s">
        <v>102</v>
      </c>
      <c r="D3" t="s">
        <v>77</v>
      </c>
      <c r="E3" t="s">
        <v>89</v>
      </c>
      <c r="F3" t="s">
        <v>7</v>
      </c>
      <c r="G3">
        <v>12</v>
      </c>
    </row>
    <row r="4" spans="1:7" x14ac:dyDescent="0.35">
      <c r="A4">
        <v>2019</v>
      </c>
      <c r="B4" t="s">
        <v>12</v>
      </c>
      <c r="C4" t="s">
        <v>102</v>
      </c>
      <c r="D4" t="s">
        <v>77</v>
      </c>
      <c r="E4" t="s">
        <v>91</v>
      </c>
      <c r="F4" t="s">
        <v>7</v>
      </c>
      <c r="G4">
        <v>10</v>
      </c>
    </row>
    <row r="5" spans="1:7" x14ac:dyDescent="0.35">
      <c r="A5">
        <v>2019</v>
      </c>
      <c r="B5" t="s">
        <v>12</v>
      </c>
      <c r="C5" t="s">
        <v>102</v>
      </c>
      <c r="D5" t="s">
        <v>77</v>
      </c>
      <c r="E5" t="s">
        <v>90</v>
      </c>
      <c r="F5" t="s">
        <v>7</v>
      </c>
      <c r="G5">
        <v>0</v>
      </c>
    </row>
    <row r="6" spans="1:7" x14ac:dyDescent="0.35">
      <c r="A6">
        <v>2019</v>
      </c>
      <c r="B6" t="s">
        <v>13</v>
      </c>
      <c r="C6" t="s">
        <v>102</v>
      </c>
      <c r="D6" t="s">
        <v>77</v>
      </c>
      <c r="E6" t="s">
        <v>96</v>
      </c>
      <c r="F6" t="s">
        <v>7</v>
      </c>
      <c r="G6">
        <v>24</v>
      </c>
    </row>
    <row r="7" spans="1:7" x14ac:dyDescent="0.35">
      <c r="A7">
        <v>2019</v>
      </c>
      <c r="B7" t="s">
        <v>13</v>
      </c>
      <c r="C7" t="s">
        <v>102</v>
      </c>
      <c r="D7" t="s">
        <v>77</v>
      </c>
      <c r="E7" t="s">
        <v>89</v>
      </c>
      <c r="F7" t="s">
        <v>7</v>
      </c>
      <c r="G7">
        <v>17</v>
      </c>
    </row>
    <row r="8" spans="1:7" x14ac:dyDescent="0.35">
      <c r="A8">
        <v>2019</v>
      </c>
      <c r="B8" t="s">
        <v>13</v>
      </c>
      <c r="C8" t="s">
        <v>102</v>
      </c>
      <c r="D8" t="s">
        <v>77</v>
      </c>
      <c r="E8" t="s">
        <v>91</v>
      </c>
      <c r="F8" t="s">
        <v>7</v>
      </c>
      <c r="G8">
        <v>13</v>
      </c>
    </row>
    <row r="9" spans="1:7" x14ac:dyDescent="0.35">
      <c r="A9">
        <v>2019</v>
      </c>
      <c r="B9" t="s">
        <v>13</v>
      </c>
      <c r="C9" t="s">
        <v>102</v>
      </c>
      <c r="D9" t="s">
        <v>77</v>
      </c>
      <c r="E9" t="s">
        <v>90</v>
      </c>
      <c r="F9" t="s">
        <v>7</v>
      </c>
      <c r="G9">
        <v>0</v>
      </c>
    </row>
    <row r="10" spans="1:7" x14ac:dyDescent="0.35">
      <c r="A10">
        <v>2019</v>
      </c>
      <c r="B10" t="s">
        <v>14</v>
      </c>
      <c r="C10" t="s">
        <v>102</v>
      </c>
      <c r="D10" t="s">
        <v>77</v>
      </c>
      <c r="E10" t="s">
        <v>96</v>
      </c>
      <c r="F10" t="s">
        <v>7</v>
      </c>
      <c r="G10">
        <v>19</v>
      </c>
    </row>
    <row r="11" spans="1:7" x14ac:dyDescent="0.35">
      <c r="A11">
        <v>2019</v>
      </c>
      <c r="B11" t="s">
        <v>14</v>
      </c>
      <c r="C11" t="s">
        <v>102</v>
      </c>
      <c r="D11" t="s">
        <v>77</v>
      </c>
      <c r="E11" t="s">
        <v>89</v>
      </c>
      <c r="F11" t="s">
        <v>7</v>
      </c>
      <c r="G11">
        <v>14</v>
      </c>
    </row>
    <row r="12" spans="1:7" x14ac:dyDescent="0.35">
      <c r="A12">
        <v>2019</v>
      </c>
      <c r="B12" t="s">
        <v>14</v>
      </c>
      <c r="C12" t="s">
        <v>102</v>
      </c>
      <c r="D12" t="s">
        <v>77</v>
      </c>
      <c r="E12" t="s">
        <v>91</v>
      </c>
      <c r="F12" t="s">
        <v>7</v>
      </c>
      <c r="G12">
        <v>10</v>
      </c>
    </row>
    <row r="13" spans="1:7" x14ac:dyDescent="0.35">
      <c r="A13">
        <v>2019</v>
      </c>
      <c r="B13" t="s">
        <v>14</v>
      </c>
      <c r="C13" t="s">
        <v>102</v>
      </c>
      <c r="D13" t="s">
        <v>77</v>
      </c>
      <c r="E13" t="s">
        <v>90</v>
      </c>
      <c r="F13" t="s">
        <v>7</v>
      </c>
      <c r="G13">
        <v>3</v>
      </c>
    </row>
    <row r="14" spans="1:7" x14ac:dyDescent="0.35">
      <c r="A14">
        <v>2019</v>
      </c>
      <c r="B14" t="s">
        <v>15</v>
      </c>
      <c r="C14" t="s">
        <v>102</v>
      </c>
      <c r="D14" t="s">
        <v>77</v>
      </c>
      <c r="E14" t="s">
        <v>96</v>
      </c>
      <c r="F14" t="s">
        <v>7</v>
      </c>
      <c r="G14">
        <v>16</v>
      </c>
    </row>
    <row r="15" spans="1:7" x14ac:dyDescent="0.35">
      <c r="A15">
        <v>2019</v>
      </c>
      <c r="B15" t="s">
        <v>15</v>
      </c>
      <c r="C15" t="s">
        <v>102</v>
      </c>
      <c r="D15" t="s">
        <v>77</v>
      </c>
      <c r="E15" t="s">
        <v>89</v>
      </c>
      <c r="F15" t="s">
        <v>7</v>
      </c>
      <c r="G15">
        <v>24</v>
      </c>
    </row>
    <row r="16" spans="1:7" x14ac:dyDescent="0.35">
      <c r="A16">
        <v>2019</v>
      </c>
      <c r="B16" t="s">
        <v>15</v>
      </c>
      <c r="C16" t="s">
        <v>102</v>
      </c>
      <c r="D16" t="s">
        <v>77</v>
      </c>
      <c r="E16" t="s">
        <v>91</v>
      </c>
      <c r="F16" t="s">
        <v>7</v>
      </c>
      <c r="G16">
        <v>2</v>
      </c>
    </row>
    <row r="17" spans="1:7" x14ac:dyDescent="0.35">
      <c r="A17">
        <v>2019</v>
      </c>
      <c r="B17" t="s">
        <v>15</v>
      </c>
      <c r="C17" t="s">
        <v>102</v>
      </c>
      <c r="D17" t="s">
        <v>77</v>
      </c>
      <c r="E17" t="s">
        <v>90</v>
      </c>
      <c r="F17" t="s">
        <v>7</v>
      </c>
      <c r="G17">
        <v>0</v>
      </c>
    </row>
    <row r="18" spans="1:7" x14ac:dyDescent="0.35">
      <c r="A18">
        <v>2019</v>
      </c>
      <c r="B18" t="s">
        <v>16</v>
      </c>
      <c r="C18" t="s">
        <v>102</v>
      </c>
      <c r="D18" t="s">
        <v>77</v>
      </c>
      <c r="E18" t="s">
        <v>96</v>
      </c>
      <c r="F18" t="s">
        <v>7</v>
      </c>
      <c r="G18">
        <v>34</v>
      </c>
    </row>
    <row r="19" spans="1:7" x14ac:dyDescent="0.35">
      <c r="A19">
        <v>2019</v>
      </c>
      <c r="B19" t="s">
        <v>16</v>
      </c>
      <c r="C19" t="s">
        <v>102</v>
      </c>
      <c r="D19" t="s">
        <v>77</v>
      </c>
      <c r="E19" t="s">
        <v>89</v>
      </c>
      <c r="F19" t="s">
        <v>7</v>
      </c>
      <c r="G19">
        <v>12</v>
      </c>
    </row>
    <row r="20" spans="1:7" x14ac:dyDescent="0.35">
      <c r="A20">
        <v>2019</v>
      </c>
      <c r="B20" t="s">
        <v>16</v>
      </c>
      <c r="C20" t="s">
        <v>102</v>
      </c>
      <c r="D20" t="s">
        <v>77</v>
      </c>
      <c r="E20" t="s">
        <v>91</v>
      </c>
      <c r="F20" t="s">
        <v>7</v>
      </c>
      <c r="G20">
        <v>12</v>
      </c>
    </row>
    <row r="21" spans="1:7" x14ac:dyDescent="0.35">
      <c r="A21">
        <v>2019</v>
      </c>
      <c r="B21" t="s">
        <v>16</v>
      </c>
      <c r="C21" t="s">
        <v>102</v>
      </c>
      <c r="D21" t="s">
        <v>77</v>
      </c>
      <c r="E21" t="s">
        <v>90</v>
      </c>
      <c r="F21" t="s">
        <v>7</v>
      </c>
      <c r="G21">
        <v>2</v>
      </c>
    </row>
    <row r="22" spans="1:7" x14ac:dyDescent="0.35">
      <c r="A22">
        <v>2019</v>
      </c>
      <c r="B22" t="s">
        <v>17</v>
      </c>
      <c r="C22" t="s">
        <v>102</v>
      </c>
      <c r="D22" t="s">
        <v>77</v>
      </c>
      <c r="E22" t="s">
        <v>96</v>
      </c>
      <c r="F22" t="s">
        <v>7</v>
      </c>
      <c r="G22">
        <v>24</v>
      </c>
    </row>
    <row r="23" spans="1:7" x14ac:dyDescent="0.35">
      <c r="A23">
        <v>2019</v>
      </c>
      <c r="B23" t="s">
        <v>17</v>
      </c>
      <c r="C23" t="s">
        <v>102</v>
      </c>
      <c r="D23" t="s">
        <v>77</v>
      </c>
      <c r="E23" t="s">
        <v>89</v>
      </c>
      <c r="F23" t="s">
        <v>7</v>
      </c>
      <c r="G23">
        <v>44</v>
      </c>
    </row>
    <row r="24" spans="1:7" x14ac:dyDescent="0.35">
      <c r="A24">
        <v>2019</v>
      </c>
      <c r="B24" t="s">
        <v>17</v>
      </c>
      <c r="C24" t="s">
        <v>102</v>
      </c>
      <c r="D24" t="s">
        <v>77</v>
      </c>
      <c r="E24" t="s">
        <v>91</v>
      </c>
      <c r="F24" t="s">
        <v>7</v>
      </c>
      <c r="G24">
        <v>6</v>
      </c>
    </row>
    <row r="25" spans="1:7" x14ac:dyDescent="0.35">
      <c r="A25">
        <v>2019</v>
      </c>
      <c r="B25" t="s">
        <v>17</v>
      </c>
      <c r="C25" t="s">
        <v>102</v>
      </c>
      <c r="D25" t="s">
        <v>77</v>
      </c>
      <c r="E25" t="s">
        <v>90</v>
      </c>
      <c r="F25" t="s">
        <v>7</v>
      </c>
      <c r="G25">
        <v>0</v>
      </c>
    </row>
    <row r="26" spans="1:7" x14ac:dyDescent="0.35">
      <c r="A26">
        <v>2019</v>
      </c>
      <c r="B26" t="s">
        <v>18</v>
      </c>
      <c r="C26" t="s">
        <v>102</v>
      </c>
      <c r="D26" t="s">
        <v>77</v>
      </c>
      <c r="E26" t="s">
        <v>96</v>
      </c>
      <c r="F26" t="s">
        <v>7</v>
      </c>
      <c r="G26">
        <v>12</v>
      </c>
    </row>
    <row r="27" spans="1:7" x14ac:dyDescent="0.35">
      <c r="A27">
        <v>2019</v>
      </c>
      <c r="B27" t="s">
        <v>18</v>
      </c>
      <c r="C27" t="s">
        <v>102</v>
      </c>
      <c r="D27" t="s">
        <v>77</v>
      </c>
      <c r="E27" t="s">
        <v>89</v>
      </c>
      <c r="F27" t="s">
        <v>7</v>
      </c>
      <c r="G27">
        <v>34</v>
      </c>
    </row>
    <row r="28" spans="1:7" x14ac:dyDescent="0.35">
      <c r="A28">
        <v>2019</v>
      </c>
      <c r="B28" t="s">
        <v>18</v>
      </c>
      <c r="C28" t="s">
        <v>102</v>
      </c>
      <c r="D28" t="s">
        <v>77</v>
      </c>
      <c r="E28" t="s">
        <v>91</v>
      </c>
      <c r="F28" t="s">
        <v>7</v>
      </c>
      <c r="G28">
        <v>5</v>
      </c>
    </row>
    <row r="29" spans="1:7" x14ac:dyDescent="0.35">
      <c r="A29">
        <v>2019</v>
      </c>
      <c r="B29" t="s">
        <v>18</v>
      </c>
      <c r="C29" t="s">
        <v>102</v>
      </c>
      <c r="D29" t="s">
        <v>77</v>
      </c>
      <c r="E29" t="s">
        <v>90</v>
      </c>
      <c r="F29" t="s">
        <v>7</v>
      </c>
      <c r="G29">
        <v>0</v>
      </c>
    </row>
    <row r="30" spans="1:7" x14ac:dyDescent="0.35">
      <c r="A30">
        <v>2019</v>
      </c>
      <c r="B30" t="s">
        <v>19</v>
      </c>
      <c r="C30" t="s">
        <v>102</v>
      </c>
      <c r="D30" t="s">
        <v>77</v>
      </c>
      <c r="E30" t="s">
        <v>96</v>
      </c>
      <c r="F30" t="s">
        <v>7</v>
      </c>
      <c r="G30">
        <v>56</v>
      </c>
    </row>
    <row r="31" spans="1:7" x14ac:dyDescent="0.35">
      <c r="A31">
        <v>2019</v>
      </c>
      <c r="B31" t="s">
        <v>19</v>
      </c>
      <c r="C31" t="s">
        <v>102</v>
      </c>
      <c r="D31" t="s">
        <v>77</v>
      </c>
      <c r="E31" t="s">
        <v>89</v>
      </c>
      <c r="F31" t="s">
        <v>7</v>
      </c>
      <c r="G31">
        <v>11</v>
      </c>
    </row>
    <row r="32" spans="1:7" x14ac:dyDescent="0.35">
      <c r="A32">
        <v>2019</v>
      </c>
      <c r="B32" t="s">
        <v>19</v>
      </c>
      <c r="C32" t="s">
        <v>102</v>
      </c>
      <c r="D32" t="s">
        <v>77</v>
      </c>
      <c r="E32" t="s">
        <v>91</v>
      </c>
      <c r="F32" t="s">
        <v>7</v>
      </c>
      <c r="G32">
        <v>14</v>
      </c>
    </row>
    <row r="33" spans="1:7" x14ac:dyDescent="0.35">
      <c r="A33">
        <v>2019</v>
      </c>
      <c r="B33" t="s">
        <v>19</v>
      </c>
      <c r="C33" t="s">
        <v>102</v>
      </c>
      <c r="D33" t="s">
        <v>77</v>
      </c>
      <c r="E33" t="s">
        <v>90</v>
      </c>
      <c r="F33" t="s">
        <v>7</v>
      </c>
      <c r="G33">
        <v>1</v>
      </c>
    </row>
    <row r="34" spans="1:7" x14ac:dyDescent="0.35">
      <c r="A34">
        <v>2019</v>
      </c>
      <c r="B34" t="s">
        <v>20</v>
      </c>
      <c r="C34" t="s">
        <v>102</v>
      </c>
      <c r="D34" t="s">
        <v>77</v>
      </c>
      <c r="E34" t="s">
        <v>96</v>
      </c>
      <c r="F34" t="s">
        <v>7</v>
      </c>
      <c r="G34">
        <v>17</v>
      </c>
    </row>
    <row r="35" spans="1:7" x14ac:dyDescent="0.35">
      <c r="A35">
        <v>2019</v>
      </c>
      <c r="B35" t="s">
        <v>20</v>
      </c>
      <c r="C35" t="s">
        <v>102</v>
      </c>
      <c r="D35" t="s">
        <v>77</v>
      </c>
      <c r="E35" t="s">
        <v>89</v>
      </c>
      <c r="F35" t="s">
        <v>7</v>
      </c>
      <c r="G35">
        <v>7</v>
      </c>
    </row>
    <row r="36" spans="1:7" x14ac:dyDescent="0.35">
      <c r="A36">
        <v>2019</v>
      </c>
      <c r="B36" t="s">
        <v>20</v>
      </c>
      <c r="C36" t="s">
        <v>102</v>
      </c>
      <c r="D36" t="s">
        <v>77</v>
      </c>
      <c r="E36" t="s">
        <v>91</v>
      </c>
      <c r="F36" t="s">
        <v>7</v>
      </c>
      <c r="G36">
        <v>5</v>
      </c>
    </row>
    <row r="37" spans="1:7" x14ac:dyDescent="0.35">
      <c r="A37">
        <v>2019</v>
      </c>
      <c r="B37" t="s">
        <v>20</v>
      </c>
      <c r="C37" t="s">
        <v>102</v>
      </c>
      <c r="D37" t="s">
        <v>77</v>
      </c>
      <c r="E37" t="s">
        <v>90</v>
      </c>
      <c r="F37" t="s">
        <v>7</v>
      </c>
      <c r="G37">
        <v>0</v>
      </c>
    </row>
    <row r="38" spans="1:7" x14ac:dyDescent="0.35">
      <c r="A38">
        <v>2019</v>
      </c>
      <c r="B38" t="s">
        <v>21</v>
      </c>
      <c r="C38" t="s">
        <v>102</v>
      </c>
      <c r="D38" t="s">
        <v>77</v>
      </c>
      <c r="E38" t="s">
        <v>96</v>
      </c>
      <c r="F38" t="s">
        <v>7</v>
      </c>
      <c r="G38">
        <v>25</v>
      </c>
    </row>
    <row r="39" spans="1:7" x14ac:dyDescent="0.35">
      <c r="A39">
        <v>2019</v>
      </c>
      <c r="B39" t="s">
        <v>21</v>
      </c>
      <c r="C39" t="s">
        <v>102</v>
      </c>
      <c r="D39" t="s">
        <v>77</v>
      </c>
      <c r="E39" t="s">
        <v>89</v>
      </c>
      <c r="F39" t="s">
        <v>7</v>
      </c>
      <c r="G39">
        <v>23</v>
      </c>
    </row>
    <row r="40" spans="1:7" x14ac:dyDescent="0.35">
      <c r="A40">
        <v>2019</v>
      </c>
      <c r="B40" t="s">
        <v>21</v>
      </c>
      <c r="C40" t="s">
        <v>102</v>
      </c>
      <c r="D40" t="s">
        <v>77</v>
      </c>
      <c r="E40" t="s">
        <v>91</v>
      </c>
      <c r="F40" t="s">
        <v>7</v>
      </c>
      <c r="G40">
        <v>9</v>
      </c>
    </row>
    <row r="41" spans="1:7" x14ac:dyDescent="0.35">
      <c r="A41">
        <v>2019</v>
      </c>
      <c r="B41" t="s">
        <v>21</v>
      </c>
      <c r="C41" t="s">
        <v>102</v>
      </c>
      <c r="D41" t="s">
        <v>77</v>
      </c>
      <c r="E41" t="s">
        <v>90</v>
      </c>
      <c r="F41" t="s">
        <v>7</v>
      </c>
      <c r="G41">
        <v>0</v>
      </c>
    </row>
    <row r="42" spans="1:7" x14ac:dyDescent="0.35">
      <c r="A42">
        <v>2019</v>
      </c>
      <c r="B42" t="s">
        <v>22</v>
      </c>
      <c r="C42" t="s">
        <v>102</v>
      </c>
      <c r="D42" t="s">
        <v>77</v>
      </c>
      <c r="E42" t="s">
        <v>96</v>
      </c>
      <c r="F42" t="s">
        <v>7</v>
      </c>
      <c r="G42">
        <v>112</v>
      </c>
    </row>
    <row r="43" spans="1:7" x14ac:dyDescent="0.35">
      <c r="A43">
        <v>2019</v>
      </c>
      <c r="B43" t="s">
        <v>22</v>
      </c>
      <c r="C43" t="s">
        <v>102</v>
      </c>
      <c r="D43" t="s">
        <v>77</v>
      </c>
      <c r="E43" t="s">
        <v>89</v>
      </c>
      <c r="F43" t="s">
        <v>7</v>
      </c>
      <c r="G43">
        <v>8</v>
      </c>
    </row>
    <row r="44" spans="1:7" x14ac:dyDescent="0.35">
      <c r="A44">
        <v>2019</v>
      </c>
      <c r="B44" t="s">
        <v>22</v>
      </c>
      <c r="C44" t="s">
        <v>102</v>
      </c>
      <c r="D44" t="s">
        <v>77</v>
      </c>
      <c r="E44" t="s">
        <v>91</v>
      </c>
      <c r="F44" t="s">
        <v>7</v>
      </c>
      <c r="G44">
        <v>15</v>
      </c>
    </row>
    <row r="45" spans="1:7" x14ac:dyDescent="0.35">
      <c r="A45">
        <v>2019</v>
      </c>
      <c r="B45" t="s">
        <v>22</v>
      </c>
      <c r="C45" t="s">
        <v>102</v>
      </c>
      <c r="D45" t="s">
        <v>77</v>
      </c>
      <c r="E45" t="s">
        <v>90</v>
      </c>
      <c r="F45" t="s">
        <v>7</v>
      </c>
      <c r="G45">
        <v>0</v>
      </c>
    </row>
    <row r="46" spans="1:7" x14ac:dyDescent="0.35">
      <c r="A46">
        <v>2019</v>
      </c>
      <c r="B46" t="s">
        <v>24</v>
      </c>
      <c r="C46" t="s">
        <v>102</v>
      </c>
      <c r="D46" t="s">
        <v>77</v>
      </c>
      <c r="E46" t="s">
        <v>96</v>
      </c>
      <c r="F46" t="s">
        <v>7</v>
      </c>
      <c r="G46">
        <v>22</v>
      </c>
    </row>
    <row r="47" spans="1:7" x14ac:dyDescent="0.35">
      <c r="A47">
        <v>2019</v>
      </c>
      <c r="B47" t="s">
        <v>24</v>
      </c>
      <c r="C47" t="s">
        <v>102</v>
      </c>
      <c r="D47" t="s">
        <v>77</v>
      </c>
      <c r="E47" t="s">
        <v>89</v>
      </c>
      <c r="F47" t="s">
        <v>7</v>
      </c>
      <c r="G47">
        <v>0</v>
      </c>
    </row>
    <row r="48" spans="1:7" x14ac:dyDescent="0.35">
      <c r="A48">
        <v>2019</v>
      </c>
      <c r="B48" t="s">
        <v>24</v>
      </c>
      <c r="C48" t="s">
        <v>102</v>
      </c>
      <c r="D48" t="s">
        <v>77</v>
      </c>
      <c r="E48" t="s">
        <v>91</v>
      </c>
      <c r="F48" t="s">
        <v>7</v>
      </c>
      <c r="G48">
        <v>4</v>
      </c>
    </row>
    <row r="49" spans="1:7" x14ac:dyDescent="0.35">
      <c r="A49">
        <v>2019</v>
      </c>
      <c r="B49" t="s">
        <v>24</v>
      </c>
      <c r="C49" t="s">
        <v>102</v>
      </c>
      <c r="D49" t="s">
        <v>77</v>
      </c>
      <c r="E49" t="s">
        <v>90</v>
      </c>
      <c r="F49" t="s">
        <v>7</v>
      </c>
      <c r="G49">
        <v>0</v>
      </c>
    </row>
    <row r="50" spans="1:7" x14ac:dyDescent="0.35">
      <c r="A50">
        <v>2019</v>
      </c>
      <c r="B50" t="s">
        <v>25</v>
      </c>
      <c r="C50" t="s">
        <v>102</v>
      </c>
      <c r="D50" t="s">
        <v>77</v>
      </c>
      <c r="E50" t="s">
        <v>96</v>
      </c>
      <c r="F50" t="s">
        <v>7</v>
      </c>
      <c r="G50">
        <v>25</v>
      </c>
    </row>
    <row r="51" spans="1:7" x14ac:dyDescent="0.35">
      <c r="A51">
        <v>2019</v>
      </c>
      <c r="B51" t="s">
        <v>25</v>
      </c>
      <c r="C51" t="s">
        <v>102</v>
      </c>
      <c r="D51" t="s">
        <v>77</v>
      </c>
      <c r="E51" t="s">
        <v>89</v>
      </c>
      <c r="F51" t="s">
        <v>7</v>
      </c>
      <c r="G51">
        <v>1</v>
      </c>
    </row>
    <row r="52" spans="1:7" x14ac:dyDescent="0.35">
      <c r="A52">
        <v>2019</v>
      </c>
      <c r="B52" t="s">
        <v>25</v>
      </c>
      <c r="C52" t="s">
        <v>102</v>
      </c>
      <c r="D52" t="s">
        <v>77</v>
      </c>
      <c r="E52" t="s">
        <v>91</v>
      </c>
      <c r="F52" t="s">
        <v>7</v>
      </c>
      <c r="G52">
        <v>8</v>
      </c>
    </row>
    <row r="53" spans="1:7" x14ac:dyDescent="0.35">
      <c r="A53">
        <v>2019</v>
      </c>
      <c r="B53" t="s">
        <v>25</v>
      </c>
      <c r="C53" t="s">
        <v>102</v>
      </c>
      <c r="D53" t="s">
        <v>77</v>
      </c>
      <c r="E53" t="s">
        <v>90</v>
      </c>
      <c r="F53" t="s">
        <v>7</v>
      </c>
      <c r="G53">
        <v>1</v>
      </c>
    </row>
    <row r="54" spans="1:7" x14ac:dyDescent="0.35">
      <c r="A54">
        <v>2019</v>
      </c>
      <c r="B54" t="s">
        <v>26</v>
      </c>
      <c r="C54" t="s">
        <v>102</v>
      </c>
      <c r="D54" t="s">
        <v>77</v>
      </c>
      <c r="E54" t="s">
        <v>96</v>
      </c>
      <c r="F54" t="s">
        <v>7</v>
      </c>
      <c r="G54">
        <v>60</v>
      </c>
    </row>
    <row r="55" spans="1:7" x14ac:dyDescent="0.35">
      <c r="A55">
        <v>2019</v>
      </c>
      <c r="B55" t="s">
        <v>26</v>
      </c>
      <c r="C55" t="s">
        <v>102</v>
      </c>
      <c r="D55" t="s">
        <v>77</v>
      </c>
      <c r="E55" t="s">
        <v>89</v>
      </c>
      <c r="F55" t="s">
        <v>7</v>
      </c>
      <c r="G55">
        <v>53</v>
      </c>
    </row>
    <row r="56" spans="1:7" x14ac:dyDescent="0.35">
      <c r="A56">
        <v>2019</v>
      </c>
      <c r="B56" t="s">
        <v>26</v>
      </c>
      <c r="C56" t="s">
        <v>102</v>
      </c>
      <c r="D56" t="s">
        <v>77</v>
      </c>
      <c r="E56" t="s">
        <v>91</v>
      </c>
      <c r="F56" t="s">
        <v>7</v>
      </c>
      <c r="G56">
        <v>16</v>
      </c>
    </row>
    <row r="57" spans="1:7" x14ac:dyDescent="0.35">
      <c r="A57">
        <v>2019</v>
      </c>
      <c r="B57" t="s">
        <v>26</v>
      </c>
      <c r="C57" t="s">
        <v>102</v>
      </c>
      <c r="D57" t="s">
        <v>77</v>
      </c>
      <c r="E57" t="s">
        <v>90</v>
      </c>
      <c r="F57" t="s">
        <v>7</v>
      </c>
      <c r="G57">
        <v>0</v>
      </c>
    </row>
    <row r="58" spans="1:7" x14ac:dyDescent="0.35">
      <c r="A58">
        <v>2019</v>
      </c>
      <c r="B58" t="s">
        <v>27</v>
      </c>
      <c r="C58" t="s">
        <v>102</v>
      </c>
      <c r="D58" t="s">
        <v>77</v>
      </c>
      <c r="E58" t="s">
        <v>96</v>
      </c>
      <c r="F58" t="s">
        <v>7</v>
      </c>
      <c r="G58">
        <v>42</v>
      </c>
    </row>
    <row r="59" spans="1:7" x14ac:dyDescent="0.35">
      <c r="A59">
        <v>2019</v>
      </c>
      <c r="B59" t="s">
        <v>27</v>
      </c>
      <c r="C59" t="s">
        <v>102</v>
      </c>
      <c r="D59" t="s">
        <v>77</v>
      </c>
      <c r="E59" t="s">
        <v>89</v>
      </c>
      <c r="F59" t="s">
        <v>7</v>
      </c>
      <c r="G59">
        <v>7</v>
      </c>
    </row>
    <row r="60" spans="1:7" x14ac:dyDescent="0.35">
      <c r="A60">
        <v>2019</v>
      </c>
      <c r="B60" t="s">
        <v>27</v>
      </c>
      <c r="C60" t="s">
        <v>102</v>
      </c>
      <c r="D60" t="s">
        <v>77</v>
      </c>
      <c r="E60" t="s">
        <v>91</v>
      </c>
      <c r="F60" t="s">
        <v>7</v>
      </c>
      <c r="G60">
        <v>5</v>
      </c>
    </row>
    <row r="61" spans="1:7" x14ac:dyDescent="0.35">
      <c r="A61">
        <v>2019</v>
      </c>
      <c r="B61" t="s">
        <v>27</v>
      </c>
      <c r="C61" t="s">
        <v>102</v>
      </c>
      <c r="D61" t="s">
        <v>77</v>
      </c>
      <c r="E61" t="s">
        <v>90</v>
      </c>
      <c r="F61" t="s">
        <v>7</v>
      </c>
      <c r="G61">
        <v>0</v>
      </c>
    </row>
    <row r="62" spans="1:7" x14ac:dyDescent="0.35">
      <c r="A62">
        <v>2019</v>
      </c>
      <c r="B62" t="s">
        <v>58</v>
      </c>
      <c r="C62" t="s">
        <v>102</v>
      </c>
      <c r="D62" t="s">
        <v>77</v>
      </c>
      <c r="E62" t="s">
        <v>96</v>
      </c>
      <c r="F62" t="s">
        <v>7</v>
      </c>
      <c r="G62">
        <v>0</v>
      </c>
    </row>
    <row r="63" spans="1:7" x14ac:dyDescent="0.35">
      <c r="A63">
        <v>2019</v>
      </c>
      <c r="B63" t="s">
        <v>58</v>
      </c>
      <c r="C63" t="s">
        <v>102</v>
      </c>
      <c r="D63" t="s">
        <v>77</v>
      </c>
      <c r="E63" t="s">
        <v>89</v>
      </c>
      <c r="F63" t="s">
        <v>7</v>
      </c>
      <c r="G63">
        <v>387</v>
      </c>
    </row>
    <row r="64" spans="1:7" x14ac:dyDescent="0.35">
      <c r="A64">
        <v>2019</v>
      </c>
      <c r="B64" t="s">
        <v>58</v>
      </c>
      <c r="C64" t="s">
        <v>102</v>
      </c>
      <c r="D64" t="s">
        <v>77</v>
      </c>
      <c r="E64" t="s">
        <v>91</v>
      </c>
      <c r="F64" t="s">
        <v>7</v>
      </c>
      <c r="G64">
        <v>42</v>
      </c>
    </row>
    <row r="65" spans="1:7" x14ac:dyDescent="0.35">
      <c r="A65">
        <v>2019</v>
      </c>
      <c r="B65" t="s">
        <v>58</v>
      </c>
      <c r="C65" t="s">
        <v>102</v>
      </c>
      <c r="D65" t="s">
        <v>77</v>
      </c>
      <c r="E65" t="s">
        <v>90</v>
      </c>
      <c r="F65" t="s">
        <v>7</v>
      </c>
      <c r="G65">
        <v>1</v>
      </c>
    </row>
    <row r="66" spans="1:7" x14ac:dyDescent="0.35">
      <c r="A66">
        <v>2019</v>
      </c>
      <c r="B66" t="s">
        <v>52</v>
      </c>
      <c r="C66" t="s">
        <v>102</v>
      </c>
      <c r="D66" t="s">
        <v>77</v>
      </c>
      <c r="E66" t="s">
        <v>96</v>
      </c>
      <c r="F66" t="s">
        <v>7</v>
      </c>
      <c r="G66">
        <v>0</v>
      </c>
    </row>
    <row r="67" spans="1:7" x14ac:dyDescent="0.35">
      <c r="A67">
        <v>2019</v>
      </c>
      <c r="B67" t="s">
        <v>52</v>
      </c>
      <c r="C67" t="s">
        <v>102</v>
      </c>
      <c r="D67" t="s">
        <v>77</v>
      </c>
      <c r="E67" t="s">
        <v>89</v>
      </c>
      <c r="F67" t="s">
        <v>7</v>
      </c>
      <c r="G67">
        <v>106</v>
      </c>
    </row>
    <row r="68" spans="1:7" x14ac:dyDescent="0.35">
      <c r="A68">
        <v>2019</v>
      </c>
      <c r="B68" t="s">
        <v>52</v>
      </c>
      <c r="C68" t="s">
        <v>102</v>
      </c>
      <c r="D68" t="s">
        <v>77</v>
      </c>
      <c r="E68" t="s">
        <v>91</v>
      </c>
      <c r="F68" t="s">
        <v>7</v>
      </c>
      <c r="G68">
        <v>31</v>
      </c>
    </row>
    <row r="69" spans="1:7" x14ac:dyDescent="0.35">
      <c r="A69">
        <v>2019</v>
      </c>
      <c r="B69" t="s">
        <v>52</v>
      </c>
      <c r="C69" t="s">
        <v>102</v>
      </c>
      <c r="D69" t="s">
        <v>77</v>
      </c>
      <c r="E69" t="s">
        <v>90</v>
      </c>
      <c r="F69" t="s">
        <v>7</v>
      </c>
      <c r="G69">
        <v>0</v>
      </c>
    </row>
    <row r="70" spans="1:7" x14ac:dyDescent="0.35">
      <c r="A70">
        <v>2019</v>
      </c>
      <c r="B70" t="s">
        <v>28</v>
      </c>
      <c r="C70" t="s">
        <v>102</v>
      </c>
      <c r="D70" t="s">
        <v>77</v>
      </c>
      <c r="E70" t="s">
        <v>96</v>
      </c>
      <c r="F70" t="s">
        <v>7</v>
      </c>
      <c r="G70">
        <v>16</v>
      </c>
    </row>
    <row r="71" spans="1:7" x14ac:dyDescent="0.35">
      <c r="A71">
        <v>2019</v>
      </c>
      <c r="B71" t="s">
        <v>28</v>
      </c>
      <c r="C71" t="s">
        <v>102</v>
      </c>
      <c r="D71" t="s">
        <v>77</v>
      </c>
      <c r="E71" t="s">
        <v>89</v>
      </c>
      <c r="F71" t="s">
        <v>7</v>
      </c>
      <c r="G71">
        <v>5</v>
      </c>
    </row>
    <row r="72" spans="1:7" x14ac:dyDescent="0.35">
      <c r="A72">
        <v>2019</v>
      </c>
      <c r="B72" t="s">
        <v>28</v>
      </c>
      <c r="C72" t="s">
        <v>102</v>
      </c>
      <c r="D72" t="s">
        <v>77</v>
      </c>
      <c r="E72" t="s">
        <v>91</v>
      </c>
      <c r="F72" t="s">
        <v>7</v>
      </c>
      <c r="G72">
        <v>17</v>
      </c>
    </row>
    <row r="73" spans="1:7" x14ac:dyDescent="0.35">
      <c r="A73">
        <v>2019</v>
      </c>
      <c r="B73" t="s">
        <v>28</v>
      </c>
      <c r="C73" t="s">
        <v>102</v>
      </c>
      <c r="D73" t="s">
        <v>77</v>
      </c>
      <c r="E73" t="s">
        <v>90</v>
      </c>
      <c r="F73" t="s">
        <v>7</v>
      </c>
      <c r="G73">
        <v>3</v>
      </c>
    </row>
    <row r="74" spans="1:7" x14ac:dyDescent="0.35">
      <c r="A74">
        <v>2019</v>
      </c>
      <c r="B74" t="s">
        <v>29</v>
      </c>
      <c r="C74" t="s">
        <v>102</v>
      </c>
      <c r="D74" t="s">
        <v>77</v>
      </c>
      <c r="E74" t="s">
        <v>96</v>
      </c>
      <c r="F74" t="s">
        <v>7</v>
      </c>
      <c r="G74">
        <v>58</v>
      </c>
    </row>
    <row r="75" spans="1:7" x14ac:dyDescent="0.35">
      <c r="A75">
        <v>2019</v>
      </c>
      <c r="B75" t="s">
        <v>29</v>
      </c>
      <c r="C75" t="s">
        <v>102</v>
      </c>
      <c r="D75" t="s">
        <v>77</v>
      </c>
      <c r="E75" t="s">
        <v>89</v>
      </c>
      <c r="F75" t="s">
        <v>7</v>
      </c>
      <c r="G75">
        <v>21</v>
      </c>
    </row>
    <row r="76" spans="1:7" x14ac:dyDescent="0.35">
      <c r="A76">
        <v>2019</v>
      </c>
      <c r="B76" t="s">
        <v>29</v>
      </c>
      <c r="C76" t="s">
        <v>102</v>
      </c>
      <c r="D76" t="s">
        <v>77</v>
      </c>
      <c r="E76" t="s">
        <v>91</v>
      </c>
      <c r="F76" t="s">
        <v>7</v>
      </c>
      <c r="G76">
        <v>15</v>
      </c>
    </row>
    <row r="77" spans="1:7" x14ac:dyDescent="0.35">
      <c r="A77">
        <v>2019</v>
      </c>
      <c r="B77" t="s">
        <v>29</v>
      </c>
      <c r="C77" t="s">
        <v>102</v>
      </c>
      <c r="D77" t="s">
        <v>77</v>
      </c>
      <c r="E77" t="s">
        <v>90</v>
      </c>
      <c r="F77" t="s">
        <v>7</v>
      </c>
      <c r="G77">
        <v>2</v>
      </c>
    </row>
    <row r="78" spans="1:7" x14ac:dyDescent="0.35">
      <c r="A78">
        <v>2019</v>
      </c>
      <c r="B78" t="s">
        <v>30</v>
      </c>
      <c r="C78" t="s">
        <v>102</v>
      </c>
      <c r="D78" t="s">
        <v>77</v>
      </c>
      <c r="E78" t="s">
        <v>96</v>
      </c>
      <c r="F78" t="s">
        <v>7</v>
      </c>
      <c r="G78">
        <v>20</v>
      </c>
    </row>
    <row r="79" spans="1:7" x14ac:dyDescent="0.35">
      <c r="A79">
        <v>2019</v>
      </c>
      <c r="B79" t="s">
        <v>30</v>
      </c>
      <c r="C79" t="s">
        <v>102</v>
      </c>
      <c r="D79" t="s">
        <v>77</v>
      </c>
      <c r="E79" t="s">
        <v>89</v>
      </c>
      <c r="F79" t="s">
        <v>7</v>
      </c>
      <c r="G79">
        <v>22</v>
      </c>
    </row>
    <row r="80" spans="1:7" x14ac:dyDescent="0.35">
      <c r="A80">
        <v>2019</v>
      </c>
      <c r="B80" t="s">
        <v>30</v>
      </c>
      <c r="C80" t="s">
        <v>102</v>
      </c>
      <c r="D80" t="s">
        <v>77</v>
      </c>
      <c r="E80" t="s">
        <v>91</v>
      </c>
      <c r="F80" t="s">
        <v>7</v>
      </c>
      <c r="G80">
        <v>6</v>
      </c>
    </row>
    <row r="81" spans="1:7" x14ac:dyDescent="0.35">
      <c r="A81">
        <v>2019</v>
      </c>
      <c r="B81" t="s">
        <v>30</v>
      </c>
      <c r="C81" t="s">
        <v>102</v>
      </c>
      <c r="D81" t="s">
        <v>77</v>
      </c>
      <c r="E81" t="s">
        <v>90</v>
      </c>
      <c r="F81" t="s">
        <v>7</v>
      </c>
      <c r="G81">
        <v>0</v>
      </c>
    </row>
    <row r="82" spans="1:7" x14ac:dyDescent="0.35">
      <c r="A82">
        <v>2019</v>
      </c>
      <c r="B82" t="s">
        <v>31</v>
      </c>
      <c r="C82" t="s">
        <v>102</v>
      </c>
      <c r="D82" t="s">
        <v>77</v>
      </c>
      <c r="E82" t="s">
        <v>96</v>
      </c>
      <c r="F82" t="s">
        <v>7</v>
      </c>
      <c r="G82">
        <v>26</v>
      </c>
    </row>
    <row r="83" spans="1:7" x14ac:dyDescent="0.35">
      <c r="A83">
        <v>2019</v>
      </c>
      <c r="B83" t="s">
        <v>31</v>
      </c>
      <c r="C83" t="s">
        <v>102</v>
      </c>
      <c r="D83" t="s">
        <v>77</v>
      </c>
      <c r="E83" t="s">
        <v>89</v>
      </c>
      <c r="F83" t="s">
        <v>7</v>
      </c>
      <c r="G83">
        <v>15</v>
      </c>
    </row>
    <row r="84" spans="1:7" x14ac:dyDescent="0.35">
      <c r="A84">
        <v>2019</v>
      </c>
      <c r="B84" t="s">
        <v>31</v>
      </c>
      <c r="C84" t="s">
        <v>102</v>
      </c>
      <c r="D84" t="s">
        <v>77</v>
      </c>
      <c r="E84" t="s">
        <v>91</v>
      </c>
      <c r="F84" t="s">
        <v>7</v>
      </c>
      <c r="G84">
        <v>5</v>
      </c>
    </row>
    <row r="85" spans="1:7" x14ac:dyDescent="0.35">
      <c r="A85">
        <v>2019</v>
      </c>
      <c r="B85" t="s">
        <v>31</v>
      </c>
      <c r="C85" t="s">
        <v>102</v>
      </c>
      <c r="D85" t="s">
        <v>77</v>
      </c>
      <c r="E85" t="s">
        <v>90</v>
      </c>
      <c r="F85" t="s">
        <v>7</v>
      </c>
      <c r="G85">
        <v>0</v>
      </c>
    </row>
    <row r="86" spans="1:7" x14ac:dyDescent="0.35">
      <c r="A86">
        <v>2019</v>
      </c>
      <c r="B86" t="s">
        <v>32</v>
      </c>
      <c r="C86" t="s">
        <v>102</v>
      </c>
      <c r="D86" t="s">
        <v>77</v>
      </c>
      <c r="E86" t="s">
        <v>96</v>
      </c>
      <c r="F86" t="s">
        <v>7</v>
      </c>
      <c r="G86">
        <v>9</v>
      </c>
    </row>
    <row r="87" spans="1:7" x14ac:dyDescent="0.35">
      <c r="A87">
        <v>2019</v>
      </c>
      <c r="B87" t="s">
        <v>32</v>
      </c>
      <c r="C87" t="s">
        <v>102</v>
      </c>
      <c r="D87" t="s">
        <v>77</v>
      </c>
      <c r="E87" t="s">
        <v>89</v>
      </c>
      <c r="F87" t="s">
        <v>7</v>
      </c>
      <c r="G87">
        <v>0</v>
      </c>
    </row>
    <row r="88" spans="1:7" x14ac:dyDescent="0.35">
      <c r="A88">
        <v>2019</v>
      </c>
      <c r="B88" t="s">
        <v>32</v>
      </c>
      <c r="C88" t="s">
        <v>102</v>
      </c>
      <c r="D88" t="s">
        <v>77</v>
      </c>
      <c r="E88" t="s">
        <v>91</v>
      </c>
      <c r="F88" t="s">
        <v>7</v>
      </c>
      <c r="G88">
        <v>2</v>
      </c>
    </row>
    <row r="89" spans="1:7" x14ac:dyDescent="0.35">
      <c r="A89">
        <v>2019</v>
      </c>
      <c r="B89" t="s">
        <v>32</v>
      </c>
      <c r="C89" t="s">
        <v>102</v>
      </c>
      <c r="D89" t="s">
        <v>77</v>
      </c>
      <c r="E89" t="s">
        <v>90</v>
      </c>
      <c r="F89" t="s">
        <v>7</v>
      </c>
      <c r="G89">
        <v>0</v>
      </c>
    </row>
    <row r="90" spans="1:7" x14ac:dyDescent="0.35">
      <c r="A90">
        <v>2019</v>
      </c>
      <c r="B90" t="s">
        <v>50</v>
      </c>
      <c r="C90" t="s">
        <v>102</v>
      </c>
      <c r="D90" t="s">
        <v>77</v>
      </c>
      <c r="E90" t="s">
        <v>96</v>
      </c>
      <c r="F90" t="s">
        <v>7</v>
      </c>
      <c r="G90">
        <v>3</v>
      </c>
    </row>
    <row r="91" spans="1:7" x14ac:dyDescent="0.35">
      <c r="A91">
        <v>2019</v>
      </c>
      <c r="B91" t="s">
        <v>50</v>
      </c>
      <c r="C91" t="s">
        <v>102</v>
      </c>
      <c r="D91" t="s">
        <v>77</v>
      </c>
      <c r="E91" t="s">
        <v>89</v>
      </c>
      <c r="F91" t="s">
        <v>7</v>
      </c>
      <c r="G91">
        <v>0</v>
      </c>
    </row>
    <row r="92" spans="1:7" x14ac:dyDescent="0.35">
      <c r="A92">
        <v>2019</v>
      </c>
      <c r="B92" t="s">
        <v>50</v>
      </c>
      <c r="C92" t="s">
        <v>102</v>
      </c>
      <c r="D92" t="s">
        <v>77</v>
      </c>
      <c r="E92" t="s">
        <v>91</v>
      </c>
      <c r="F92" t="s">
        <v>7</v>
      </c>
      <c r="G92">
        <v>0</v>
      </c>
    </row>
    <row r="93" spans="1:7" x14ac:dyDescent="0.35">
      <c r="A93">
        <v>2019</v>
      </c>
      <c r="B93" t="s">
        <v>50</v>
      </c>
      <c r="C93" t="s">
        <v>102</v>
      </c>
      <c r="D93" t="s">
        <v>77</v>
      </c>
      <c r="E93" t="s">
        <v>90</v>
      </c>
      <c r="F93" t="s">
        <v>7</v>
      </c>
      <c r="G93">
        <v>0</v>
      </c>
    </row>
    <row r="94" spans="1:7" x14ac:dyDescent="0.35">
      <c r="A94">
        <v>2019</v>
      </c>
      <c r="B94" t="s">
        <v>33</v>
      </c>
      <c r="C94" t="s">
        <v>102</v>
      </c>
      <c r="D94" t="s">
        <v>77</v>
      </c>
      <c r="E94" t="s">
        <v>96</v>
      </c>
      <c r="F94" t="s">
        <v>7</v>
      </c>
      <c r="G94">
        <v>93</v>
      </c>
    </row>
    <row r="95" spans="1:7" x14ac:dyDescent="0.35">
      <c r="A95">
        <v>2019</v>
      </c>
      <c r="B95" t="s">
        <v>33</v>
      </c>
      <c r="C95" t="s">
        <v>102</v>
      </c>
      <c r="D95" t="s">
        <v>77</v>
      </c>
      <c r="E95" t="s">
        <v>89</v>
      </c>
      <c r="F95" t="s">
        <v>7</v>
      </c>
      <c r="G95">
        <v>31</v>
      </c>
    </row>
    <row r="96" spans="1:7" x14ac:dyDescent="0.35">
      <c r="A96">
        <v>2019</v>
      </c>
      <c r="B96" t="s">
        <v>33</v>
      </c>
      <c r="C96" t="s">
        <v>102</v>
      </c>
      <c r="D96" t="s">
        <v>77</v>
      </c>
      <c r="E96" t="s">
        <v>91</v>
      </c>
      <c r="F96" t="s">
        <v>7</v>
      </c>
      <c r="G96">
        <v>22</v>
      </c>
    </row>
    <row r="97" spans="1:7" x14ac:dyDescent="0.35">
      <c r="A97">
        <v>2019</v>
      </c>
      <c r="B97" t="s">
        <v>33</v>
      </c>
      <c r="C97" t="s">
        <v>102</v>
      </c>
      <c r="D97" t="s">
        <v>77</v>
      </c>
      <c r="E97" t="s">
        <v>90</v>
      </c>
      <c r="F97" t="s">
        <v>7</v>
      </c>
      <c r="G97">
        <v>0</v>
      </c>
    </row>
    <row r="98" spans="1:7" x14ac:dyDescent="0.35">
      <c r="A98">
        <v>2019</v>
      </c>
      <c r="B98" t="s">
        <v>34</v>
      </c>
      <c r="C98" t="s">
        <v>102</v>
      </c>
      <c r="D98" t="s">
        <v>77</v>
      </c>
      <c r="E98" t="s">
        <v>96</v>
      </c>
      <c r="F98" t="s">
        <v>7</v>
      </c>
      <c r="G98">
        <v>64</v>
      </c>
    </row>
    <row r="99" spans="1:7" x14ac:dyDescent="0.35">
      <c r="A99">
        <v>2019</v>
      </c>
      <c r="B99" t="s">
        <v>34</v>
      </c>
      <c r="C99" t="s">
        <v>102</v>
      </c>
      <c r="D99" t="s">
        <v>77</v>
      </c>
      <c r="E99" t="s">
        <v>89</v>
      </c>
      <c r="F99" t="s">
        <v>7</v>
      </c>
      <c r="G99">
        <v>45</v>
      </c>
    </row>
    <row r="100" spans="1:7" x14ac:dyDescent="0.35">
      <c r="A100">
        <v>2019</v>
      </c>
      <c r="B100" t="s">
        <v>34</v>
      </c>
      <c r="C100" t="s">
        <v>102</v>
      </c>
      <c r="D100" t="s">
        <v>77</v>
      </c>
      <c r="E100" t="s">
        <v>91</v>
      </c>
      <c r="F100" t="s">
        <v>7</v>
      </c>
      <c r="G100">
        <v>9</v>
      </c>
    </row>
    <row r="101" spans="1:7" x14ac:dyDescent="0.35">
      <c r="A101">
        <v>2019</v>
      </c>
      <c r="B101" t="s">
        <v>34</v>
      </c>
      <c r="C101" t="s">
        <v>102</v>
      </c>
      <c r="D101" t="s">
        <v>77</v>
      </c>
      <c r="E101" t="s">
        <v>90</v>
      </c>
      <c r="F101" t="s">
        <v>7</v>
      </c>
      <c r="G101">
        <v>0</v>
      </c>
    </row>
    <row r="102" spans="1:7" x14ac:dyDescent="0.35">
      <c r="A102">
        <v>2019</v>
      </c>
      <c r="B102" t="s">
        <v>35</v>
      </c>
      <c r="C102" t="s">
        <v>102</v>
      </c>
      <c r="D102" t="s">
        <v>77</v>
      </c>
      <c r="E102" t="s">
        <v>96</v>
      </c>
      <c r="F102" t="s">
        <v>7</v>
      </c>
      <c r="G102">
        <v>32</v>
      </c>
    </row>
    <row r="103" spans="1:7" x14ac:dyDescent="0.35">
      <c r="A103">
        <v>2019</v>
      </c>
      <c r="B103" t="s">
        <v>35</v>
      </c>
      <c r="C103" t="s">
        <v>102</v>
      </c>
      <c r="D103" t="s">
        <v>77</v>
      </c>
      <c r="E103" t="s">
        <v>89</v>
      </c>
      <c r="F103" t="s">
        <v>7</v>
      </c>
      <c r="G103">
        <v>8</v>
      </c>
    </row>
    <row r="104" spans="1:7" x14ac:dyDescent="0.35">
      <c r="A104">
        <v>2019</v>
      </c>
      <c r="B104" t="s">
        <v>35</v>
      </c>
      <c r="C104" t="s">
        <v>102</v>
      </c>
      <c r="D104" t="s">
        <v>77</v>
      </c>
      <c r="E104" t="s">
        <v>91</v>
      </c>
      <c r="F104" t="s">
        <v>7</v>
      </c>
      <c r="G104">
        <v>2</v>
      </c>
    </row>
    <row r="105" spans="1:7" x14ac:dyDescent="0.35">
      <c r="A105">
        <v>2019</v>
      </c>
      <c r="B105" t="s">
        <v>35</v>
      </c>
      <c r="C105" t="s">
        <v>102</v>
      </c>
      <c r="D105" t="s">
        <v>77</v>
      </c>
      <c r="E105" t="s">
        <v>90</v>
      </c>
      <c r="F105" t="s">
        <v>7</v>
      </c>
      <c r="G105">
        <v>0</v>
      </c>
    </row>
    <row r="106" spans="1:7" x14ac:dyDescent="0.35">
      <c r="A106">
        <v>2019</v>
      </c>
      <c r="B106" t="s">
        <v>36</v>
      </c>
      <c r="C106" t="s">
        <v>102</v>
      </c>
      <c r="D106" t="s">
        <v>77</v>
      </c>
      <c r="E106" t="s">
        <v>96</v>
      </c>
      <c r="F106" t="s">
        <v>7</v>
      </c>
      <c r="G106">
        <v>48</v>
      </c>
    </row>
    <row r="107" spans="1:7" x14ac:dyDescent="0.35">
      <c r="A107">
        <v>2019</v>
      </c>
      <c r="B107" t="s">
        <v>36</v>
      </c>
      <c r="C107" t="s">
        <v>102</v>
      </c>
      <c r="D107" t="s">
        <v>77</v>
      </c>
      <c r="E107" t="s">
        <v>89</v>
      </c>
      <c r="F107" t="s">
        <v>7</v>
      </c>
      <c r="G107">
        <v>13</v>
      </c>
    </row>
    <row r="108" spans="1:7" x14ac:dyDescent="0.35">
      <c r="A108">
        <v>2019</v>
      </c>
      <c r="B108" t="s">
        <v>36</v>
      </c>
      <c r="C108" t="s">
        <v>102</v>
      </c>
      <c r="D108" t="s">
        <v>77</v>
      </c>
      <c r="E108" t="s">
        <v>91</v>
      </c>
      <c r="F108" t="s">
        <v>7</v>
      </c>
      <c r="G108">
        <v>3</v>
      </c>
    </row>
    <row r="109" spans="1:7" x14ac:dyDescent="0.35">
      <c r="A109">
        <v>2019</v>
      </c>
      <c r="B109" t="s">
        <v>36</v>
      </c>
      <c r="C109" t="s">
        <v>102</v>
      </c>
      <c r="D109" t="s">
        <v>77</v>
      </c>
      <c r="E109" t="s">
        <v>90</v>
      </c>
      <c r="F109" t="s">
        <v>7</v>
      </c>
      <c r="G109">
        <v>1</v>
      </c>
    </row>
    <row r="110" spans="1:7" x14ac:dyDescent="0.35">
      <c r="A110">
        <v>2019</v>
      </c>
      <c r="B110" t="s">
        <v>53</v>
      </c>
      <c r="C110" t="s">
        <v>102</v>
      </c>
      <c r="D110" t="s">
        <v>77</v>
      </c>
      <c r="E110" t="s">
        <v>96</v>
      </c>
      <c r="F110" t="s">
        <v>7</v>
      </c>
      <c r="G110">
        <v>21</v>
      </c>
    </row>
    <row r="111" spans="1:7" x14ac:dyDescent="0.35">
      <c r="A111">
        <v>2019</v>
      </c>
      <c r="B111" t="s">
        <v>53</v>
      </c>
      <c r="C111" t="s">
        <v>102</v>
      </c>
      <c r="D111" t="s">
        <v>77</v>
      </c>
      <c r="E111" t="s">
        <v>89</v>
      </c>
      <c r="F111" t="s">
        <v>7</v>
      </c>
      <c r="G111">
        <v>43</v>
      </c>
    </row>
    <row r="112" spans="1:7" x14ac:dyDescent="0.35">
      <c r="A112">
        <v>2019</v>
      </c>
      <c r="B112" t="s">
        <v>53</v>
      </c>
      <c r="C112" t="s">
        <v>102</v>
      </c>
      <c r="D112" t="s">
        <v>77</v>
      </c>
      <c r="E112" t="s">
        <v>91</v>
      </c>
      <c r="F112" t="s">
        <v>7</v>
      </c>
      <c r="G112">
        <v>32</v>
      </c>
    </row>
    <row r="113" spans="1:7" x14ac:dyDescent="0.35">
      <c r="A113">
        <v>2019</v>
      </c>
      <c r="B113" t="s">
        <v>53</v>
      </c>
      <c r="C113" t="s">
        <v>102</v>
      </c>
      <c r="D113" t="s">
        <v>77</v>
      </c>
      <c r="E113" t="s">
        <v>90</v>
      </c>
      <c r="F113" t="s">
        <v>7</v>
      </c>
      <c r="G113">
        <v>1</v>
      </c>
    </row>
    <row r="114" spans="1:7" x14ac:dyDescent="0.35">
      <c r="A114">
        <v>2019</v>
      </c>
      <c r="B114" t="s">
        <v>37</v>
      </c>
      <c r="C114" t="s">
        <v>102</v>
      </c>
      <c r="D114" t="s">
        <v>77</v>
      </c>
      <c r="E114" t="s">
        <v>96</v>
      </c>
      <c r="F114" t="s">
        <v>7</v>
      </c>
      <c r="G114">
        <v>36</v>
      </c>
    </row>
    <row r="115" spans="1:7" x14ac:dyDescent="0.35">
      <c r="A115">
        <v>2019</v>
      </c>
      <c r="B115" t="s">
        <v>37</v>
      </c>
      <c r="C115" t="s">
        <v>102</v>
      </c>
      <c r="D115" t="s">
        <v>77</v>
      </c>
      <c r="E115" t="s">
        <v>89</v>
      </c>
      <c r="F115" t="s">
        <v>7</v>
      </c>
      <c r="G115">
        <v>25</v>
      </c>
    </row>
    <row r="116" spans="1:7" x14ac:dyDescent="0.35">
      <c r="A116">
        <v>2019</v>
      </c>
      <c r="B116" t="s">
        <v>37</v>
      </c>
      <c r="C116" t="s">
        <v>102</v>
      </c>
      <c r="D116" t="s">
        <v>77</v>
      </c>
      <c r="E116" t="s">
        <v>91</v>
      </c>
      <c r="F116" t="s">
        <v>7</v>
      </c>
      <c r="G116">
        <v>6</v>
      </c>
    </row>
    <row r="117" spans="1:7" x14ac:dyDescent="0.35">
      <c r="A117">
        <v>2019</v>
      </c>
      <c r="B117" t="s">
        <v>37</v>
      </c>
      <c r="C117" t="s">
        <v>102</v>
      </c>
      <c r="D117" t="s">
        <v>77</v>
      </c>
      <c r="E117" t="s">
        <v>90</v>
      </c>
      <c r="F117" t="s">
        <v>7</v>
      </c>
      <c r="G117">
        <v>2</v>
      </c>
    </row>
    <row r="118" spans="1:7" x14ac:dyDescent="0.35">
      <c r="A118">
        <v>2019</v>
      </c>
      <c r="B118" t="s">
        <v>39</v>
      </c>
      <c r="C118" t="s">
        <v>102</v>
      </c>
      <c r="D118" t="s">
        <v>77</v>
      </c>
      <c r="E118" t="s">
        <v>96</v>
      </c>
      <c r="F118" t="s">
        <v>7</v>
      </c>
      <c r="G118">
        <v>38</v>
      </c>
    </row>
    <row r="119" spans="1:7" x14ac:dyDescent="0.35">
      <c r="A119">
        <v>2019</v>
      </c>
      <c r="B119" t="s">
        <v>39</v>
      </c>
      <c r="C119" t="s">
        <v>102</v>
      </c>
      <c r="D119" t="s">
        <v>77</v>
      </c>
      <c r="E119" t="s">
        <v>89</v>
      </c>
      <c r="F119" t="s">
        <v>7</v>
      </c>
      <c r="G119">
        <v>25</v>
      </c>
    </row>
    <row r="120" spans="1:7" x14ac:dyDescent="0.35">
      <c r="A120">
        <v>2019</v>
      </c>
      <c r="B120" t="s">
        <v>39</v>
      </c>
      <c r="C120" t="s">
        <v>102</v>
      </c>
      <c r="D120" t="s">
        <v>77</v>
      </c>
      <c r="E120" t="s">
        <v>91</v>
      </c>
      <c r="F120" t="s">
        <v>7</v>
      </c>
      <c r="G120">
        <v>12</v>
      </c>
    </row>
    <row r="121" spans="1:7" x14ac:dyDescent="0.35">
      <c r="A121">
        <v>2019</v>
      </c>
      <c r="B121" t="s">
        <v>39</v>
      </c>
      <c r="C121" t="s">
        <v>102</v>
      </c>
      <c r="D121" t="s">
        <v>77</v>
      </c>
      <c r="E121" t="s">
        <v>90</v>
      </c>
      <c r="F121" t="s">
        <v>7</v>
      </c>
      <c r="G121">
        <v>3</v>
      </c>
    </row>
    <row r="122" spans="1:7" x14ac:dyDescent="0.35">
      <c r="A122">
        <v>2019</v>
      </c>
      <c r="B122" t="s">
        <v>40</v>
      </c>
      <c r="C122" t="s">
        <v>102</v>
      </c>
      <c r="D122" t="s">
        <v>77</v>
      </c>
      <c r="E122" t="s">
        <v>96</v>
      </c>
      <c r="F122" t="s">
        <v>7</v>
      </c>
      <c r="G122">
        <v>40</v>
      </c>
    </row>
    <row r="123" spans="1:7" x14ac:dyDescent="0.35">
      <c r="A123">
        <v>2019</v>
      </c>
      <c r="B123" t="s">
        <v>40</v>
      </c>
      <c r="C123" t="s">
        <v>102</v>
      </c>
      <c r="D123" t="s">
        <v>77</v>
      </c>
      <c r="E123" t="s">
        <v>89</v>
      </c>
      <c r="F123" t="s">
        <v>7</v>
      </c>
      <c r="G123">
        <v>7</v>
      </c>
    </row>
    <row r="124" spans="1:7" x14ac:dyDescent="0.35">
      <c r="A124">
        <v>2019</v>
      </c>
      <c r="B124" t="s">
        <v>40</v>
      </c>
      <c r="C124" t="s">
        <v>102</v>
      </c>
      <c r="D124" t="s">
        <v>77</v>
      </c>
      <c r="E124" t="s">
        <v>91</v>
      </c>
      <c r="F124" t="s">
        <v>7</v>
      </c>
      <c r="G124">
        <v>4</v>
      </c>
    </row>
    <row r="125" spans="1:7" x14ac:dyDescent="0.35">
      <c r="A125">
        <v>2019</v>
      </c>
      <c r="B125" t="s">
        <v>40</v>
      </c>
      <c r="C125" t="s">
        <v>102</v>
      </c>
      <c r="D125" t="s">
        <v>77</v>
      </c>
      <c r="E125" t="s">
        <v>90</v>
      </c>
      <c r="F125" t="s">
        <v>7</v>
      </c>
      <c r="G125">
        <v>0</v>
      </c>
    </row>
    <row r="126" spans="1:7" x14ac:dyDescent="0.35">
      <c r="A126">
        <v>2019</v>
      </c>
      <c r="B126" t="s">
        <v>41</v>
      </c>
      <c r="C126" t="s">
        <v>102</v>
      </c>
      <c r="D126" t="s">
        <v>77</v>
      </c>
      <c r="E126" t="s">
        <v>96</v>
      </c>
      <c r="F126" t="s">
        <v>7</v>
      </c>
      <c r="G126">
        <v>16</v>
      </c>
    </row>
    <row r="127" spans="1:7" x14ac:dyDescent="0.35">
      <c r="A127">
        <v>2019</v>
      </c>
      <c r="B127" t="s">
        <v>41</v>
      </c>
      <c r="C127" t="s">
        <v>102</v>
      </c>
      <c r="D127" t="s">
        <v>77</v>
      </c>
      <c r="E127" t="s">
        <v>89</v>
      </c>
      <c r="F127" t="s">
        <v>7</v>
      </c>
      <c r="G127">
        <v>8</v>
      </c>
    </row>
    <row r="128" spans="1:7" x14ac:dyDescent="0.35">
      <c r="A128">
        <v>2019</v>
      </c>
      <c r="B128" t="s">
        <v>41</v>
      </c>
      <c r="C128" t="s">
        <v>102</v>
      </c>
      <c r="D128" t="s">
        <v>77</v>
      </c>
      <c r="E128" t="s">
        <v>91</v>
      </c>
      <c r="F128" t="s">
        <v>7</v>
      </c>
      <c r="G128">
        <v>1</v>
      </c>
    </row>
    <row r="129" spans="1:7" x14ac:dyDescent="0.35">
      <c r="A129">
        <v>2019</v>
      </c>
      <c r="B129" t="s">
        <v>41</v>
      </c>
      <c r="C129" t="s">
        <v>102</v>
      </c>
      <c r="D129" t="s">
        <v>77</v>
      </c>
      <c r="E129" t="s">
        <v>90</v>
      </c>
      <c r="F129" t="s">
        <v>7</v>
      </c>
      <c r="G129">
        <v>0</v>
      </c>
    </row>
    <row r="130" spans="1:7" x14ac:dyDescent="0.35">
      <c r="A130">
        <v>2019</v>
      </c>
      <c r="B130" t="s">
        <v>42</v>
      </c>
      <c r="C130" t="s">
        <v>102</v>
      </c>
      <c r="D130" t="s">
        <v>77</v>
      </c>
      <c r="E130" t="s">
        <v>96</v>
      </c>
      <c r="F130" t="s">
        <v>7</v>
      </c>
      <c r="G130">
        <v>24</v>
      </c>
    </row>
    <row r="131" spans="1:7" x14ac:dyDescent="0.35">
      <c r="A131">
        <v>2019</v>
      </c>
      <c r="B131" t="s">
        <v>42</v>
      </c>
      <c r="C131" t="s">
        <v>102</v>
      </c>
      <c r="D131" t="s">
        <v>77</v>
      </c>
      <c r="E131" t="s">
        <v>89</v>
      </c>
      <c r="F131" t="s">
        <v>7</v>
      </c>
      <c r="G131">
        <v>21</v>
      </c>
    </row>
    <row r="132" spans="1:7" x14ac:dyDescent="0.35">
      <c r="A132">
        <v>2019</v>
      </c>
      <c r="B132" t="s">
        <v>42</v>
      </c>
      <c r="C132" t="s">
        <v>102</v>
      </c>
      <c r="D132" t="s">
        <v>77</v>
      </c>
      <c r="E132" t="s">
        <v>91</v>
      </c>
      <c r="F132" t="s">
        <v>7</v>
      </c>
      <c r="G132">
        <v>3</v>
      </c>
    </row>
    <row r="133" spans="1:7" x14ac:dyDescent="0.35">
      <c r="A133">
        <v>2019</v>
      </c>
      <c r="B133" t="s">
        <v>42</v>
      </c>
      <c r="C133" t="s">
        <v>102</v>
      </c>
      <c r="D133" t="s">
        <v>77</v>
      </c>
      <c r="E133" t="s">
        <v>90</v>
      </c>
      <c r="F133" t="s">
        <v>7</v>
      </c>
      <c r="G133">
        <v>0</v>
      </c>
    </row>
    <row r="134" spans="1:7" x14ac:dyDescent="0.35">
      <c r="A134">
        <v>2019</v>
      </c>
      <c r="B134" t="s">
        <v>43</v>
      </c>
      <c r="C134" t="s">
        <v>102</v>
      </c>
      <c r="D134" t="s">
        <v>77</v>
      </c>
      <c r="E134" t="s">
        <v>96</v>
      </c>
      <c r="F134" t="s">
        <v>7</v>
      </c>
      <c r="G134">
        <v>44</v>
      </c>
    </row>
    <row r="135" spans="1:7" x14ac:dyDescent="0.35">
      <c r="A135">
        <v>2019</v>
      </c>
      <c r="B135" t="s">
        <v>43</v>
      </c>
      <c r="C135" t="s">
        <v>102</v>
      </c>
      <c r="D135" t="s">
        <v>77</v>
      </c>
      <c r="E135" t="s">
        <v>89</v>
      </c>
      <c r="F135" t="s">
        <v>7</v>
      </c>
      <c r="G135">
        <v>6</v>
      </c>
    </row>
    <row r="136" spans="1:7" x14ac:dyDescent="0.35">
      <c r="A136">
        <v>2019</v>
      </c>
      <c r="B136" t="s">
        <v>43</v>
      </c>
      <c r="C136" t="s">
        <v>102</v>
      </c>
      <c r="D136" t="s">
        <v>77</v>
      </c>
      <c r="E136" t="s">
        <v>91</v>
      </c>
      <c r="F136" t="s">
        <v>7</v>
      </c>
      <c r="G136">
        <v>2</v>
      </c>
    </row>
    <row r="137" spans="1:7" x14ac:dyDescent="0.35">
      <c r="A137">
        <v>2019</v>
      </c>
      <c r="B137" t="s">
        <v>43</v>
      </c>
      <c r="C137" t="s">
        <v>102</v>
      </c>
      <c r="D137" t="s">
        <v>77</v>
      </c>
      <c r="E137" t="s">
        <v>90</v>
      </c>
      <c r="F137" t="s">
        <v>7</v>
      </c>
      <c r="G137">
        <v>0</v>
      </c>
    </row>
    <row r="138" spans="1:7" x14ac:dyDescent="0.35">
      <c r="A138">
        <v>2019</v>
      </c>
      <c r="B138" t="s">
        <v>44</v>
      </c>
      <c r="C138" t="s">
        <v>102</v>
      </c>
      <c r="D138" t="s">
        <v>77</v>
      </c>
      <c r="E138" t="s">
        <v>96</v>
      </c>
      <c r="F138" t="s">
        <v>7</v>
      </c>
      <c r="G138">
        <v>23</v>
      </c>
    </row>
    <row r="139" spans="1:7" x14ac:dyDescent="0.35">
      <c r="A139">
        <v>2019</v>
      </c>
      <c r="B139" t="s">
        <v>44</v>
      </c>
      <c r="C139" t="s">
        <v>102</v>
      </c>
      <c r="D139" t="s">
        <v>77</v>
      </c>
      <c r="E139" t="s">
        <v>89</v>
      </c>
      <c r="F139" t="s">
        <v>7</v>
      </c>
      <c r="G139">
        <v>12</v>
      </c>
    </row>
    <row r="140" spans="1:7" x14ac:dyDescent="0.35">
      <c r="A140">
        <v>2019</v>
      </c>
      <c r="B140" t="s">
        <v>44</v>
      </c>
      <c r="C140" t="s">
        <v>102</v>
      </c>
      <c r="D140" t="s">
        <v>77</v>
      </c>
      <c r="E140" t="s">
        <v>91</v>
      </c>
      <c r="F140" t="s">
        <v>7</v>
      </c>
      <c r="G140">
        <v>4</v>
      </c>
    </row>
    <row r="141" spans="1:7" x14ac:dyDescent="0.35">
      <c r="A141">
        <v>2019</v>
      </c>
      <c r="B141" t="s">
        <v>44</v>
      </c>
      <c r="C141" t="s">
        <v>102</v>
      </c>
      <c r="D141" t="s">
        <v>77</v>
      </c>
      <c r="E141" t="s">
        <v>90</v>
      </c>
      <c r="F141" t="s">
        <v>7</v>
      </c>
      <c r="G141">
        <v>0</v>
      </c>
    </row>
    <row r="142" spans="1:7" x14ac:dyDescent="0.35">
      <c r="A142">
        <v>2019</v>
      </c>
      <c r="B142" t="s">
        <v>54</v>
      </c>
      <c r="C142" t="s">
        <v>102</v>
      </c>
      <c r="D142" t="s">
        <v>77</v>
      </c>
      <c r="E142" t="s">
        <v>96</v>
      </c>
      <c r="F142" t="s">
        <v>7</v>
      </c>
      <c r="G142">
        <v>1</v>
      </c>
    </row>
    <row r="143" spans="1:7" x14ac:dyDescent="0.35">
      <c r="A143">
        <v>2019</v>
      </c>
      <c r="B143" t="s">
        <v>54</v>
      </c>
      <c r="C143" t="s">
        <v>102</v>
      </c>
      <c r="D143" t="s">
        <v>77</v>
      </c>
      <c r="E143" t="s">
        <v>89</v>
      </c>
      <c r="F143" t="s">
        <v>7</v>
      </c>
      <c r="G143">
        <v>20</v>
      </c>
    </row>
    <row r="144" spans="1:7" x14ac:dyDescent="0.35">
      <c r="A144">
        <v>2019</v>
      </c>
      <c r="B144" t="s">
        <v>54</v>
      </c>
      <c r="C144" t="s">
        <v>102</v>
      </c>
      <c r="D144" t="s">
        <v>77</v>
      </c>
      <c r="E144" t="s">
        <v>91</v>
      </c>
      <c r="F144" t="s">
        <v>7</v>
      </c>
      <c r="G144">
        <v>8</v>
      </c>
    </row>
    <row r="145" spans="1:7" x14ac:dyDescent="0.35">
      <c r="A145">
        <v>2019</v>
      </c>
      <c r="B145" t="s">
        <v>54</v>
      </c>
      <c r="C145" t="s">
        <v>102</v>
      </c>
      <c r="D145" t="s">
        <v>77</v>
      </c>
      <c r="E145" t="s">
        <v>90</v>
      </c>
      <c r="F145" t="s">
        <v>7</v>
      </c>
      <c r="G145">
        <v>0</v>
      </c>
    </row>
    <row r="146" spans="1:7" x14ac:dyDescent="0.35">
      <c r="A146">
        <v>2019</v>
      </c>
      <c r="B146" t="s">
        <v>45</v>
      </c>
      <c r="C146" t="s">
        <v>102</v>
      </c>
      <c r="D146" t="s">
        <v>77</v>
      </c>
      <c r="E146" t="s">
        <v>96</v>
      </c>
      <c r="F146" t="s">
        <v>7</v>
      </c>
      <c r="G146">
        <v>38</v>
      </c>
    </row>
    <row r="147" spans="1:7" x14ac:dyDescent="0.35">
      <c r="A147">
        <v>2019</v>
      </c>
      <c r="B147" t="s">
        <v>45</v>
      </c>
      <c r="C147" t="s">
        <v>102</v>
      </c>
      <c r="D147" t="s">
        <v>77</v>
      </c>
      <c r="E147" t="s">
        <v>89</v>
      </c>
      <c r="F147" t="s">
        <v>7</v>
      </c>
      <c r="G147">
        <v>11</v>
      </c>
    </row>
    <row r="148" spans="1:7" x14ac:dyDescent="0.35">
      <c r="A148">
        <v>2019</v>
      </c>
      <c r="B148" t="s">
        <v>45</v>
      </c>
      <c r="C148" t="s">
        <v>102</v>
      </c>
      <c r="D148" t="s">
        <v>77</v>
      </c>
      <c r="E148" t="s">
        <v>91</v>
      </c>
      <c r="F148" t="s">
        <v>7</v>
      </c>
      <c r="G148">
        <v>10</v>
      </c>
    </row>
    <row r="149" spans="1:7" x14ac:dyDescent="0.35">
      <c r="A149">
        <v>2019</v>
      </c>
      <c r="B149" t="s">
        <v>45</v>
      </c>
      <c r="C149" t="s">
        <v>102</v>
      </c>
      <c r="D149" t="s">
        <v>77</v>
      </c>
      <c r="E149" t="s">
        <v>90</v>
      </c>
      <c r="F149" t="s">
        <v>7</v>
      </c>
      <c r="G149">
        <v>0</v>
      </c>
    </row>
    <row r="150" spans="1:7" x14ac:dyDescent="0.35">
      <c r="A150">
        <v>2019</v>
      </c>
      <c r="B150" t="s">
        <v>46</v>
      </c>
      <c r="C150" t="s">
        <v>102</v>
      </c>
      <c r="D150" t="s">
        <v>77</v>
      </c>
      <c r="E150" t="s">
        <v>96</v>
      </c>
      <c r="F150" t="s">
        <v>7</v>
      </c>
      <c r="G150">
        <v>36</v>
      </c>
    </row>
    <row r="151" spans="1:7" x14ac:dyDescent="0.35">
      <c r="A151">
        <v>2019</v>
      </c>
      <c r="B151" t="s">
        <v>46</v>
      </c>
      <c r="C151" t="s">
        <v>102</v>
      </c>
      <c r="D151" t="s">
        <v>77</v>
      </c>
      <c r="E151" t="s">
        <v>89</v>
      </c>
      <c r="F151" t="s">
        <v>7</v>
      </c>
      <c r="G151">
        <v>7</v>
      </c>
    </row>
    <row r="152" spans="1:7" x14ac:dyDescent="0.35">
      <c r="A152">
        <v>2019</v>
      </c>
      <c r="B152" t="s">
        <v>46</v>
      </c>
      <c r="C152" t="s">
        <v>102</v>
      </c>
      <c r="D152" t="s">
        <v>77</v>
      </c>
      <c r="E152" t="s">
        <v>91</v>
      </c>
      <c r="F152" t="s">
        <v>7</v>
      </c>
      <c r="G152">
        <v>5</v>
      </c>
    </row>
    <row r="153" spans="1:7" x14ac:dyDescent="0.35">
      <c r="A153">
        <v>2019</v>
      </c>
      <c r="B153" t="s">
        <v>46</v>
      </c>
      <c r="C153" t="s">
        <v>102</v>
      </c>
      <c r="D153" t="s">
        <v>77</v>
      </c>
      <c r="E153" t="s">
        <v>90</v>
      </c>
      <c r="F153" t="s">
        <v>7</v>
      </c>
      <c r="G153">
        <v>0</v>
      </c>
    </row>
    <row r="154" spans="1:7" x14ac:dyDescent="0.35">
      <c r="A154">
        <v>2019</v>
      </c>
      <c r="B154" t="s">
        <v>47</v>
      </c>
      <c r="C154" t="s">
        <v>102</v>
      </c>
      <c r="D154" t="s">
        <v>77</v>
      </c>
      <c r="E154" t="s">
        <v>96</v>
      </c>
      <c r="F154" t="s">
        <v>7</v>
      </c>
      <c r="G154">
        <v>7</v>
      </c>
    </row>
    <row r="155" spans="1:7" x14ac:dyDescent="0.35">
      <c r="A155">
        <v>2019</v>
      </c>
      <c r="B155" t="s">
        <v>47</v>
      </c>
      <c r="C155" t="s">
        <v>102</v>
      </c>
      <c r="D155" t="s">
        <v>77</v>
      </c>
      <c r="E155" t="s">
        <v>89</v>
      </c>
      <c r="F155" t="s">
        <v>7</v>
      </c>
      <c r="G155">
        <v>28</v>
      </c>
    </row>
    <row r="156" spans="1:7" x14ac:dyDescent="0.35">
      <c r="A156">
        <v>2019</v>
      </c>
      <c r="B156" t="s">
        <v>47</v>
      </c>
      <c r="C156" t="s">
        <v>102</v>
      </c>
      <c r="D156" t="s">
        <v>77</v>
      </c>
      <c r="E156" t="s">
        <v>91</v>
      </c>
      <c r="F156" t="s">
        <v>7</v>
      </c>
      <c r="G156">
        <v>15</v>
      </c>
    </row>
    <row r="157" spans="1:7" x14ac:dyDescent="0.35">
      <c r="A157">
        <v>2019</v>
      </c>
      <c r="B157" t="s">
        <v>47</v>
      </c>
      <c r="C157" t="s">
        <v>102</v>
      </c>
      <c r="D157" t="s">
        <v>77</v>
      </c>
      <c r="E157" t="s">
        <v>90</v>
      </c>
      <c r="F157" t="s">
        <v>7</v>
      </c>
      <c r="G157">
        <v>3</v>
      </c>
    </row>
    <row r="158" spans="1:7" x14ac:dyDescent="0.35">
      <c r="A158">
        <v>2019</v>
      </c>
      <c r="B158" t="s">
        <v>55</v>
      </c>
      <c r="C158" t="s">
        <v>102</v>
      </c>
      <c r="D158" t="s">
        <v>77</v>
      </c>
      <c r="E158" t="s">
        <v>96</v>
      </c>
      <c r="F158" t="s">
        <v>7</v>
      </c>
      <c r="G158">
        <v>0</v>
      </c>
    </row>
    <row r="159" spans="1:7" x14ac:dyDescent="0.35">
      <c r="A159">
        <v>2019</v>
      </c>
      <c r="B159" t="s">
        <v>55</v>
      </c>
      <c r="C159" t="s">
        <v>102</v>
      </c>
      <c r="D159" t="s">
        <v>77</v>
      </c>
      <c r="E159" t="s">
        <v>89</v>
      </c>
      <c r="F159" t="s">
        <v>7</v>
      </c>
      <c r="G159">
        <v>22</v>
      </c>
    </row>
    <row r="160" spans="1:7" x14ac:dyDescent="0.35">
      <c r="A160">
        <v>2019</v>
      </c>
      <c r="B160" t="s">
        <v>55</v>
      </c>
      <c r="C160" t="s">
        <v>102</v>
      </c>
      <c r="D160" t="s">
        <v>77</v>
      </c>
      <c r="E160" t="s">
        <v>91</v>
      </c>
      <c r="F160" t="s">
        <v>7</v>
      </c>
      <c r="G160">
        <v>10</v>
      </c>
    </row>
    <row r="161" spans="1:7" x14ac:dyDescent="0.35">
      <c r="A161">
        <v>2019</v>
      </c>
      <c r="B161" t="s">
        <v>55</v>
      </c>
      <c r="C161" t="s">
        <v>102</v>
      </c>
      <c r="D161" t="s">
        <v>77</v>
      </c>
      <c r="E161" t="s">
        <v>90</v>
      </c>
      <c r="F161" t="s">
        <v>7</v>
      </c>
      <c r="G161">
        <v>1</v>
      </c>
    </row>
    <row r="162" spans="1:7" x14ac:dyDescent="0.35">
      <c r="A162">
        <v>2019</v>
      </c>
      <c r="B162" t="s">
        <v>48</v>
      </c>
      <c r="C162" t="s">
        <v>102</v>
      </c>
      <c r="D162" t="s">
        <v>77</v>
      </c>
      <c r="E162" t="s">
        <v>96</v>
      </c>
      <c r="F162" t="s">
        <v>7</v>
      </c>
      <c r="G162">
        <v>16</v>
      </c>
    </row>
    <row r="163" spans="1:7" x14ac:dyDescent="0.35">
      <c r="A163">
        <v>2019</v>
      </c>
      <c r="B163" t="s">
        <v>48</v>
      </c>
      <c r="C163" t="s">
        <v>102</v>
      </c>
      <c r="D163" t="s">
        <v>77</v>
      </c>
      <c r="E163" t="s">
        <v>89</v>
      </c>
      <c r="F163" t="s">
        <v>7</v>
      </c>
      <c r="G163">
        <v>13</v>
      </c>
    </row>
    <row r="164" spans="1:7" x14ac:dyDescent="0.35">
      <c r="A164">
        <v>2019</v>
      </c>
      <c r="B164" t="s">
        <v>48</v>
      </c>
      <c r="C164" t="s">
        <v>102</v>
      </c>
      <c r="D164" t="s">
        <v>77</v>
      </c>
      <c r="E164" t="s">
        <v>91</v>
      </c>
      <c r="F164" t="s">
        <v>7</v>
      </c>
      <c r="G164">
        <v>4</v>
      </c>
    </row>
    <row r="165" spans="1:7" x14ac:dyDescent="0.35">
      <c r="A165">
        <v>2019</v>
      </c>
      <c r="B165" t="s">
        <v>48</v>
      </c>
      <c r="C165" t="s">
        <v>102</v>
      </c>
      <c r="D165" t="s">
        <v>77</v>
      </c>
      <c r="E165" t="s">
        <v>90</v>
      </c>
      <c r="F165" t="s">
        <v>7</v>
      </c>
      <c r="G165">
        <v>0</v>
      </c>
    </row>
    <row r="166" spans="1:7" x14ac:dyDescent="0.35">
      <c r="A166">
        <v>2019</v>
      </c>
      <c r="B166" t="s">
        <v>56</v>
      </c>
      <c r="C166" t="s">
        <v>102</v>
      </c>
      <c r="D166" t="s">
        <v>77</v>
      </c>
      <c r="E166" t="s">
        <v>96</v>
      </c>
      <c r="F166" t="s">
        <v>7</v>
      </c>
      <c r="G166">
        <v>0</v>
      </c>
    </row>
    <row r="167" spans="1:7" x14ac:dyDescent="0.35">
      <c r="A167">
        <v>2019</v>
      </c>
      <c r="B167" t="s">
        <v>56</v>
      </c>
      <c r="C167" t="s">
        <v>102</v>
      </c>
      <c r="D167" t="s">
        <v>77</v>
      </c>
      <c r="E167" t="s">
        <v>89</v>
      </c>
      <c r="F167" t="s">
        <v>7</v>
      </c>
      <c r="G167">
        <v>52</v>
      </c>
    </row>
    <row r="168" spans="1:7" x14ac:dyDescent="0.35">
      <c r="A168">
        <v>2019</v>
      </c>
      <c r="B168" t="s">
        <v>56</v>
      </c>
      <c r="C168" t="s">
        <v>102</v>
      </c>
      <c r="D168" t="s">
        <v>77</v>
      </c>
      <c r="E168" t="s">
        <v>91</v>
      </c>
      <c r="F168" t="s">
        <v>7</v>
      </c>
      <c r="G168">
        <v>9</v>
      </c>
    </row>
    <row r="169" spans="1:7" x14ac:dyDescent="0.35">
      <c r="A169">
        <v>2019</v>
      </c>
      <c r="B169" t="s">
        <v>56</v>
      </c>
      <c r="C169" t="s">
        <v>102</v>
      </c>
      <c r="D169" t="s">
        <v>77</v>
      </c>
      <c r="E169" t="s">
        <v>90</v>
      </c>
      <c r="F169" t="s">
        <v>7</v>
      </c>
      <c r="G169">
        <v>0</v>
      </c>
    </row>
    <row r="170" spans="1:7" x14ac:dyDescent="0.35">
      <c r="A170">
        <v>2019</v>
      </c>
      <c r="B170" t="s">
        <v>49</v>
      </c>
      <c r="C170" t="s">
        <v>102</v>
      </c>
      <c r="D170" t="s">
        <v>77</v>
      </c>
      <c r="E170" t="s">
        <v>96</v>
      </c>
      <c r="F170" t="s">
        <v>7</v>
      </c>
      <c r="G170">
        <v>38</v>
      </c>
    </row>
    <row r="171" spans="1:7" x14ac:dyDescent="0.35">
      <c r="A171">
        <v>2019</v>
      </c>
      <c r="B171" t="s">
        <v>49</v>
      </c>
      <c r="C171" t="s">
        <v>102</v>
      </c>
      <c r="D171" t="s">
        <v>77</v>
      </c>
      <c r="E171" t="s">
        <v>89</v>
      </c>
      <c r="F171" t="s">
        <v>7</v>
      </c>
      <c r="G171">
        <v>13</v>
      </c>
    </row>
    <row r="172" spans="1:7" x14ac:dyDescent="0.35">
      <c r="A172">
        <v>2019</v>
      </c>
      <c r="B172" t="s">
        <v>49</v>
      </c>
      <c r="C172" t="s">
        <v>102</v>
      </c>
      <c r="D172" t="s">
        <v>77</v>
      </c>
      <c r="E172" t="s">
        <v>91</v>
      </c>
      <c r="F172" t="s">
        <v>7</v>
      </c>
      <c r="G172">
        <v>4</v>
      </c>
    </row>
    <row r="173" spans="1:7" x14ac:dyDescent="0.35">
      <c r="A173">
        <v>2019</v>
      </c>
      <c r="B173" t="s">
        <v>49</v>
      </c>
      <c r="C173" t="s">
        <v>102</v>
      </c>
      <c r="D173" t="s">
        <v>77</v>
      </c>
      <c r="E173" t="s">
        <v>90</v>
      </c>
      <c r="F173" t="s">
        <v>7</v>
      </c>
      <c r="G173">
        <v>0</v>
      </c>
    </row>
    <row r="174" spans="1:7" x14ac:dyDescent="0.35">
      <c r="A174">
        <v>2019</v>
      </c>
      <c r="B174" t="s">
        <v>57</v>
      </c>
      <c r="C174" t="s">
        <v>102</v>
      </c>
      <c r="D174" t="s">
        <v>77</v>
      </c>
      <c r="E174" t="s">
        <v>96</v>
      </c>
      <c r="F174" t="s">
        <v>7</v>
      </c>
      <c r="G174">
        <v>19</v>
      </c>
    </row>
    <row r="175" spans="1:7" x14ac:dyDescent="0.35">
      <c r="A175">
        <v>2019</v>
      </c>
      <c r="B175" t="s">
        <v>57</v>
      </c>
      <c r="C175" t="s">
        <v>102</v>
      </c>
      <c r="D175" t="s">
        <v>77</v>
      </c>
      <c r="E175" t="s">
        <v>89</v>
      </c>
      <c r="F175" t="s">
        <v>7</v>
      </c>
      <c r="G175">
        <v>61</v>
      </c>
    </row>
    <row r="176" spans="1:7" x14ac:dyDescent="0.35">
      <c r="A176">
        <v>2019</v>
      </c>
      <c r="B176" t="s">
        <v>57</v>
      </c>
      <c r="C176" t="s">
        <v>102</v>
      </c>
      <c r="D176" t="s">
        <v>77</v>
      </c>
      <c r="E176" t="s">
        <v>91</v>
      </c>
      <c r="F176" t="s">
        <v>7</v>
      </c>
      <c r="G176">
        <v>19</v>
      </c>
    </row>
    <row r="177" spans="1:7" x14ac:dyDescent="0.35">
      <c r="A177">
        <v>2019</v>
      </c>
      <c r="B177" t="s">
        <v>57</v>
      </c>
      <c r="C177" t="s">
        <v>102</v>
      </c>
      <c r="D177" t="s">
        <v>77</v>
      </c>
      <c r="E177" t="s">
        <v>90</v>
      </c>
      <c r="F177" t="s">
        <v>7</v>
      </c>
      <c r="G177">
        <v>2</v>
      </c>
    </row>
    <row r="178" spans="1:7" x14ac:dyDescent="0.35">
      <c r="A178">
        <v>2019</v>
      </c>
      <c r="B178" t="s">
        <v>23</v>
      </c>
      <c r="C178" t="s">
        <v>102</v>
      </c>
      <c r="D178" t="s">
        <v>77</v>
      </c>
      <c r="E178" t="s">
        <v>96</v>
      </c>
      <c r="F178" t="s">
        <v>7</v>
      </c>
      <c r="G178">
        <v>62</v>
      </c>
    </row>
    <row r="179" spans="1:7" x14ac:dyDescent="0.35">
      <c r="A179">
        <v>2019</v>
      </c>
      <c r="B179" t="s">
        <v>23</v>
      </c>
      <c r="C179" t="s">
        <v>102</v>
      </c>
      <c r="D179" t="s">
        <v>77</v>
      </c>
      <c r="E179" t="s">
        <v>89</v>
      </c>
      <c r="F179" t="s">
        <v>7</v>
      </c>
      <c r="G179">
        <v>26</v>
      </c>
    </row>
    <row r="180" spans="1:7" x14ac:dyDescent="0.35">
      <c r="A180">
        <v>2019</v>
      </c>
      <c r="B180" t="s">
        <v>23</v>
      </c>
      <c r="C180" t="s">
        <v>102</v>
      </c>
      <c r="D180" t="s">
        <v>77</v>
      </c>
      <c r="E180" t="s">
        <v>91</v>
      </c>
      <c r="F180" t="s">
        <v>7</v>
      </c>
      <c r="G180">
        <v>23</v>
      </c>
    </row>
    <row r="181" spans="1:7" x14ac:dyDescent="0.35">
      <c r="A181">
        <v>2019</v>
      </c>
      <c r="B181" t="s">
        <v>23</v>
      </c>
      <c r="C181" t="s">
        <v>102</v>
      </c>
      <c r="D181" t="s">
        <v>77</v>
      </c>
      <c r="E181" t="s">
        <v>90</v>
      </c>
      <c r="F181" t="s">
        <v>7</v>
      </c>
      <c r="G181">
        <v>0</v>
      </c>
    </row>
    <row r="182" spans="1:7" x14ac:dyDescent="0.35">
      <c r="A182">
        <v>2019</v>
      </c>
      <c r="B182" t="s">
        <v>38</v>
      </c>
      <c r="C182" t="s">
        <v>102</v>
      </c>
      <c r="D182" t="s">
        <v>77</v>
      </c>
      <c r="E182" t="s">
        <v>96</v>
      </c>
      <c r="F182" t="s">
        <v>7</v>
      </c>
      <c r="G182">
        <v>0</v>
      </c>
    </row>
    <row r="183" spans="1:7" x14ac:dyDescent="0.35">
      <c r="A183">
        <v>2019</v>
      </c>
      <c r="B183" t="s">
        <v>38</v>
      </c>
      <c r="C183" t="s">
        <v>102</v>
      </c>
      <c r="D183" t="s">
        <v>77</v>
      </c>
      <c r="E183" t="s">
        <v>89</v>
      </c>
      <c r="F183" t="s">
        <v>7</v>
      </c>
      <c r="G183">
        <v>0</v>
      </c>
    </row>
    <row r="184" spans="1:7" x14ac:dyDescent="0.35">
      <c r="A184">
        <v>2019</v>
      </c>
      <c r="B184" t="s">
        <v>38</v>
      </c>
      <c r="C184" t="s">
        <v>102</v>
      </c>
      <c r="D184" t="s">
        <v>77</v>
      </c>
      <c r="E184" t="s">
        <v>91</v>
      </c>
      <c r="F184" t="s">
        <v>7</v>
      </c>
      <c r="G184">
        <v>0</v>
      </c>
    </row>
    <row r="185" spans="1:7" x14ac:dyDescent="0.35">
      <c r="A185">
        <v>2019</v>
      </c>
      <c r="B185" t="s">
        <v>38</v>
      </c>
      <c r="C185" t="s">
        <v>102</v>
      </c>
      <c r="D185" t="s">
        <v>77</v>
      </c>
      <c r="E185" t="s">
        <v>90</v>
      </c>
      <c r="F185" t="s">
        <v>7</v>
      </c>
      <c r="G185">
        <v>2</v>
      </c>
    </row>
    <row r="186" spans="1:7" x14ac:dyDescent="0.35">
      <c r="A186">
        <v>2019</v>
      </c>
      <c r="B186" t="s">
        <v>12</v>
      </c>
      <c r="C186" t="s">
        <v>102</v>
      </c>
      <c r="D186" t="s">
        <v>77</v>
      </c>
      <c r="E186" t="s">
        <v>96</v>
      </c>
      <c r="F186" t="s">
        <v>8</v>
      </c>
      <c r="G186">
        <v>2</v>
      </c>
    </row>
    <row r="187" spans="1:7" x14ac:dyDescent="0.35">
      <c r="A187">
        <v>2019</v>
      </c>
      <c r="B187" t="s">
        <v>12</v>
      </c>
      <c r="C187" t="s">
        <v>102</v>
      </c>
      <c r="D187" t="s">
        <v>77</v>
      </c>
      <c r="E187" t="s">
        <v>89</v>
      </c>
      <c r="F187" t="s">
        <v>8</v>
      </c>
      <c r="G187">
        <v>3</v>
      </c>
    </row>
    <row r="188" spans="1:7" x14ac:dyDescent="0.35">
      <c r="A188">
        <v>2019</v>
      </c>
      <c r="B188" t="s">
        <v>12</v>
      </c>
      <c r="C188" t="s">
        <v>102</v>
      </c>
      <c r="D188" t="s">
        <v>77</v>
      </c>
      <c r="E188" t="s">
        <v>91</v>
      </c>
      <c r="F188" t="s">
        <v>8</v>
      </c>
      <c r="G188">
        <v>15</v>
      </c>
    </row>
    <row r="189" spans="1:7" x14ac:dyDescent="0.35">
      <c r="A189">
        <v>2019</v>
      </c>
      <c r="B189" t="s">
        <v>12</v>
      </c>
      <c r="C189" t="s">
        <v>102</v>
      </c>
      <c r="D189" t="s">
        <v>77</v>
      </c>
      <c r="E189" t="s">
        <v>90</v>
      </c>
      <c r="F189" t="s">
        <v>8</v>
      </c>
      <c r="G189">
        <v>3</v>
      </c>
    </row>
    <row r="190" spans="1:7" x14ac:dyDescent="0.35">
      <c r="A190">
        <v>2019</v>
      </c>
      <c r="B190" t="s">
        <v>13</v>
      </c>
      <c r="C190" t="s">
        <v>102</v>
      </c>
      <c r="D190" t="s">
        <v>77</v>
      </c>
      <c r="E190" t="s">
        <v>96</v>
      </c>
      <c r="F190" t="s">
        <v>8</v>
      </c>
      <c r="G190">
        <v>2</v>
      </c>
    </row>
    <row r="191" spans="1:7" x14ac:dyDescent="0.35">
      <c r="A191">
        <v>2019</v>
      </c>
      <c r="B191" t="s">
        <v>13</v>
      </c>
      <c r="C191" t="s">
        <v>102</v>
      </c>
      <c r="D191" t="s">
        <v>77</v>
      </c>
      <c r="E191" t="s">
        <v>89</v>
      </c>
      <c r="F191" t="s">
        <v>8</v>
      </c>
      <c r="G191">
        <v>1</v>
      </c>
    </row>
    <row r="192" spans="1:7" x14ac:dyDescent="0.35">
      <c r="A192">
        <v>2019</v>
      </c>
      <c r="B192" t="s">
        <v>13</v>
      </c>
      <c r="C192" t="s">
        <v>102</v>
      </c>
      <c r="D192" t="s">
        <v>77</v>
      </c>
      <c r="E192" t="s">
        <v>91</v>
      </c>
      <c r="F192" t="s">
        <v>8</v>
      </c>
      <c r="G192">
        <v>9</v>
      </c>
    </row>
    <row r="193" spans="1:7" x14ac:dyDescent="0.35">
      <c r="A193">
        <v>2019</v>
      </c>
      <c r="B193" t="s">
        <v>13</v>
      </c>
      <c r="C193" t="s">
        <v>102</v>
      </c>
      <c r="D193" t="s">
        <v>77</v>
      </c>
      <c r="E193" t="s">
        <v>90</v>
      </c>
      <c r="F193" t="s">
        <v>8</v>
      </c>
      <c r="G193">
        <v>2</v>
      </c>
    </row>
    <row r="194" spans="1:7" x14ac:dyDescent="0.35">
      <c r="A194">
        <v>2019</v>
      </c>
      <c r="B194" t="s">
        <v>14</v>
      </c>
      <c r="C194" t="s">
        <v>102</v>
      </c>
      <c r="D194" t="s">
        <v>77</v>
      </c>
      <c r="E194" t="s">
        <v>96</v>
      </c>
      <c r="F194" t="s">
        <v>8</v>
      </c>
      <c r="G194">
        <v>4</v>
      </c>
    </row>
    <row r="195" spans="1:7" x14ac:dyDescent="0.35">
      <c r="A195">
        <v>2019</v>
      </c>
      <c r="B195" t="s">
        <v>14</v>
      </c>
      <c r="C195" t="s">
        <v>102</v>
      </c>
      <c r="D195" t="s">
        <v>77</v>
      </c>
      <c r="E195" t="s">
        <v>89</v>
      </c>
      <c r="F195" t="s">
        <v>8</v>
      </c>
      <c r="G195">
        <v>0</v>
      </c>
    </row>
    <row r="196" spans="1:7" x14ac:dyDescent="0.35">
      <c r="A196">
        <v>2019</v>
      </c>
      <c r="B196" t="s">
        <v>14</v>
      </c>
      <c r="C196" t="s">
        <v>102</v>
      </c>
      <c r="D196" t="s">
        <v>77</v>
      </c>
      <c r="E196" t="s">
        <v>91</v>
      </c>
      <c r="F196" t="s">
        <v>8</v>
      </c>
      <c r="G196">
        <v>19</v>
      </c>
    </row>
    <row r="197" spans="1:7" x14ac:dyDescent="0.35">
      <c r="A197">
        <v>2019</v>
      </c>
      <c r="B197" t="s">
        <v>14</v>
      </c>
      <c r="C197" t="s">
        <v>102</v>
      </c>
      <c r="D197" t="s">
        <v>77</v>
      </c>
      <c r="E197" t="s">
        <v>90</v>
      </c>
      <c r="F197" t="s">
        <v>8</v>
      </c>
      <c r="G197">
        <v>2</v>
      </c>
    </row>
    <row r="198" spans="1:7" x14ac:dyDescent="0.35">
      <c r="A198">
        <v>2019</v>
      </c>
      <c r="B198" t="s">
        <v>15</v>
      </c>
      <c r="C198" t="s">
        <v>102</v>
      </c>
      <c r="D198" t="s">
        <v>77</v>
      </c>
      <c r="E198" t="s">
        <v>96</v>
      </c>
      <c r="F198" t="s">
        <v>8</v>
      </c>
      <c r="G198">
        <v>3</v>
      </c>
    </row>
    <row r="199" spans="1:7" x14ac:dyDescent="0.35">
      <c r="A199">
        <v>2019</v>
      </c>
      <c r="B199" t="s">
        <v>15</v>
      </c>
      <c r="C199" t="s">
        <v>102</v>
      </c>
      <c r="D199" t="s">
        <v>77</v>
      </c>
      <c r="E199" t="s">
        <v>89</v>
      </c>
      <c r="F199" t="s">
        <v>8</v>
      </c>
      <c r="G199">
        <v>4</v>
      </c>
    </row>
    <row r="200" spans="1:7" x14ac:dyDescent="0.35">
      <c r="A200">
        <v>2019</v>
      </c>
      <c r="B200" t="s">
        <v>15</v>
      </c>
      <c r="C200" t="s">
        <v>102</v>
      </c>
      <c r="D200" t="s">
        <v>77</v>
      </c>
      <c r="E200" t="s">
        <v>91</v>
      </c>
      <c r="F200" t="s">
        <v>8</v>
      </c>
      <c r="G200">
        <v>4</v>
      </c>
    </row>
    <row r="201" spans="1:7" x14ac:dyDescent="0.35">
      <c r="A201">
        <v>2019</v>
      </c>
      <c r="B201" t="s">
        <v>15</v>
      </c>
      <c r="C201" t="s">
        <v>102</v>
      </c>
      <c r="D201" t="s">
        <v>77</v>
      </c>
      <c r="E201" t="s">
        <v>90</v>
      </c>
      <c r="F201" t="s">
        <v>8</v>
      </c>
      <c r="G201">
        <v>0</v>
      </c>
    </row>
    <row r="202" spans="1:7" x14ac:dyDescent="0.35">
      <c r="A202">
        <v>2019</v>
      </c>
      <c r="B202" t="s">
        <v>16</v>
      </c>
      <c r="C202" t="s">
        <v>102</v>
      </c>
      <c r="D202" t="s">
        <v>77</v>
      </c>
      <c r="E202" t="s">
        <v>96</v>
      </c>
      <c r="F202" t="s">
        <v>8</v>
      </c>
      <c r="G202">
        <v>2</v>
      </c>
    </row>
    <row r="203" spans="1:7" x14ac:dyDescent="0.35">
      <c r="A203">
        <v>2019</v>
      </c>
      <c r="B203" t="s">
        <v>16</v>
      </c>
      <c r="C203" t="s">
        <v>102</v>
      </c>
      <c r="D203" t="s">
        <v>77</v>
      </c>
      <c r="E203" t="s">
        <v>89</v>
      </c>
      <c r="F203" t="s">
        <v>8</v>
      </c>
      <c r="G203">
        <v>2</v>
      </c>
    </row>
    <row r="204" spans="1:7" x14ac:dyDescent="0.35">
      <c r="A204">
        <v>2019</v>
      </c>
      <c r="B204" t="s">
        <v>16</v>
      </c>
      <c r="C204" t="s">
        <v>102</v>
      </c>
      <c r="D204" t="s">
        <v>77</v>
      </c>
      <c r="E204" t="s">
        <v>91</v>
      </c>
      <c r="F204" t="s">
        <v>8</v>
      </c>
      <c r="G204">
        <v>9</v>
      </c>
    </row>
    <row r="205" spans="1:7" x14ac:dyDescent="0.35">
      <c r="A205">
        <v>2019</v>
      </c>
      <c r="B205" t="s">
        <v>16</v>
      </c>
      <c r="C205" t="s">
        <v>102</v>
      </c>
      <c r="D205" t="s">
        <v>77</v>
      </c>
      <c r="E205" t="s">
        <v>90</v>
      </c>
      <c r="F205" t="s">
        <v>8</v>
      </c>
      <c r="G205">
        <v>10</v>
      </c>
    </row>
    <row r="206" spans="1:7" x14ac:dyDescent="0.35">
      <c r="A206">
        <v>2019</v>
      </c>
      <c r="B206" t="s">
        <v>17</v>
      </c>
      <c r="C206" t="s">
        <v>102</v>
      </c>
      <c r="D206" t="s">
        <v>77</v>
      </c>
      <c r="E206" t="s">
        <v>96</v>
      </c>
      <c r="F206" t="s">
        <v>8</v>
      </c>
      <c r="G206">
        <v>4</v>
      </c>
    </row>
    <row r="207" spans="1:7" x14ac:dyDescent="0.35">
      <c r="A207">
        <v>2019</v>
      </c>
      <c r="B207" t="s">
        <v>17</v>
      </c>
      <c r="C207" t="s">
        <v>102</v>
      </c>
      <c r="D207" t="s">
        <v>77</v>
      </c>
      <c r="E207" t="s">
        <v>89</v>
      </c>
      <c r="F207" t="s">
        <v>8</v>
      </c>
      <c r="G207">
        <v>10</v>
      </c>
    </row>
    <row r="208" spans="1:7" x14ac:dyDescent="0.35">
      <c r="A208">
        <v>2019</v>
      </c>
      <c r="B208" t="s">
        <v>17</v>
      </c>
      <c r="C208" t="s">
        <v>102</v>
      </c>
      <c r="D208" t="s">
        <v>77</v>
      </c>
      <c r="E208" t="s">
        <v>91</v>
      </c>
      <c r="F208" t="s">
        <v>8</v>
      </c>
      <c r="G208">
        <v>10</v>
      </c>
    </row>
    <row r="209" spans="1:7" x14ac:dyDescent="0.35">
      <c r="A209">
        <v>2019</v>
      </c>
      <c r="B209" t="s">
        <v>17</v>
      </c>
      <c r="C209" t="s">
        <v>102</v>
      </c>
      <c r="D209" t="s">
        <v>77</v>
      </c>
      <c r="E209" t="s">
        <v>90</v>
      </c>
      <c r="F209" t="s">
        <v>8</v>
      </c>
      <c r="G209">
        <v>0</v>
      </c>
    </row>
    <row r="210" spans="1:7" x14ac:dyDescent="0.35">
      <c r="A210">
        <v>2019</v>
      </c>
      <c r="B210" t="s">
        <v>18</v>
      </c>
      <c r="C210" t="s">
        <v>102</v>
      </c>
      <c r="D210" t="s">
        <v>77</v>
      </c>
      <c r="E210" t="s">
        <v>96</v>
      </c>
      <c r="F210" t="s">
        <v>8</v>
      </c>
      <c r="G210">
        <v>1</v>
      </c>
    </row>
    <row r="211" spans="1:7" x14ac:dyDescent="0.35">
      <c r="A211">
        <v>2019</v>
      </c>
      <c r="B211" t="s">
        <v>18</v>
      </c>
      <c r="C211" t="s">
        <v>102</v>
      </c>
      <c r="D211" t="s">
        <v>77</v>
      </c>
      <c r="E211" t="s">
        <v>89</v>
      </c>
      <c r="F211" t="s">
        <v>8</v>
      </c>
      <c r="G211">
        <v>2</v>
      </c>
    </row>
    <row r="212" spans="1:7" x14ac:dyDescent="0.35">
      <c r="A212">
        <v>2019</v>
      </c>
      <c r="B212" t="s">
        <v>18</v>
      </c>
      <c r="C212" t="s">
        <v>102</v>
      </c>
      <c r="D212" t="s">
        <v>77</v>
      </c>
      <c r="E212" t="s">
        <v>91</v>
      </c>
      <c r="F212" t="s">
        <v>8</v>
      </c>
      <c r="G212">
        <v>7</v>
      </c>
    </row>
    <row r="213" spans="1:7" x14ac:dyDescent="0.35">
      <c r="A213">
        <v>2019</v>
      </c>
      <c r="B213" t="s">
        <v>18</v>
      </c>
      <c r="C213" t="s">
        <v>102</v>
      </c>
      <c r="D213" t="s">
        <v>77</v>
      </c>
      <c r="E213" t="s">
        <v>90</v>
      </c>
      <c r="F213" t="s">
        <v>8</v>
      </c>
      <c r="G213">
        <v>2</v>
      </c>
    </row>
    <row r="214" spans="1:7" x14ac:dyDescent="0.35">
      <c r="A214">
        <v>2019</v>
      </c>
      <c r="B214" t="s">
        <v>19</v>
      </c>
      <c r="C214" t="s">
        <v>102</v>
      </c>
      <c r="D214" t="s">
        <v>77</v>
      </c>
      <c r="E214" t="s">
        <v>96</v>
      </c>
      <c r="F214" t="s">
        <v>8</v>
      </c>
      <c r="G214">
        <v>3</v>
      </c>
    </row>
    <row r="215" spans="1:7" x14ac:dyDescent="0.35">
      <c r="A215">
        <v>2019</v>
      </c>
      <c r="B215" t="s">
        <v>19</v>
      </c>
      <c r="C215" t="s">
        <v>102</v>
      </c>
      <c r="D215" t="s">
        <v>77</v>
      </c>
      <c r="E215" t="s">
        <v>89</v>
      </c>
      <c r="F215" t="s">
        <v>8</v>
      </c>
      <c r="G215">
        <v>1</v>
      </c>
    </row>
    <row r="216" spans="1:7" x14ac:dyDescent="0.35">
      <c r="A216">
        <v>2019</v>
      </c>
      <c r="B216" t="s">
        <v>19</v>
      </c>
      <c r="C216" t="s">
        <v>102</v>
      </c>
      <c r="D216" t="s">
        <v>77</v>
      </c>
      <c r="E216" t="s">
        <v>91</v>
      </c>
      <c r="F216" t="s">
        <v>8</v>
      </c>
      <c r="G216">
        <v>10</v>
      </c>
    </row>
    <row r="217" spans="1:7" x14ac:dyDescent="0.35">
      <c r="A217">
        <v>2019</v>
      </c>
      <c r="B217" t="s">
        <v>19</v>
      </c>
      <c r="C217" t="s">
        <v>102</v>
      </c>
      <c r="D217" t="s">
        <v>77</v>
      </c>
      <c r="E217" t="s">
        <v>90</v>
      </c>
      <c r="F217" t="s">
        <v>8</v>
      </c>
      <c r="G217">
        <v>2</v>
      </c>
    </row>
    <row r="218" spans="1:7" x14ac:dyDescent="0.35">
      <c r="A218">
        <v>2019</v>
      </c>
      <c r="B218" t="s">
        <v>20</v>
      </c>
      <c r="C218" t="s">
        <v>102</v>
      </c>
      <c r="D218" t="s">
        <v>77</v>
      </c>
      <c r="E218" t="s">
        <v>96</v>
      </c>
      <c r="F218" t="s">
        <v>8</v>
      </c>
      <c r="G218">
        <v>0</v>
      </c>
    </row>
    <row r="219" spans="1:7" x14ac:dyDescent="0.35">
      <c r="A219">
        <v>2019</v>
      </c>
      <c r="B219" t="s">
        <v>20</v>
      </c>
      <c r="C219" t="s">
        <v>102</v>
      </c>
      <c r="D219" t="s">
        <v>77</v>
      </c>
      <c r="E219" t="s">
        <v>89</v>
      </c>
      <c r="F219" t="s">
        <v>8</v>
      </c>
      <c r="G219">
        <v>1</v>
      </c>
    </row>
    <row r="220" spans="1:7" x14ac:dyDescent="0.35">
      <c r="A220">
        <v>2019</v>
      </c>
      <c r="B220" t="s">
        <v>20</v>
      </c>
      <c r="C220" t="s">
        <v>102</v>
      </c>
      <c r="D220" t="s">
        <v>77</v>
      </c>
      <c r="E220" t="s">
        <v>91</v>
      </c>
      <c r="F220" t="s">
        <v>8</v>
      </c>
      <c r="G220">
        <v>0</v>
      </c>
    </row>
    <row r="221" spans="1:7" x14ac:dyDescent="0.35">
      <c r="A221">
        <v>2019</v>
      </c>
      <c r="B221" t="s">
        <v>20</v>
      </c>
      <c r="C221" t="s">
        <v>102</v>
      </c>
      <c r="D221" t="s">
        <v>77</v>
      </c>
      <c r="E221" t="s">
        <v>90</v>
      </c>
      <c r="F221" t="s">
        <v>8</v>
      </c>
      <c r="G221">
        <v>0</v>
      </c>
    </row>
    <row r="222" spans="1:7" x14ac:dyDescent="0.35">
      <c r="A222">
        <v>2019</v>
      </c>
      <c r="B222" t="s">
        <v>21</v>
      </c>
      <c r="C222" t="s">
        <v>102</v>
      </c>
      <c r="D222" t="s">
        <v>77</v>
      </c>
      <c r="E222" t="s">
        <v>96</v>
      </c>
      <c r="F222" t="s">
        <v>8</v>
      </c>
      <c r="G222">
        <v>5</v>
      </c>
    </row>
    <row r="223" spans="1:7" x14ac:dyDescent="0.35">
      <c r="A223">
        <v>2019</v>
      </c>
      <c r="B223" t="s">
        <v>21</v>
      </c>
      <c r="C223" t="s">
        <v>102</v>
      </c>
      <c r="D223" t="s">
        <v>77</v>
      </c>
      <c r="E223" t="s">
        <v>89</v>
      </c>
      <c r="F223" t="s">
        <v>8</v>
      </c>
      <c r="G223">
        <v>8</v>
      </c>
    </row>
    <row r="224" spans="1:7" x14ac:dyDescent="0.35">
      <c r="A224">
        <v>2019</v>
      </c>
      <c r="B224" t="s">
        <v>21</v>
      </c>
      <c r="C224" t="s">
        <v>102</v>
      </c>
      <c r="D224" t="s">
        <v>77</v>
      </c>
      <c r="E224" t="s">
        <v>91</v>
      </c>
      <c r="F224" t="s">
        <v>8</v>
      </c>
      <c r="G224">
        <v>21</v>
      </c>
    </row>
    <row r="225" spans="1:7" x14ac:dyDescent="0.35">
      <c r="A225">
        <v>2019</v>
      </c>
      <c r="B225" t="s">
        <v>21</v>
      </c>
      <c r="C225" t="s">
        <v>102</v>
      </c>
      <c r="D225" t="s">
        <v>77</v>
      </c>
      <c r="E225" t="s">
        <v>90</v>
      </c>
      <c r="F225" t="s">
        <v>8</v>
      </c>
      <c r="G225">
        <v>0</v>
      </c>
    </row>
    <row r="226" spans="1:7" x14ac:dyDescent="0.35">
      <c r="A226">
        <v>2019</v>
      </c>
      <c r="B226" t="s">
        <v>22</v>
      </c>
      <c r="C226" t="s">
        <v>102</v>
      </c>
      <c r="D226" t="s">
        <v>77</v>
      </c>
      <c r="E226" t="s">
        <v>96</v>
      </c>
      <c r="F226" t="s">
        <v>8</v>
      </c>
      <c r="G226">
        <v>17</v>
      </c>
    </row>
    <row r="227" spans="1:7" x14ac:dyDescent="0.35">
      <c r="A227">
        <v>2019</v>
      </c>
      <c r="B227" t="s">
        <v>22</v>
      </c>
      <c r="C227" t="s">
        <v>102</v>
      </c>
      <c r="D227" t="s">
        <v>77</v>
      </c>
      <c r="E227" t="s">
        <v>89</v>
      </c>
      <c r="F227" t="s">
        <v>8</v>
      </c>
      <c r="G227">
        <v>0</v>
      </c>
    </row>
    <row r="228" spans="1:7" x14ac:dyDescent="0.35">
      <c r="A228">
        <v>2019</v>
      </c>
      <c r="B228" t="s">
        <v>22</v>
      </c>
      <c r="C228" t="s">
        <v>102</v>
      </c>
      <c r="D228" t="s">
        <v>77</v>
      </c>
      <c r="E228" t="s">
        <v>91</v>
      </c>
      <c r="F228" t="s">
        <v>8</v>
      </c>
      <c r="G228">
        <v>12</v>
      </c>
    </row>
    <row r="229" spans="1:7" x14ac:dyDescent="0.35">
      <c r="A229">
        <v>2019</v>
      </c>
      <c r="B229" t="s">
        <v>22</v>
      </c>
      <c r="C229" t="s">
        <v>102</v>
      </c>
      <c r="D229" t="s">
        <v>77</v>
      </c>
      <c r="E229" t="s">
        <v>90</v>
      </c>
      <c r="F229" t="s">
        <v>8</v>
      </c>
      <c r="G229">
        <v>0</v>
      </c>
    </row>
    <row r="230" spans="1:7" x14ac:dyDescent="0.35">
      <c r="A230">
        <v>2019</v>
      </c>
      <c r="B230" t="s">
        <v>24</v>
      </c>
      <c r="C230" t="s">
        <v>102</v>
      </c>
      <c r="D230" t="s">
        <v>77</v>
      </c>
      <c r="E230" t="s">
        <v>96</v>
      </c>
      <c r="F230" t="s">
        <v>8</v>
      </c>
      <c r="G230">
        <v>0</v>
      </c>
    </row>
    <row r="231" spans="1:7" x14ac:dyDescent="0.35">
      <c r="A231">
        <v>2019</v>
      </c>
      <c r="B231" t="s">
        <v>24</v>
      </c>
      <c r="C231" t="s">
        <v>102</v>
      </c>
      <c r="D231" t="s">
        <v>77</v>
      </c>
      <c r="E231" t="s">
        <v>89</v>
      </c>
      <c r="F231" t="s">
        <v>8</v>
      </c>
      <c r="G231">
        <v>0</v>
      </c>
    </row>
    <row r="232" spans="1:7" x14ac:dyDescent="0.35">
      <c r="A232">
        <v>2019</v>
      </c>
      <c r="B232" t="s">
        <v>24</v>
      </c>
      <c r="C232" t="s">
        <v>102</v>
      </c>
      <c r="D232" t="s">
        <v>77</v>
      </c>
      <c r="E232" t="s">
        <v>91</v>
      </c>
      <c r="F232" t="s">
        <v>8</v>
      </c>
      <c r="G232">
        <v>7</v>
      </c>
    </row>
    <row r="233" spans="1:7" x14ac:dyDescent="0.35">
      <c r="A233">
        <v>2019</v>
      </c>
      <c r="B233" t="s">
        <v>24</v>
      </c>
      <c r="C233" t="s">
        <v>102</v>
      </c>
      <c r="D233" t="s">
        <v>77</v>
      </c>
      <c r="E233" t="s">
        <v>90</v>
      </c>
      <c r="F233" t="s">
        <v>8</v>
      </c>
      <c r="G233">
        <v>0</v>
      </c>
    </row>
    <row r="234" spans="1:7" x14ac:dyDescent="0.35">
      <c r="A234">
        <v>2019</v>
      </c>
      <c r="B234" t="s">
        <v>25</v>
      </c>
      <c r="C234" t="s">
        <v>102</v>
      </c>
      <c r="D234" t="s">
        <v>77</v>
      </c>
      <c r="E234" t="s">
        <v>96</v>
      </c>
      <c r="F234" t="s">
        <v>8</v>
      </c>
      <c r="G234">
        <v>2</v>
      </c>
    </row>
    <row r="235" spans="1:7" x14ac:dyDescent="0.35">
      <c r="A235">
        <v>2019</v>
      </c>
      <c r="B235" t="s">
        <v>25</v>
      </c>
      <c r="C235" t="s">
        <v>102</v>
      </c>
      <c r="D235" t="s">
        <v>77</v>
      </c>
      <c r="E235" t="s">
        <v>89</v>
      </c>
      <c r="F235" t="s">
        <v>8</v>
      </c>
      <c r="G235">
        <v>1</v>
      </c>
    </row>
    <row r="236" spans="1:7" x14ac:dyDescent="0.35">
      <c r="A236">
        <v>2019</v>
      </c>
      <c r="B236" t="s">
        <v>25</v>
      </c>
      <c r="C236" t="s">
        <v>102</v>
      </c>
      <c r="D236" t="s">
        <v>77</v>
      </c>
      <c r="E236" t="s">
        <v>91</v>
      </c>
      <c r="F236" t="s">
        <v>8</v>
      </c>
      <c r="G236">
        <v>18</v>
      </c>
    </row>
    <row r="237" spans="1:7" x14ac:dyDescent="0.35">
      <c r="A237">
        <v>2019</v>
      </c>
      <c r="B237" t="s">
        <v>25</v>
      </c>
      <c r="C237" t="s">
        <v>102</v>
      </c>
      <c r="D237" t="s">
        <v>77</v>
      </c>
      <c r="E237" t="s">
        <v>90</v>
      </c>
      <c r="F237" t="s">
        <v>8</v>
      </c>
      <c r="G237">
        <v>1</v>
      </c>
    </row>
    <row r="238" spans="1:7" x14ac:dyDescent="0.35">
      <c r="A238">
        <v>2019</v>
      </c>
      <c r="B238" t="s">
        <v>26</v>
      </c>
      <c r="C238" t="s">
        <v>102</v>
      </c>
      <c r="D238" t="s">
        <v>77</v>
      </c>
      <c r="E238" t="s">
        <v>96</v>
      </c>
      <c r="F238" t="s">
        <v>8</v>
      </c>
      <c r="G238">
        <v>2</v>
      </c>
    </row>
    <row r="239" spans="1:7" x14ac:dyDescent="0.35">
      <c r="A239">
        <v>2019</v>
      </c>
      <c r="B239" t="s">
        <v>26</v>
      </c>
      <c r="C239" t="s">
        <v>102</v>
      </c>
      <c r="D239" t="s">
        <v>77</v>
      </c>
      <c r="E239" t="s">
        <v>89</v>
      </c>
      <c r="F239" t="s">
        <v>8</v>
      </c>
      <c r="G239">
        <v>4</v>
      </c>
    </row>
    <row r="240" spans="1:7" x14ac:dyDescent="0.35">
      <c r="A240">
        <v>2019</v>
      </c>
      <c r="B240" t="s">
        <v>26</v>
      </c>
      <c r="C240" t="s">
        <v>102</v>
      </c>
      <c r="D240" t="s">
        <v>77</v>
      </c>
      <c r="E240" t="s">
        <v>91</v>
      </c>
      <c r="F240" t="s">
        <v>8</v>
      </c>
      <c r="G240">
        <v>15</v>
      </c>
    </row>
    <row r="241" spans="1:7" x14ac:dyDescent="0.35">
      <c r="A241">
        <v>2019</v>
      </c>
      <c r="B241" t="s">
        <v>26</v>
      </c>
      <c r="C241" t="s">
        <v>102</v>
      </c>
      <c r="D241" t="s">
        <v>77</v>
      </c>
      <c r="E241" t="s">
        <v>90</v>
      </c>
      <c r="F241" t="s">
        <v>8</v>
      </c>
      <c r="G241">
        <v>3</v>
      </c>
    </row>
    <row r="242" spans="1:7" x14ac:dyDescent="0.35">
      <c r="A242">
        <v>2019</v>
      </c>
      <c r="B242" t="s">
        <v>27</v>
      </c>
      <c r="C242" t="s">
        <v>102</v>
      </c>
      <c r="D242" t="s">
        <v>77</v>
      </c>
      <c r="E242" t="s">
        <v>96</v>
      </c>
      <c r="F242" t="s">
        <v>8</v>
      </c>
      <c r="G242">
        <v>9</v>
      </c>
    </row>
    <row r="243" spans="1:7" x14ac:dyDescent="0.35">
      <c r="A243">
        <v>2019</v>
      </c>
      <c r="B243" t="s">
        <v>27</v>
      </c>
      <c r="C243" t="s">
        <v>102</v>
      </c>
      <c r="D243" t="s">
        <v>77</v>
      </c>
      <c r="E243" t="s">
        <v>89</v>
      </c>
      <c r="F243" t="s">
        <v>8</v>
      </c>
      <c r="G243">
        <v>0</v>
      </c>
    </row>
    <row r="244" spans="1:7" x14ac:dyDescent="0.35">
      <c r="A244">
        <v>2019</v>
      </c>
      <c r="B244" t="s">
        <v>27</v>
      </c>
      <c r="C244" t="s">
        <v>102</v>
      </c>
      <c r="D244" t="s">
        <v>77</v>
      </c>
      <c r="E244" t="s">
        <v>91</v>
      </c>
      <c r="F244" t="s">
        <v>8</v>
      </c>
      <c r="G244">
        <v>0</v>
      </c>
    </row>
    <row r="245" spans="1:7" x14ac:dyDescent="0.35">
      <c r="A245">
        <v>2019</v>
      </c>
      <c r="B245" t="s">
        <v>27</v>
      </c>
      <c r="C245" t="s">
        <v>102</v>
      </c>
      <c r="D245" t="s">
        <v>77</v>
      </c>
      <c r="E245" t="s">
        <v>90</v>
      </c>
      <c r="F245" t="s">
        <v>8</v>
      </c>
      <c r="G245">
        <v>0</v>
      </c>
    </row>
    <row r="246" spans="1:7" x14ac:dyDescent="0.35">
      <c r="A246">
        <v>2019</v>
      </c>
      <c r="B246" t="s">
        <v>58</v>
      </c>
      <c r="C246" t="s">
        <v>102</v>
      </c>
      <c r="D246" t="s">
        <v>77</v>
      </c>
      <c r="E246" t="s">
        <v>96</v>
      </c>
      <c r="F246" t="s">
        <v>8</v>
      </c>
      <c r="G246">
        <v>0</v>
      </c>
    </row>
    <row r="247" spans="1:7" x14ac:dyDescent="0.35">
      <c r="A247">
        <v>2019</v>
      </c>
      <c r="B247" t="s">
        <v>58</v>
      </c>
      <c r="C247" t="s">
        <v>102</v>
      </c>
      <c r="D247" t="s">
        <v>77</v>
      </c>
      <c r="E247" t="s">
        <v>89</v>
      </c>
      <c r="F247" t="s">
        <v>8</v>
      </c>
      <c r="G247">
        <v>41</v>
      </c>
    </row>
    <row r="248" spans="1:7" x14ac:dyDescent="0.35">
      <c r="A248">
        <v>2019</v>
      </c>
      <c r="B248" t="s">
        <v>58</v>
      </c>
      <c r="C248" t="s">
        <v>102</v>
      </c>
      <c r="D248" t="s">
        <v>77</v>
      </c>
      <c r="E248" t="s">
        <v>91</v>
      </c>
      <c r="F248" t="s">
        <v>8</v>
      </c>
      <c r="G248">
        <v>66</v>
      </c>
    </row>
    <row r="249" spans="1:7" x14ac:dyDescent="0.35">
      <c r="A249">
        <v>2019</v>
      </c>
      <c r="B249" t="s">
        <v>58</v>
      </c>
      <c r="C249" t="s">
        <v>102</v>
      </c>
      <c r="D249" t="s">
        <v>77</v>
      </c>
      <c r="E249" t="s">
        <v>90</v>
      </c>
      <c r="F249" t="s">
        <v>8</v>
      </c>
      <c r="G249">
        <v>4</v>
      </c>
    </row>
    <row r="250" spans="1:7" x14ac:dyDescent="0.35">
      <c r="A250">
        <v>2019</v>
      </c>
      <c r="B250" t="s">
        <v>52</v>
      </c>
      <c r="C250" t="s">
        <v>102</v>
      </c>
      <c r="D250" t="s">
        <v>77</v>
      </c>
      <c r="E250" t="s">
        <v>96</v>
      </c>
      <c r="F250" t="s">
        <v>8</v>
      </c>
      <c r="G250">
        <v>0</v>
      </c>
    </row>
    <row r="251" spans="1:7" x14ac:dyDescent="0.35">
      <c r="A251">
        <v>2019</v>
      </c>
      <c r="B251" t="s">
        <v>52</v>
      </c>
      <c r="C251" t="s">
        <v>102</v>
      </c>
      <c r="D251" t="s">
        <v>77</v>
      </c>
      <c r="E251" t="s">
        <v>89</v>
      </c>
      <c r="F251" t="s">
        <v>8</v>
      </c>
      <c r="G251">
        <v>19</v>
      </c>
    </row>
    <row r="252" spans="1:7" x14ac:dyDescent="0.35">
      <c r="A252">
        <v>2019</v>
      </c>
      <c r="B252" t="s">
        <v>52</v>
      </c>
      <c r="C252" t="s">
        <v>102</v>
      </c>
      <c r="D252" t="s">
        <v>77</v>
      </c>
      <c r="E252" t="s">
        <v>91</v>
      </c>
      <c r="F252" t="s">
        <v>8</v>
      </c>
      <c r="G252">
        <v>28</v>
      </c>
    </row>
    <row r="253" spans="1:7" x14ac:dyDescent="0.35">
      <c r="A253">
        <v>2019</v>
      </c>
      <c r="B253" t="s">
        <v>52</v>
      </c>
      <c r="C253" t="s">
        <v>102</v>
      </c>
      <c r="D253" t="s">
        <v>77</v>
      </c>
      <c r="E253" t="s">
        <v>90</v>
      </c>
      <c r="F253" t="s">
        <v>8</v>
      </c>
      <c r="G253">
        <v>0</v>
      </c>
    </row>
    <row r="254" spans="1:7" x14ac:dyDescent="0.35">
      <c r="A254">
        <v>2019</v>
      </c>
      <c r="B254" t="s">
        <v>28</v>
      </c>
      <c r="C254" t="s">
        <v>102</v>
      </c>
      <c r="D254" t="s">
        <v>77</v>
      </c>
      <c r="E254" t="s">
        <v>96</v>
      </c>
      <c r="F254" t="s">
        <v>8</v>
      </c>
      <c r="G254">
        <v>94</v>
      </c>
    </row>
    <row r="255" spans="1:7" x14ac:dyDescent="0.35">
      <c r="A255">
        <v>2019</v>
      </c>
      <c r="B255" t="s">
        <v>28</v>
      </c>
      <c r="C255" t="s">
        <v>102</v>
      </c>
      <c r="D255" t="s">
        <v>77</v>
      </c>
      <c r="E255" t="s">
        <v>89</v>
      </c>
      <c r="F255" t="s">
        <v>8</v>
      </c>
      <c r="G255">
        <v>54</v>
      </c>
    </row>
    <row r="256" spans="1:7" x14ac:dyDescent="0.35">
      <c r="A256">
        <v>2019</v>
      </c>
      <c r="B256" t="s">
        <v>28</v>
      </c>
      <c r="C256" t="s">
        <v>102</v>
      </c>
      <c r="D256" t="s">
        <v>77</v>
      </c>
      <c r="E256" t="s">
        <v>91</v>
      </c>
      <c r="F256" t="s">
        <v>8</v>
      </c>
      <c r="G256">
        <v>11</v>
      </c>
    </row>
    <row r="257" spans="1:7" x14ac:dyDescent="0.35">
      <c r="A257">
        <v>2019</v>
      </c>
      <c r="B257" t="s">
        <v>28</v>
      </c>
      <c r="C257" t="s">
        <v>102</v>
      </c>
      <c r="D257" t="s">
        <v>77</v>
      </c>
      <c r="E257" t="s">
        <v>90</v>
      </c>
      <c r="F257" t="s">
        <v>8</v>
      </c>
      <c r="G257">
        <v>0</v>
      </c>
    </row>
    <row r="258" spans="1:7" x14ac:dyDescent="0.35">
      <c r="A258">
        <v>2019</v>
      </c>
      <c r="B258" t="s">
        <v>29</v>
      </c>
      <c r="C258" t="s">
        <v>102</v>
      </c>
      <c r="D258" t="s">
        <v>77</v>
      </c>
      <c r="E258" t="s">
        <v>96</v>
      </c>
      <c r="F258" t="s">
        <v>8</v>
      </c>
      <c r="G258">
        <v>5</v>
      </c>
    </row>
    <row r="259" spans="1:7" x14ac:dyDescent="0.35">
      <c r="A259">
        <v>2019</v>
      </c>
      <c r="B259" t="s">
        <v>29</v>
      </c>
      <c r="C259" t="s">
        <v>102</v>
      </c>
      <c r="D259" t="s">
        <v>77</v>
      </c>
      <c r="E259" t="s">
        <v>89</v>
      </c>
      <c r="F259" t="s">
        <v>8</v>
      </c>
      <c r="G259">
        <v>4</v>
      </c>
    </row>
    <row r="260" spans="1:7" x14ac:dyDescent="0.35">
      <c r="A260">
        <v>2019</v>
      </c>
      <c r="B260" t="s">
        <v>29</v>
      </c>
      <c r="C260" t="s">
        <v>102</v>
      </c>
      <c r="D260" t="s">
        <v>77</v>
      </c>
      <c r="E260" t="s">
        <v>91</v>
      </c>
      <c r="F260" t="s">
        <v>8</v>
      </c>
      <c r="G260">
        <v>10</v>
      </c>
    </row>
    <row r="261" spans="1:7" x14ac:dyDescent="0.35">
      <c r="A261">
        <v>2019</v>
      </c>
      <c r="B261" t="s">
        <v>29</v>
      </c>
      <c r="C261" t="s">
        <v>102</v>
      </c>
      <c r="D261" t="s">
        <v>77</v>
      </c>
      <c r="E261" t="s">
        <v>90</v>
      </c>
      <c r="F261" t="s">
        <v>8</v>
      </c>
      <c r="G261">
        <v>0</v>
      </c>
    </row>
    <row r="262" spans="1:7" x14ac:dyDescent="0.35">
      <c r="A262">
        <v>2019</v>
      </c>
      <c r="B262" t="s">
        <v>30</v>
      </c>
      <c r="C262" t="s">
        <v>102</v>
      </c>
      <c r="D262" t="s">
        <v>77</v>
      </c>
      <c r="E262" t="s">
        <v>96</v>
      </c>
      <c r="F262" t="s">
        <v>8</v>
      </c>
      <c r="G262">
        <v>2</v>
      </c>
    </row>
    <row r="263" spans="1:7" x14ac:dyDescent="0.35">
      <c r="A263">
        <v>2019</v>
      </c>
      <c r="B263" t="s">
        <v>30</v>
      </c>
      <c r="C263" t="s">
        <v>102</v>
      </c>
      <c r="D263" t="s">
        <v>77</v>
      </c>
      <c r="E263" t="s">
        <v>89</v>
      </c>
      <c r="F263" t="s">
        <v>8</v>
      </c>
      <c r="G263">
        <v>4</v>
      </c>
    </row>
    <row r="264" spans="1:7" x14ac:dyDescent="0.35">
      <c r="A264">
        <v>2019</v>
      </c>
      <c r="B264" t="s">
        <v>30</v>
      </c>
      <c r="C264" t="s">
        <v>102</v>
      </c>
      <c r="D264" t="s">
        <v>77</v>
      </c>
      <c r="E264" t="s">
        <v>91</v>
      </c>
      <c r="F264" t="s">
        <v>8</v>
      </c>
      <c r="G264">
        <v>6</v>
      </c>
    </row>
    <row r="265" spans="1:7" x14ac:dyDescent="0.35">
      <c r="A265">
        <v>2019</v>
      </c>
      <c r="B265" t="s">
        <v>30</v>
      </c>
      <c r="C265" t="s">
        <v>102</v>
      </c>
      <c r="D265" t="s">
        <v>77</v>
      </c>
      <c r="E265" t="s">
        <v>90</v>
      </c>
      <c r="F265" t="s">
        <v>8</v>
      </c>
      <c r="G265">
        <v>0</v>
      </c>
    </row>
    <row r="266" spans="1:7" x14ac:dyDescent="0.35">
      <c r="A266">
        <v>2019</v>
      </c>
      <c r="B266" t="s">
        <v>31</v>
      </c>
      <c r="C266" t="s">
        <v>102</v>
      </c>
      <c r="D266" t="s">
        <v>77</v>
      </c>
      <c r="E266" t="s">
        <v>96</v>
      </c>
      <c r="F266" t="s">
        <v>8</v>
      </c>
      <c r="G266">
        <v>5</v>
      </c>
    </row>
    <row r="267" spans="1:7" x14ac:dyDescent="0.35">
      <c r="A267">
        <v>2019</v>
      </c>
      <c r="B267" t="s">
        <v>31</v>
      </c>
      <c r="C267" t="s">
        <v>102</v>
      </c>
      <c r="D267" t="s">
        <v>77</v>
      </c>
      <c r="E267" t="s">
        <v>89</v>
      </c>
      <c r="F267" t="s">
        <v>8</v>
      </c>
      <c r="G267">
        <v>7</v>
      </c>
    </row>
    <row r="268" spans="1:7" x14ac:dyDescent="0.35">
      <c r="A268">
        <v>2019</v>
      </c>
      <c r="B268" t="s">
        <v>31</v>
      </c>
      <c r="C268" t="s">
        <v>102</v>
      </c>
      <c r="D268" t="s">
        <v>77</v>
      </c>
      <c r="E268" t="s">
        <v>91</v>
      </c>
      <c r="F268" t="s">
        <v>8</v>
      </c>
      <c r="G268">
        <v>13</v>
      </c>
    </row>
    <row r="269" spans="1:7" x14ac:dyDescent="0.35">
      <c r="A269">
        <v>2019</v>
      </c>
      <c r="B269" t="s">
        <v>31</v>
      </c>
      <c r="C269" t="s">
        <v>102</v>
      </c>
      <c r="D269" t="s">
        <v>77</v>
      </c>
      <c r="E269" t="s">
        <v>90</v>
      </c>
      <c r="F269" t="s">
        <v>8</v>
      </c>
      <c r="G269">
        <v>4</v>
      </c>
    </row>
    <row r="270" spans="1:7" x14ac:dyDescent="0.35">
      <c r="A270">
        <v>2019</v>
      </c>
      <c r="B270" t="s">
        <v>32</v>
      </c>
      <c r="C270" t="s">
        <v>102</v>
      </c>
      <c r="D270" t="s">
        <v>77</v>
      </c>
      <c r="E270" t="s">
        <v>96</v>
      </c>
      <c r="F270" t="s">
        <v>8</v>
      </c>
      <c r="G270">
        <v>0</v>
      </c>
    </row>
    <row r="271" spans="1:7" x14ac:dyDescent="0.35">
      <c r="A271">
        <v>2019</v>
      </c>
      <c r="B271" t="s">
        <v>32</v>
      </c>
      <c r="C271" t="s">
        <v>102</v>
      </c>
      <c r="D271" t="s">
        <v>77</v>
      </c>
      <c r="E271" t="s">
        <v>89</v>
      </c>
      <c r="F271" t="s">
        <v>8</v>
      </c>
      <c r="G271">
        <v>0</v>
      </c>
    </row>
    <row r="272" spans="1:7" x14ac:dyDescent="0.35">
      <c r="A272">
        <v>2019</v>
      </c>
      <c r="B272" t="s">
        <v>32</v>
      </c>
      <c r="C272" t="s">
        <v>102</v>
      </c>
      <c r="D272" t="s">
        <v>77</v>
      </c>
      <c r="E272" t="s">
        <v>91</v>
      </c>
      <c r="F272" t="s">
        <v>8</v>
      </c>
      <c r="G272">
        <v>0</v>
      </c>
    </row>
    <row r="273" spans="1:7" x14ac:dyDescent="0.35">
      <c r="A273">
        <v>2019</v>
      </c>
      <c r="B273" t="s">
        <v>32</v>
      </c>
      <c r="C273" t="s">
        <v>102</v>
      </c>
      <c r="D273" t="s">
        <v>77</v>
      </c>
      <c r="E273" t="s">
        <v>90</v>
      </c>
      <c r="F273" t="s">
        <v>8</v>
      </c>
      <c r="G273">
        <v>0</v>
      </c>
    </row>
    <row r="274" spans="1:7" x14ac:dyDescent="0.35">
      <c r="A274">
        <v>2019</v>
      </c>
      <c r="B274" t="s">
        <v>50</v>
      </c>
      <c r="C274" t="s">
        <v>102</v>
      </c>
      <c r="D274" t="s">
        <v>77</v>
      </c>
      <c r="E274" t="s">
        <v>96</v>
      </c>
      <c r="F274" t="s">
        <v>8</v>
      </c>
      <c r="G274">
        <v>0</v>
      </c>
    </row>
    <row r="275" spans="1:7" x14ac:dyDescent="0.35">
      <c r="A275">
        <v>2019</v>
      </c>
      <c r="B275" t="s">
        <v>50</v>
      </c>
      <c r="C275" t="s">
        <v>102</v>
      </c>
      <c r="D275" t="s">
        <v>77</v>
      </c>
      <c r="E275" t="s">
        <v>89</v>
      </c>
      <c r="F275" t="s">
        <v>8</v>
      </c>
      <c r="G275">
        <v>0</v>
      </c>
    </row>
    <row r="276" spans="1:7" x14ac:dyDescent="0.35">
      <c r="A276">
        <v>2019</v>
      </c>
      <c r="B276" t="s">
        <v>50</v>
      </c>
      <c r="C276" t="s">
        <v>102</v>
      </c>
      <c r="D276" t="s">
        <v>77</v>
      </c>
      <c r="E276" t="s">
        <v>91</v>
      </c>
      <c r="F276" t="s">
        <v>8</v>
      </c>
      <c r="G276">
        <v>1</v>
      </c>
    </row>
    <row r="277" spans="1:7" x14ac:dyDescent="0.35">
      <c r="A277">
        <v>2019</v>
      </c>
      <c r="B277" t="s">
        <v>50</v>
      </c>
      <c r="C277" t="s">
        <v>102</v>
      </c>
      <c r="D277" t="s">
        <v>77</v>
      </c>
      <c r="E277" t="s">
        <v>90</v>
      </c>
      <c r="F277" t="s">
        <v>8</v>
      </c>
      <c r="G277">
        <v>0</v>
      </c>
    </row>
    <row r="278" spans="1:7" x14ac:dyDescent="0.35">
      <c r="A278">
        <v>2019</v>
      </c>
      <c r="B278" t="s">
        <v>33</v>
      </c>
      <c r="C278" t="s">
        <v>102</v>
      </c>
      <c r="D278" t="s">
        <v>77</v>
      </c>
      <c r="E278" t="s">
        <v>96</v>
      </c>
      <c r="F278" t="s">
        <v>8</v>
      </c>
      <c r="G278">
        <v>9</v>
      </c>
    </row>
    <row r="279" spans="1:7" x14ac:dyDescent="0.35">
      <c r="A279">
        <v>2019</v>
      </c>
      <c r="B279" t="s">
        <v>33</v>
      </c>
      <c r="C279" t="s">
        <v>102</v>
      </c>
      <c r="D279" t="s">
        <v>77</v>
      </c>
      <c r="E279" t="s">
        <v>89</v>
      </c>
      <c r="F279" t="s">
        <v>8</v>
      </c>
      <c r="G279">
        <v>2</v>
      </c>
    </row>
    <row r="280" spans="1:7" x14ac:dyDescent="0.35">
      <c r="A280">
        <v>2019</v>
      </c>
      <c r="B280" t="s">
        <v>33</v>
      </c>
      <c r="C280" t="s">
        <v>102</v>
      </c>
      <c r="D280" t="s">
        <v>77</v>
      </c>
      <c r="E280" t="s">
        <v>91</v>
      </c>
      <c r="F280" t="s">
        <v>8</v>
      </c>
      <c r="G280">
        <v>18</v>
      </c>
    </row>
    <row r="281" spans="1:7" x14ac:dyDescent="0.35">
      <c r="A281">
        <v>2019</v>
      </c>
      <c r="B281" t="s">
        <v>33</v>
      </c>
      <c r="C281" t="s">
        <v>102</v>
      </c>
      <c r="D281" t="s">
        <v>77</v>
      </c>
      <c r="E281" t="s">
        <v>90</v>
      </c>
      <c r="F281" t="s">
        <v>8</v>
      </c>
      <c r="G281">
        <v>1</v>
      </c>
    </row>
    <row r="282" spans="1:7" x14ac:dyDescent="0.35">
      <c r="A282">
        <v>2019</v>
      </c>
      <c r="B282" t="s">
        <v>34</v>
      </c>
      <c r="C282" t="s">
        <v>102</v>
      </c>
      <c r="D282" t="s">
        <v>77</v>
      </c>
      <c r="E282" t="s">
        <v>96</v>
      </c>
      <c r="F282" t="s">
        <v>8</v>
      </c>
      <c r="G282">
        <v>8</v>
      </c>
    </row>
    <row r="283" spans="1:7" x14ac:dyDescent="0.35">
      <c r="A283">
        <v>2019</v>
      </c>
      <c r="B283" t="s">
        <v>34</v>
      </c>
      <c r="C283" t="s">
        <v>102</v>
      </c>
      <c r="D283" t="s">
        <v>77</v>
      </c>
      <c r="E283" t="s">
        <v>89</v>
      </c>
      <c r="F283" t="s">
        <v>8</v>
      </c>
      <c r="G283">
        <v>10</v>
      </c>
    </row>
    <row r="284" spans="1:7" x14ac:dyDescent="0.35">
      <c r="A284">
        <v>2019</v>
      </c>
      <c r="B284" t="s">
        <v>34</v>
      </c>
      <c r="C284" t="s">
        <v>102</v>
      </c>
      <c r="D284" t="s">
        <v>77</v>
      </c>
      <c r="E284" t="s">
        <v>91</v>
      </c>
      <c r="F284" t="s">
        <v>8</v>
      </c>
      <c r="G284">
        <v>13</v>
      </c>
    </row>
    <row r="285" spans="1:7" x14ac:dyDescent="0.35">
      <c r="A285">
        <v>2019</v>
      </c>
      <c r="B285" t="s">
        <v>34</v>
      </c>
      <c r="C285" t="s">
        <v>102</v>
      </c>
      <c r="D285" t="s">
        <v>77</v>
      </c>
      <c r="E285" t="s">
        <v>90</v>
      </c>
      <c r="F285" t="s">
        <v>8</v>
      </c>
      <c r="G285">
        <v>0</v>
      </c>
    </row>
    <row r="286" spans="1:7" x14ac:dyDescent="0.35">
      <c r="A286">
        <v>2019</v>
      </c>
      <c r="B286" t="s">
        <v>35</v>
      </c>
      <c r="C286" t="s">
        <v>102</v>
      </c>
      <c r="D286" t="s">
        <v>77</v>
      </c>
      <c r="E286" t="s">
        <v>96</v>
      </c>
      <c r="F286" t="s">
        <v>8</v>
      </c>
      <c r="G286">
        <v>1</v>
      </c>
    </row>
    <row r="287" spans="1:7" x14ac:dyDescent="0.35">
      <c r="A287">
        <v>2019</v>
      </c>
      <c r="B287" t="s">
        <v>35</v>
      </c>
      <c r="C287" t="s">
        <v>102</v>
      </c>
      <c r="D287" t="s">
        <v>77</v>
      </c>
      <c r="E287" t="s">
        <v>89</v>
      </c>
      <c r="F287" t="s">
        <v>8</v>
      </c>
      <c r="G287">
        <v>0</v>
      </c>
    </row>
    <row r="288" spans="1:7" x14ac:dyDescent="0.35">
      <c r="A288">
        <v>2019</v>
      </c>
      <c r="B288" t="s">
        <v>35</v>
      </c>
      <c r="C288" t="s">
        <v>102</v>
      </c>
      <c r="D288" t="s">
        <v>77</v>
      </c>
      <c r="E288" t="s">
        <v>91</v>
      </c>
      <c r="F288" t="s">
        <v>8</v>
      </c>
      <c r="G288">
        <v>7</v>
      </c>
    </row>
    <row r="289" spans="1:7" x14ac:dyDescent="0.35">
      <c r="A289">
        <v>2019</v>
      </c>
      <c r="B289" t="s">
        <v>35</v>
      </c>
      <c r="C289" t="s">
        <v>102</v>
      </c>
      <c r="D289" t="s">
        <v>77</v>
      </c>
      <c r="E289" t="s">
        <v>90</v>
      </c>
      <c r="F289" t="s">
        <v>8</v>
      </c>
      <c r="G289">
        <v>0</v>
      </c>
    </row>
    <row r="290" spans="1:7" x14ac:dyDescent="0.35">
      <c r="A290">
        <v>2019</v>
      </c>
      <c r="B290" t="s">
        <v>36</v>
      </c>
      <c r="C290" t="s">
        <v>102</v>
      </c>
      <c r="D290" t="s">
        <v>77</v>
      </c>
      <c r="E290" t="s">
        <v>96</v>
      </c>
      <c r="F290" t="s">
        <v>8</v>
      </c>
      <c r="G290">
        <v>5</v>
      </c>
    </row>
    <row r="291" spans="1:7" x14ac:dyDescent="0.35">
      <c r="A291">
        <v>2019</v>
      </c>
      <c r="B291" t="s">
        <v>36</v>
      </c>
      <c r="C291" t="s">
        <v>102</v>
      </c>
      <c r="D291" t="s">
        <v>77</v>
      </c>
      <c r="E291" t="s">
        <v>89</v>
      </c>
      <c r="F291" t="s">
        <v>8</v>
      </c>
      <c r="G291">
        <v>0</v>
      </c>
    </row>
    <row r="292" spans="1:7" x14ac:dyDescent="0.35">
      <c r="A292">
        <v>2019</v>
      </c>
      <c r="B292" t="s">
        <v>36</v>
      </c>
      <c r="C292" t="s">
        <v>102</v>
      </c>
      <c r="D292" t="s">
        <v>77</v>
      </c>
      <c r="E292" t="s">
        <v>91</v>
      </c>
      <c r="F292" t="s">
        <v>8</v>
      </c>
      <c r="G292">
        <v>7</v>
      </c>
    </row>
    <row r="293" spans="1:7" x14ac:dyDescent="0.35">
      <c r="A293">
        <v>2019</v>
      </c>
      <c r="B293" t="s">
        <v>36</v>
      </c>
      <c r="C293" t="s">
        <v>102</v>
      </c>
      <c r="D293" t="s">
        <v>77</v>
      </c>
      <c r="E293" t="s">
        <v>90</v>
      </c>
      <c r="F293" t="s">
        <v>8</v>
      </c>
      <c r="G293">
        <v>3</v>
      </c>
    </row>
    <row r="294" spans="1:7" x14ac:dyDescent="0.35">
      <c r="A294">
        <v>2019</v>
      </c>
      <c r="B294" t="s">
        <v>53</v>
      </c>
      <c r="C294" t="s">
        <v>102</v>
      </c>
      <c r="D294" t="s">
        <v>77</v>
      </c>
      <c r="E294" t="s">
        <v>96</v>
      </c>
      <c r="F294" t="s">
        <v>8</v>
      </c>
      <c r="G294">
        <v>4</v>
      </c>
    </row>
    <row r="295" spans="1:7" x14ac:dyDescent="0.35">
      <c r="A295">
        <v>2019</v>
      </c>
      <c r="B295" t="s">
        <v>53</v>
      </c>
      <c r="C295" t="s">
        <v>102</v>
      </c>
      <c r="D295" t="s">
        <v>77</v>
      </c>
      <c r="E295" t="s">
        <v>89</v>
      </c>
      <c r="F295" t="s">
        <v>8</v>
      </c>
      <c r="G295">
        <v>8</v>
      </c>
    </row>
    <row r="296" spans="1:7" x14ac:dyDescent="0.35">
      <c r="A296">
        <v>2019</v>
      </c>
      <c r="B296" t="s">
        <v>53</v>
      </c>
      <c r="C296" t="s">
        <v>102</v>
      </c>
      <c r="D296" t="s">
        <v>77</v>
      </c>
      <c r="E296" t="s">
        <v>91</v>
      </c>
      <c r="F296" t="s">
        <v>8</v>
      </c>
      <c r="G296">
        <v>23</v>
      </c>
    </row>
    <row r="297" spans="1:7" x14ac:dyDescent="0.35">
      <c r="A297">
        <v>2019</v>
      </c>
      <c r="B297" t="s">
        <v>53</v>
      </c>
      <c r="C297" t="s">
        <v>102</v>
      </c>
      <c r="D297" t="s">
        <v>77</v>
      </c>
      <c r="E297" t="s">
        <v>90</v>
      </c>
      <c r="F297" t="s">
        <v>8</v>
      </c>
      <c r="G297">
        <v>6</v>
      </c>
    </row>
    <row r="298" spans="1:7" x14ac:dyDescent="0.35">
      <c r="A298">
        <v>2019</v>
      </c>
      <c r="B298" t="s">
        <v>37</v>
      </c>
      <c r="C298" t="s">
        <v>102</v>
      </c>
      <c r="D298" t="s">
        <v>77</v>
      </c>
      <c r="E298" t="s">
        <v>96</v>
      </c>
      <c r="F298" t="s">
        <v>8</v>
      </c>
      <c r="G298">
        <v>2</v>
      </c>
    </row>
    <row r="299" spans="1:7" x14ac:dyDescent="0.35">
      <c r="A299">
        <v>2019</v>
      </c>
      <c r="B299" t="s">
        <v>37</v>
      </c>
      <c r="C299" t="s">
        <v>102</v>
      </c>
      <c r="D299" t="s">
        <v>77</v>
      </c>
      <c r="E299" t="s">
        <v>89</v>
      </c>
      <c r="F299" t="s">
        <v>8</v>
      </c>
      <c r="G299">
        <v>5</v>
      </c>
    </row>
    <row r="300" spans="1:7" x14ac:dyDescent="0.35">
      <c r="A300">
        <v>2019</v>
      </c>
      <c r="B300" t="s">
        <v>37</v>
      </c>
      <c r="C300" t="s">
        <v>102</v>
      </c>
      <c r="D300" t="s">
        <v>77</v>
      </c>
      <c r="E300" t="s">
        <v>91</v>
      </c>
      <c r="F300" t="s">
        <v>8</v>
      </c>
      <c r="G300">
        <v>4</v>
      </c>
    </row>
    <row r="301" spans="1:7" x14ac:dyDescent="0.35">
      <c r="A301">
        <v>2019</v>
      </c>
      <c r="B301" t="s">
        <v>37</v>
      </c>
      <c r="C301" t="s">
        <v>102</v>
      </c>
      <c r="D301" t="s">
        <v>77</v>
      </c>
      <c r="E301" t="s">
        <v>90</v>
      </c>
      <c r="F301" t="s">
        <v>8</v>
      </c>
      <c r="G301">
        <v>0</v>
      </c>
    </row>
    <row r="302" spans="1:7" x14ac:dyDescent="0.35">
      <c r="A302">
        <v>2019</v>
      </c>
      <c r="B302" t="s">
        <v>39</v>
      </c>
      <c r="C302" t="s">
        <v>102</v>
      </c>
      <c r="D302" t="s">
        <v>77</v>
      </c>
      <c r="E302" t="s">
        <v>96</v>
      </c>
      <c r="F302" t="s">
        <v>8</v>
      </c>
      <c r="G302">
        <v>3</v>
      </c>
    </row>
    <row r="303" spans="1:7" x14ac:dyDescent="0.35">
      <c r="A303">
        <v>2019</v>
      </c>
      <c r="B303" t="s">
        <v>39</v>
      </c>
      <c r="C303" t="s">
        <v>102</v>
      </c>
      <c r="D303" t="s">
        <v>77</v>
      </c>
      <c r="E303" t="s">
        <v>89</v>
      </c>
      <c r="F303" t="s">
        <v>8</v>
      </c>
      <c r="G303">
        <v>5</v>
      </c>
    </row>
    <row r="304" spans="1:7" x14ac:dyDescent="0.35">
      <c r="A304">
        <v>2019</v>
      </c>
      <c r="B304" t="s">
        <v>39</v>
      </c>
      <c r="C304" t="s">
        <v>102</v>
      </c>
      <c r="D304" t="s">
        <v>77</v>
      </c>
      <c r="E304" t="s">
        <v>91</v>
      </c>
      <c r="F304" t="s">
        <v>8</v>
      </c>
      <c r="G304">
        <v>6</v>
      </c>
    </row>
    <row r="305" spans="1:7" x14ac:dyDescent="0.35">
      <c r="A305">
        <v>2019</v>
      </c>
      <c r="B305" t="s">
        <v>39</v>
      </c>
      <c r="C305" t="s">
        <v>102</v>
      </c>
      <c r="D305" t="s">
        <v>77</v>
      </c>
      <c r="E305" t="s">
        <v>90</v>
      </c>
      <c r="F305" t="s">
        <v>8</v>
      </c>
      <c r="G305">
        <v>1</v>
      </c>
    </row>
    <row r="306" spans="1:7" x14ac:dyDescent="0.35">
      <c r="A306">
        <v>2019</v>
      </c>
      <c r="B306" t="s">
        <v>40</v>
      </c>
      <c r="C306" t="s">
        <v>102</v>
      </c>
      <c r="D306" t="s">
        <v>77</v>
      </c>
      <c r="E306" t="s">
        <v>96</v>
      </c>
      <c r="F306" t="s">
        <v>8</v>
      </c>
      <c r="G306">
        <v>8</v>
      </c>
    </row>
    <row r="307" spans="1:7" x14ac:dyDescent="0.35">
      <c r="A307">
        <v>2019</v>
      </c>
      <c r="B307" t="s">
        <v>40</v>
      </c>
      <c r="C307" t="s">
        <v>102</v>
      </c>
      <c r="D307" t="s">
        <v>77</v>
      </c>
      <c r="E307" t="s">
        <v>89</v>
      </c>
      <c r="F307" t="s">
        <v>8</v>
      </c>
      <c r="G307">
        <v>2</v>
      </c>
    </row>
    <row r="308" spans="1:7" x14ac:dyDescent="0.35">
      <c r="A308">
        <v>2019</v>
      </c>
      <c r="B308" t="s">
        <v>40</v>
      </c>
      <c r="C308" t="s">
        <v>102</v>
      </c>
      <c r="D308" t="s">
        <v>77</v>
      </c>
      <c r="E308" t="s">
        <v>91</v>
      </c>
      <c r="F308" t="s">
        <v>8</v>
      </c>
      <c r="G308">
        <v>5</v>
      </c>
    </row>
    <row r="309" spans="1:7" x14ac:dyDescent="0.35">
      <c r="A309">
        <v>2019</v>
      </c>
      <c r="B309" t="s">
        <v>40</v>
      </c>
      <c r="C309" t="s">
        <v>102</v>
      </c>
      <c r="D309" t="s">
        <v>77</v>
      </c>
      <c r="E309" t="s">
        <v>90</v>
      </c>
      <c r="F309" t="s">
        <v>8</v>
      </c>
      <c r="G309">
        <v>4</v>
      </c>
    </row>
    <row r="310" spans="1:7" x14ac:dyDescent="0.35">
      <c r="A310">
        <v>2019</v>
      </c>
      <c r="B310" t="s">
        <v>41</v>
      </c>
      <c r="C310" t="s">
        <v>102</v>
      </c>
      <c r="D310" t="s">
        <v>77</v>
      </c>
      <c r="E310" t="s">
        <v>96</v>
      </c>
      <c r="F310" t="s">
        <v>8</v>
      </c>
      <c r="G310">
        <v>3</v>
      </c>
    </row>
    <row r="311" spans="1:7" x14ac:dyDescent="0.35">
      <c r="A311">
        <v>2019</v>
      </c>
      <c r="B311" t="s">
        <v>41</v>
      </c>
      <c r="C311" t="s">
        <v>102</v>
      </c>
      <c r="D311" t="s">
        <v>77</v>
      </c>
      <c r="E311" t="s">
        <v>89</v>
      </c>
      <c r="F311" t="s">
        <v>8</v>
      </c>
      <c r="G311">
        <v>1</v>
      </c>
    </row>
    <row r="312" spans="1:7" x14ac:dyDescent="0.35">
      <c r="A312">
        <v>2019</v>
      </c>
      <c r="B312" t="s">
        <v>41</v>
      </c>
      <c r="C312" t="s">
        <v>102</v>
      </c>
      <c r="D312" t="s">
        <v>77</v>
      </c>
      <c r="E312" t="s">
        <v>91</v>
      </c>
      <c r="F312" t="s">
        <v>8</v>
      </c>
      <c r="G312">
        <v>0</v>
      </c>
    </row>
    <row r="313" spans="1:7" x14ac:dyDescent="0.35">
      <c r="A313">
        <v>2019</v>
      </c>
      <c r="B313" t="s">
        <v>41</v>
      </c>
      <c r="C313" t="s">
        <v>102</v>
      </c>
      <c r="D313" t="s">
        <v>77</v>
      </c>
      <c r="E313" t="s">
        <v>90</v>
      </c>
      <c r="F313" t="s">
        <v>8</v>
      </c>
      <c r="G313">
        <v>0</v>
      </c>
    </row>
    <row r="314" spans="1:7" x14ac:dyDescent="0.35">
      <c r="A314">
        <v>2019</v>
      </c>
      <c r="B314" t="s">
        <v>42</v>
      </c>
      <c r="C314" t="s">
        <v>102</v>
      </c>
      <c r="D314" t="s">
        <v>77</v>
      </c>
      <c r="E314" t="s">
        <v>96</v>
      </c>
      <c r="F314" t="s">
        <v>8</v>
      </c>
      <c r="G314">
        <v>1</v>
      </c>
    </row>
    <row r="315" spans="1:7" x14ac:dyDescent="0.35">
      <c r="A315">
        <v>2019</v>
      </c>
      <c r="B315" t="s">
        <v>42</v>
      </c>
      <c r="C315" t="s">
        <v>102</v>
      </c>
      <c r="D315" t="s">
        <v>77</v>
      </c>
      <c r="E315" t="s">
        <v>89</v>
      </c>
      <c r="F315" t="s">
        <v>8</v>
      </c>
      <c r="G315">
        <v>9</v>
      </c>
    </row>
    <row r="316" spans="1:7" x14ac:dyDescent="0.35">
      <c r="A316">
        <v>2019</v>
      </c>
      <c r="B316" t="s">
        <v>42</v>
      </c>
      <c r="C316" t="s">
        <v>102</v>
      </c>
      <c r="D316" t="s">
        <v>77</v>
      </c>
      <c r="E316" t="s">
        <v>91</v>
      </c>
      <c r="F316" t="s">
        <v>8</v>
      </c>
      <c r="G316">
        <v>6</v>
      </c>
    </row>
    <row r="317" spans="1:7" x14ac:dyDescent="0.35">
      <c r="A317">
        <v>2019</v>
      </c>
      <c r="B317" t="s">
        <v>42</v>
      </c>
      <c r="C317" t="s">
        <v>102</v>
      </c>
      <c r="D317" t="s">
        <v>77</v>
      </c>
      <c r="E317" t="s">
        <v>90</v>
      </c>
      <c r="F317" t="s">
        <v>8</v>
      </c>
      <c r="G317">
        <v>0</v>
      </c>
    </row>
    <row r="318" spans="1:7" x14ac:dyDescent="0.35">
      <c r="A318">
        <v>2019</v>
      </c>
      <c r="B318" t="s">
        <v>43</v>
      </c>
      <c r="C318" t="s">
        <v>102</v>
      </c>
      <c r="D318" t="s">
        <v>77</v>
      </c>
      <c r="E318" t="s">
        <v>96</v>
      </c>
      <c r="F318" t="s">
        <v>8</v>
      </c>
      <c r="G318">
        <v>12</v>
      </c>
    </row>
    <row r="319" spans="1:7" x14ac:dyDescent="0.35">
      <c r="A319">
        <v>2019</v>
      </c>
      <c r="B319" t="s">
        <v>43</v>
      </c>
      <c r="C319" t="s">
        <v>102</v>
      </c>
      <c r="D319" t="s">
        <v>77</v>
      </c>
      <c r="E319" t="s">
        <v>89</v>
      </c>
      <c r="F319" t="s">
        <v>8</v>
      </c>
      <c r="G319">
        <v>2</v>
      </c>
    </row>
    <row r="320" spans="1:7" x14ac:dyDescent="0.35">
      <c r="A320">
        <v>2019</v>
      </c>
      <c r="B320" t="s">
        <v>43</v>
      </c>
      <c r="C320" t="s">
        <v>102</v>
      </c>
      <c r="D320" t="s">
        <v>77</v>
      </c>
      <c r="E320" t="s">
        <v>91</v>
      </c>
      <c r="F320" t="s">
        <v>8</v>
      </c>
      <c r="G320">
        <v>7</v>
      </c>
    </row>
    <row r="321" spans="1:7" x14ac:dyDescent="0.35">
      <c r="A321">
        <v>2019</v>
      </c>
      <c r="B321" t="s">
        <v>43</v>
      </c>
      <c r="C321" t="s">
        <v>102</v>
      </c>
      <c r="D321" t="s">
        <v>77</v>
      </c>
      <c r="E321" t="s">
        <v>90</v>
      </c>
      <c r="F321" t="s">
        <v>8</v>
      </c>
      <c r="G321">
        <v>0</v>
      </c>
    </row>
    <row r="322" spans="1:7" x14ac:dyDescent="0.35">
      <c r="A322">
        <v>2019</v>
      </c>
      <c r="B322" t="s">
        <v>44</v>
      </c>
      <c r="C322" t="s">
        <v>102</v>
      </c>
      <c r="D322" t="s">
        <v>77</v>
      </c>
      <c r="E322" t="s">
        <v>96</v>
      </c>
      <c r="F322" t="s">
        <v>8</v>
      </c>
      <c r="G322">
        <v>5</v>
      </c>
    </row>
    <row r="323" spans="1:7" x14ac:dyDescent="0.35">
      <c r="A323">
        <v>2019</v>
      </c>
      <c r="B323" t="s">
        <v>44</v>
      </c>
      <c r="C323" t="s">
        <v>102</v>
      </c>
      <c r="D323" t="s">
        <v>77</v>
      </c>
      <c r="E323" t="s">
        <v>89</v>
      </c>
      <c r="F323" t="s">
        <v>8</v>
      </c>
      <c r="G323">
        <v>0</v>
      </c>
    </row>
    <row r="324" spans="1:7" x14ac:dyDescent="0.35">
      <c r="A324">
        <v>2019</v>
      </c>
      <c r="B324" t="s">
        <v>44</v>
      </c>
      <c r="C324" t="s">
        <v>102</v>
      </c>
      <c r="D324" t="s">
        <v>77</v>
      </c>
      <c r="E324" t="s">
        <v>91</v>
      </c>
      <c r="F324" t="s">
        <v>8</v>
      </c>
      <c r="G324">
        <v>4</v>
      </c>
    </row>
    <row r="325" spans="1:7" x14ac:dyDescent="0.35">
      <c r="A325">
        <v>2019</v>
      </c>
      <c r="B325" t="s">
        <v>44</v>
      </c>
      <c r="C325" t="s">
        <v>102</v>
      </c>
      <c r="D325" t="s">
        <v>77</v>
      </c>
      <c r="E325" t="s">
        <v>90</v>
      </c>
      <c r="F325" t="s">
        <v>8</v>
      </c>
      <c r="G325">
        <v>2</v>
      </c>
    </row>
    <row r="326" spans="1:7" x14ac:dyDescent="0.35">
      <c r="A326">
        <v>2019</v>
      </c>
      <c r="B326" t="s">
        <v>54</v>
      </c>
      <c r="C326" t="s">
        <v>102</v>
      </c>
      <c r="D326" t="s">
        <v>77</v>
      </c>
      <c r="E326" t="s">
        <v>96</v>
      </c>
      <c r="F326" t="s">
        <v>8</v>
      </c>
      <c r="G326">
        <v>0</v>
      </c>
    </row>
    <row r="327" spans="1:7" x14ac:dyDescent="0.35">
      <c r="A327">
        <v>2019</v>
      </c>
      <c r="B327" t="s">
        <v>54</v>
      </c>
      <c r="C327" t="s">
        <v>102</v>
      </c>
      <c r="D327" t="s">
        <v>77</v>
      </c>
      <c r="E327" t="s">
        <v>89</v>
      </c>
      <c r="F327" t="s">
        <v>8</v>
      </c>
      <c r="G327">
        <v>3</v>
      </c>
    </row>
    <row r="328" spans="1:7" x14ac:dyDescent="0.35">
      <c r="A328">
        <v>2019</v>
      </c>
      <c r="B328" t="s">
        <v>54</v>
      </c>
      <c r="C328" t="s">
        <v>102</v>
      </c>
      <c r="D328" t="s">
        <v>77</v>
      </c>
      <c r="E328" t="s">
        <v>91</v>
      </c>
      <c r="F328" t="s">
        <v>8</v>
      </c>
      <c r="G328">
        <v>9</v>
      </c>
    </row>
    <row r="329" spans="1:7" x14ac:dyDescent="0.35">
      <c r="A329">
        <v>2019</v>
      </c>
      <c r="B329" t="s">
        <v>54</v>
      </c>
      <c r="C329" t="s">
        <v>102</v>
      </c>
      <c r="D329" t="s">
        <v>77</v>
      </c>
      <c r="E329" t="s">
        <v>90</v>
      </c>
      <c r="F329" t="s">
        <v>8</v>
      </c>
      <c r="G329">
        <v>0</v>
      </c>
    </row>
    <row r="330" spans="1:7" x14ac:dyDescent="0.35">
      <c r="A330">
        <v>2019</v>
      </c>
      <c r="B330" t="s">
        <v>45</v>
      </c>
      <c r="C330" t="s">
        <v>102</v>
      </c>
      <c r="D330" t="s">
        <v>77</v>
      </c>
      <c r="E330" t="s">
        <v>96</v>
      </c>
      <c r="F330" t="s">
        <v>8</v>
      </c>
      <c r="G330">
        <v>6</v>
      </c>
    </row>
    <row r="331" spans="1:7" x14ac:dyDescent="0.35">
      <c r="A331">
        <v>2019</v>
      </c>
      <c r="B331" t="s">
        <v>45</v>
      </c>
      <c r="C331" t="s">
        <v>102</v>
      </c>
      <c r="D331" t="s">
        <v>77</v>
      </c>
      <c r="E331" t="s">
        <v>89</v>
      </c>
      <c r="F331" t="s">
        <v>8</v>
      </c>
      <c r="G331">
        <v>2</v>
      </c>
    </row>
    <row r="332" spans="1:7" x14ac:dyDescent="0.35">
      <c r="A332">
        <v>2019</v>
      </c>
      <c r="B332" t="s">
        <v>45</v>
      </c>
      <c r="C332" t="s">
        <v>102</v>
      </c>
      <c r="D332" t="s">
        <v>77</v>
      </c>
      <c r="E332" t="s">
        <v>91</v>
      </c>
      <c r="F332" t="s">
        <v>8</v>
      </c>
      <c r="G332">
        <v>14</v>
      </c>
    </row>
    <row r="333" spans="1:7" x14ac:dyDescent="0.35">
      <c r="A333">
        <v>2019</v>
      </c>
      <c r="B333" t="s">
        <v>45</v>
      </c>
      <c r="C333" t="s">
        <v>102</v>
      </c>
      <c r="D333" t="s">
        <v>77</v>
      </c>
      <c r="E333" t="s">
        <v>90</v>
      </c>
      <c r="F333" t="s">
        <v>8</v>
      </c>
      <c r="G333">
        <v>0</v>
      </c>
    </row>
    <row r="334" spans="1:7" x14ac:dyDescent="0.35">
      <c r="A334">
        <v>2019</v>
      </c>
      <c r="B334" t="s">
        <v>46</v>
      </c>
      <c r="C334" t="s">
        <v>102</v>
      </c>
      <c r="D334" t="s">
        <v>77</v>
      </c>
      <c r="E334" t="s">
        <v>96</v>
      </c>
      <c r="F334" t="s">
        <v>8</v>
      </c>
      <c r="G334">
        <v>10</v>
      </c>
    </row>
    <row r="335" spans="1:7" x14ac:dyDescent="0.35">
      <c r="A335">
        <v>2019</v>
      </c>
      <c r="B335" t="s">
        <v>46</v>
      </c>
      <c r="C335" t="s">
        <v>102</v>
      </c>
      <c r="D335" t="s">
        <v>77</v>
      </c>
      <c r="E335" t="s">
        <v>89</v>
      </c>
      <c r="F335" t="s">
        <v>8</v>
      </c>
      <c r="G335">
        <v>1</v>
      </c>
    </row>
    <row r="336" spans="1:7" x14ac:dyDescent="0.35">
      <c r="A336">
        <v>2019</v>
      </c>
      <c r="B336" t="s">
        <v>46</v>
      </c>
      <c r="C336" t="s">
        <v>102</v>
      </c>
      <c r="D336" t="s">
        <v>77</v>
      </c>
      <c r="E336" t="s">
        <v>91</v>
      </c>
      <c r="F336" t="s">
        <v>8</v>
      </c>
      <c r="G336">
        <v>1</v>
      </c>
    </row>
    <row r="337" spans="1:7" x14ac:dyDescent="0.35">
      <c r="A337">
        <v>2019</v>
      </c>
      <c r="B337" t="s">
        <v>46</v>
      </c>
      <c r="C337" t="s">
        <v>102</v>
      </c>
      <c r="D337" t="s">
        <v>77</v>
      </c>
      <c r="E337" t="s">
        <v>90</v>
      </c>
      <c r="F337" t="s">
        <v>8</v>
      </c>
      <c r="G337">
        <v>0</v>
      </c>
    </row>
    <row r="338" spans="1:7" x14ac:dyDescent="0.35">
      <c r="A338">
        <v>2019</v>
      </c>
      <c r="B338" t="s">
        <v>47</v>
      </c>
      <c r="C338" t="s">
        <v>102</v>
      </c>
      <c r="D338" t="s">
        <v>77</v>
      </c>
      <c r="E338" t="s">
        <v>96</v>
      </c>
      <c r="F338" t="s">
        <v>8</v>
      </c>
      <c r="G338">
        <v>0</v>
      </c>
    </row>
    <row r="339" spans="1:7" x14ac:dyDescent="0.35">
      <c r="A339">
        <v>2019</v>
      </c>
      <c r="B339" t="s">
        <v>47</v>
      </c>
      <c r="C339" t="s">
        <v>102</v>
      </c>
      <c r="D339" t="s">
        <v>77</v>
      </c>
      <c r="E339" t="s">
        <v>89</v>
      </c>
      <c r="F339" t="s">
        <v>8</v>
      </c>
      <c r="G339">
        <v>2</v>
      </c>
    </row>
    <row r="340" spans="1:7" x14ac:dyDescent="0.35">
      <c r="A340">
        <v>2019</v>
      </c>
      <c r="B340" t="s">
        <v>47</v>
      </c>
      <c r="C340" t="s">
        <v>102</v>
      </c>
      <c r="D340" t="s">
        <v>77</v>
      </c>
      <c r="E340" t="s">
        <v>91</v>
      </c>
      <c r="F340" t="s">
        <v>8</v>
      </c>
      <c r="G340">
        <v>1</v>
      </c>
    </row>
    <row r="341" spans="1:7" x14ac:dyDescent="0.35">
      <c r="A341">
        <v>2019</v>
      </c>
      <c r="B341" t="s">
        <v>47</v>
      </c>
      <c r="C341" t="s">
        <v>102</v>
      </c>
      <c r="D341" t="s">
        <v>77</v>
      </c>
      <c r="E341" t="s">
        <v>90</v>
      </c>
      <c r="F341" t="s">
        <v>8</v>
      </c>
      <c r="G341">
        <v>1</v>
      </c>
    </row>
    <row r="342" spans="1:7" x14ac:dyDescent="0.35">
      <c r="A342">
        <v>2019</v>
      </c>
      <c r="B342" t="s">
        <v>55</v>
      </c>
      <c r="C342" t="s">
        <v>102</v>
      </c>
      <c r="D342" t="s">
        <v>77</v>
      </c>
      <c r="E342" t="s">
        <v>96</v>
      </c>
      <c r="F342" t="s">
        <v>8</v>
      </c>
      <c r="G342">
        <v>0</v>
      </c>
    </row>
    <row r="343" spans="1:7" x14ac:dyDescent="0.35">
      <c r="A343">
        <v>2019</v>
      </c>
      <c r="B343" t="s">
        <v>55</v>
      </c>
      <c r="C343" t="s">
        <v>102</v>
      </c>
      <c r="D343" t="s">
        <v>77</v>
      </c>
      <c r="E343" t="s">
        <v>89</v>
      </c>
      <c r="F343" t="s">
        <v>8</v>
      </c>
      <c r="G343">
        <v>4</v>
      </c>
    </row>
    <row r="344" spans="1:7" x14ac:dyDescent="0.35">
      <c r="A344">
        <v>2019</v>
      </c>
      <c r="B344" t="s">
        <v>55</v>
      </c>
      <c r="C344" t="s">
        <v>102</v>
      </c>
      <c r="D344" t="s">
        <v>77</v>
      </c>
      <c r="E344" t="s">
        <v>91</v>
      </c>
      <c r="F344" t="s">
        <v>8</v>
      </c>
      <c r="G344">
        <v>21</v>
      </c>
    </row>
    <row r="345" spans="1:7" x14ac:dyDescent="0.35">
      <c r="A345">
        <v>2019</v>
      </c>
      <c r="B345" t="s">
        <v>55</v>
      </c>
      <c r="C345" t="s">
        <v>102</v>
      </c>
      <c r="D345" t="s">
        <v>77</v>
      </c>
      <c r="E345" t="s">
        <v>90</v>
      </c>
      <c r="F345" t="s">
        <v>8</v>
      </c>
      <c r="G345">
        <v>4</v>
      </c>
    </row>
    <row r="346" spans="1:7" x14ac:dyDescent="0.35">
      <c r="A346">
        <v>2019</v>
      </c>
      <c r="B346" t="s">
        <v>48</v>
      </c>
      <c r="C346" t="s">
        <v>102</v>
      </c>
      <c r="D346" t="s">
        <v>77</v>
      </c>
      <c r="E346" t="s">
        <v>96</v>
      </c>
      <c r="F346" t="s">
        <v>8</v>
      </c>
      <c r="G346">
        <v>3</v>
      </c>
    </row>
    <row r="347" spans="1:7" x14ac:dyDescent="0.35">
      <c r="A347">
        <v>2019</v>
      </c>
      <c r="B347" t="s">
        <v>48</v>
      </c>
      <c r="C347" t="s">
        <v>102</v>
      </c>
      <c r="D347" t="s">
        <v>77</v>
      </c>
      <c r="E347" t="s">
        <v>89</v>
      </c>
      <c r="F347" t="s">
        <v>8</v>
      </c>
      <c r="G347">
        <v>0</v>
      </c>
    </row>
    <row r="348" spans="1:7" x14ac:dyDescent="0.35">
      <c r="A348">
        <v>2019</v>
      </c>
      <c r="B348" t="s">
        <v>48</v>
      </c>
      <c r="C348" t="s">
        <v>102</v>
      </c>
      <c r="D348" t="s">
        <v>77</v>
      </c>
      <c r="E348" t="s">
        <v>91</v>
      </c>
      <c r="F348" t="s">
        <v>8</v>
      </c>
      <c r="G348">
        <v>9</v>
      </c>
    </row>
    <row r="349" spans="1:7" x14ac:dyDescent="0.35">
      <c r="A349">
        <v>2019</v>
      </c>
      <c r="B349" t="s">
        <v>48</v>
      </c>
      <c r="C349" t="s">
        <v>102</v>
      </c>
      <c r="D349" t="s">
        <v>77</v>
      </c>
      <c r="E349" t="s">
        <v>90</v>
      </c>
      <c r="F349" t="s">
        <v>8</v>
      </c>
      <c r="G349">
        <v>1</v>
      </c>
    </row>
    <row r="350" spans="1:7" x14ac:dyDescent="0.35">
      <c r="A350">
        <v>2019</v>
      </c>
      <c r="B350" t="s">
        <v>56</v>
      </c>
      <c r="C350" t="s">
        <v>102</v>
      </c>
      <c r="D350" t="s">
        <v>77</v>
      </c>
      <c r="E350" t="s">
        <v>96</v>
      </c>
      <c r="F350" t="s">
        <v>8</v>
      </c>
      <c r="G350">
        <v>0</v>
      </c>
    </row>
    <row r="351" spans="1:7" x14ac:dyDescent="0.35">
      <c r="A351">
        <v>2019</v>
      </c>
      <c r="B351" t="s">
        <v>56</v>
      </c>
      <c r="C351" t="s">
        <v>102</v>
      </c>
      <c r="D351" t="s">
        <v>77</v>
      </c>
      <c r="E351" t="s">
        <v>89</v>
      </c>
      <c r="F351" t="s">
        <v>8</v>
      </c>
      <c r="G351">
        <v>38</v>
      </c>
    </row>
    <row r="352" spans="1:7" x14ac:dyDescent="0.35">
      <c r="A352">
        <v>2019</v>
      </c>
      <c r="B352" t="s">
        <v>56</v>
      </c>
      <c r="C352" t="s">
        <v>102</v>
      </c>
      <c r="D352" t="s">
        <v>77</v>
      </c>
      <c r="E352" t="s">
        <v>91</v>
      </c>
      <c r="F352" t="s">
        <v>8</v>
      </c>
      <c r="G352">
        <v>11</v>
      </c>
    </row>
    <row r="353" spans="1:7" x14ac:dyDescent="0.35">
      <c r="A353">
        <v>2019</v>
      </c>
      <c r="B353" t="s">
        <v>56</v>
      </c>
      <c r="C353" t="s">
        <v>102</v>
      </c>
      <c r="D353" t="s">
        <v>77</v>
      </c>
      <c r="E353" t="s">
        <v>90</v>
      </c>
      <c r="F353" t="s">
        <v>8</v>
      </c>
      <c r="G353">
        <v>0</v>
      </c>
    </row>
    <row r="354" spans="1:7" x14ac:dyDescent="0.35">
      <c r="A354">
        <v>2019</v>
      </c>
      <c r="B354" t="s">
        <v>49</v>
      </c>
      <c r="C354" t="s">
        <v>102</v>
      </c>
      <c r="D354" t="s">
        <v>77</v>
      </c>
      <c r="E354" t="s">
        <v>96</v>
      </c>
      <c r="F354" t="s">
        <v>8</v>
      </c>
      <c r="G354">
        <v>4</v>
      </c>
    </row>
    <row r="355" spans="1:7" x14ac:dyDescent="0.35">
      <c r="A355">
        <v>2019</v>
      </c>
      <c r="B355" t="s">
        <v>49</v>
      </c>
      <c r="C355" t="s">
        <v>102</v>
      </c>
      <c r="D355" t="s">
        <v>77</v>
      </c>
      <c r="E355" t="s">
        <v>89</v>
      </c>
      <c r="F355" t="s">
        <v>8</v>
      </c>
      <c r="G355">
        <v>4</v>
      </c>
    </row>
    <row r="356" spans="1:7" x14ac:dyDescent="0.35">
      <c r="A356">
        <v>2019</v>
      </c>
      <c r="B356" t="s">
        <v>49</v>
      </c>
      <c r="C356" t="s">
        <v>102</v>
      </c>
      <c r="D356" t="s">
        <v>77</v>
      </c>
      <c r="E356" t="s">
        <v>91</v>
      </c>
      <c r="F356" t="s">
        <v>8</v>
      </c>
      <c r="G356">
        <v>7</v>
      </c>
    </row>
    <row r="357" spans="1:7" x14ac:dyDescent="0.35">
      <c r="A357">
        <v>2019</v>
      </c>
      <c r="B357" t="s">
        <v>49</v>
      </c>
      <c r="C357" t="s">
        <v>102</v>
      </c>
      <c r="D357" t="s">
        <v>77</v>
      </c>
      <c r="E357" t="s">
        <v>90</v>
      </c>
      <c r="F357" t="s">
        <v>8</v>
      </c>
      <c r="G357">
        <v>0</v>
      </c>
    </row>
    <row r="358" spans="1:7" x14ac:dyDescent="0.35">
      <c r="A358">
        <v>2019</v>
      </c>
      <c r="B358" t="s">
        <v>57</v>
      </c>
      <c r="C358" t="s">
        <v>102</v>
      </c>
      <c r="D358" t="s">
        <v>77</v>
      </c>
      <c r="E358" t="s">
        <v>96</v>
      </c>
      <c r="F358" t="s">
        <v>8</v>
      </c>
      <c r="G358">
        <v>3</v>
      </c>
    </row>
    <row r="359" spans="1:7" x14ac:dyDescent="0.35">
      <c r="A359">
        <v>2019</v>
      </c>
      <c r="B359" t="s">
        <v>57</v>
      </c>
      <c r="C359" t="s">
        <v>102</v>
      </c>
      <c r="D359" t="s">
        <v>77</v>
      </c>
      <c r="E359" t="s">
        <v>89</v>
      </c>
      <c r="F359" t="s">
        <v>8</v>
      </c>
      <c r="G359">
        <v>5</v>
      </c>
    </row>
    <row r="360" spans="1:7" x14ac:dyDescent="0.35">
      <c r="A360">
        <v>2019</v>
      </c>
      <c r="B360" t="s">
        <v>57</v>
      </c>
      <c r="C360" t="s">
        <v>102</v>
      </c>
      <c r="D360" t="s">
        <v>77</v>
      </c>
      <c r="E360" t="s">
        <v>91</v>
      </c>
      <c r="F360" t="s">
        <v>8</v>
      </c>
      <c r="G360">
        <v>25</v>
      </c>
    </row>
    <row r="361" spans="1:7" x14ac:dyDescent="0.35">
      <c r="A361">
        <v>2019</v>
      </c>
      <c r="B361" t="s">
        <v>57</v>
      </c>
      <c r="C361" t="s">
        <v>102</v>
      </c>
      <c r="D361" t="s">
        <v>77</v>
      </c>
      <c r="E361" t="s">
        <v>90</v>
      </c>
      <c r="F361" t="s">
        <v>8</v>
      </c>
      <c r="G361">
        <v>3</v>
      </c>
    </row>
    <row r="362" spans="1:7" x14ac:dyDescent="0.35">
      <c r="A362">
        <v>2019</v>
      </c>
      <c r="B362" t="s">
        <v>23</v>
      </c>
      <c r="C362" t="s">
        <v>102</v>
      </c>
      <c r="D362" t="s">
        <v>77</v>
      </c>
      <c r="E362" t="s">
        <v>96</v>
      </c>
      <c r="F362" t="s">
        <v>8</v>
      </c>
      <c r="G362">
        <v>5</v>
      </c>
    </row>
    <row r="363" spans="1:7" x14ac:dyDescent="0.35">
      <c r="A363">
        <v>2019</v>
      </c>
      <c r="B363" t="s">
        <v>23</v>
      </c>
      <c r="C363" t="s">
        <v>102</v>
      </c>
      <c r="D363" t="s">
        <v>77</v>
      </c>
      <c r="E363" t="s">
        <v>89</v>
      </c>
      <c r="F363" t="s">
        <v>8</v>
      </c>
      <c r="G363">
        <v>5</v>
      </c>
    </row>
    <row r="364" spans="1:7" x14ac:dyDescent="0.35">
      <c r="A364">
        <v>2019</v>
      </c>
      <c r="B364" t="s">
        <v>23</v>
      </c>
      <c r="C364" t="s">
        <v>102</v>
      </c>
      <c r="D364" t="s">
        <v>77</v>
      </c>
      <c r="E364" t="s">
        <v>91</v>
      </c>
      <c r="F364" t="s">
        <v>8</v>
      </c>
      <c r="G364">
        <v>33</v>
      </c>
    </row>
    <row r="365" spans="1:7" x14ac:dyDescent="0.35">
      <c r="A365">
        <v>2019</v>
      </c>
      <c r="B365" t="s">
        <v>23</v>
      </c>
      <c r="C365" t="s">
        <v>102</v>
      </c>
      <c r="D365" t="s">
        <v>77</v>
      </c>
      <c r="E365" t="s">
        <v>90</v>
      </c>
      <c r="F365" t="s">
        <v>8</v>
      </c>
      <c r="G365">
        <v>0</v>
      </c>
    </row>
    <row r="366" spans="1:7" x14ac:dyDescent="0.35">
      <c r="A366">
        <v>2019</v>
      </c>
      <c r="B366" t="s">
        <v>38</v>
      </c>
      <c r="C366" t="s">
        <v>102</v>
      </c>
      <c r="D366" t="s">
        <v>77</v>
      </c>
      <c r="E366" t="s">
        <v>96</v>
      </c>
      <c r="F366" t="s">
        <v>8</v>
      </c>
      <c r="G366">
        <v>0</v>
      </c>
    </row>
    <row r="367" spans="1:7" x14ac:dyDescent="0.35">
      <c r="A367">
        <v>2019</v>
      </c>
      <c r="B367" t="s">
        <v>38</v>
      </c>
      <c r="C367" t="s">
        <v>102</v>
      </c>
      <c r="D367" t="s">
        <v>77</v>
      </c>
      <c r="E367" t="s">
        <v>89</v>
      </c>
      <c r="F367" t="s">
        <v>8</v>
      </c>
      <c r="G367">
        <v>0</v>
      </c>
    </row>
    <row r="368" spans="1:7" x14ac:dyDescent="0.35">
      <c r="A368">
        <v>2019</v>
      </c>
      <c r="B368" t="s">
        <v>38</v>
      </c>
      <c r="C368" t="s">
        <v>102</v>
      </c>
      <c r="D368" t="s">
        <v>77</v>
      </c>
      <c r="E368" t="s">
        <v>91</v>
      </c>
      <c r="F368" t="s">
        <v>8</v>
      </c>
      <c r="G368">
        <v>1</v>
      </c>
    </row>
    <row r="369" spans="1:7" x14ac:dyDescent="0.35">
      <c r="A369">
        <v>2019</v>
      </c>
      <c r="B369" t="s">
        <v>38</v>
      </c>
      <c r="C369" t="s">
        <v>102</v>
      </c>
      <c r="D369" t="s">
        <v>77</v>
      </c>
      <c r="E369" t="s">
        <v>90</v>
      </c>
      <c r="F369" t="s">
        <v>8</v>
      </c>
      <c r="G369">
        <v>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D2"/>
  <sheetViews>
    <sheetView workbookViewId="0">
      <selection activeCell="A4" sqref="A4:L4"/>
    </sheetView>
  </sheetViews>
  <sheetFormatPr defaultRowHeight="14.5" x14ac:dyDescent="0.35"/>
  <sheetData>
    <row r="2" spans="2:4" x14ac:dyDescent="0.35">
      <c r="B2" s="41">
        <f ca="1">FIRE1120!J8+FIRE1120!K8</f>
        <v>3181</v>
      </c>
      <c r="C2" s="41">
        <v>34962</v>
      </c>
      <c r="D2" s="42">
        <f ca="1">B2/C2</f>
        <v>9.0984497454379046E-2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H97"/>
  <sheetViews>
    <sheetView tabSelected="1" zoomScaleNormal="100" workbookViewId="0">
      <pane ySplit="7" topLeftCell="A8" activePane="bottomLeft" state="frozen"/>
      <selection pane="bottomLeft" activeCell="A4" sqref="A4:L4"/>
    </sheetView>
  </sheetViews>
  <sheetFormatPr defaultColWidth="9.1796875" defaultRowHeight="14.5" x14ac:dyDescent="0.35"/>
  <cols>
    <col min="1" max="1" width="50.7265625" style="5" customWidth="1"/>
    <col min="2" max="3" width="8.7265625" style="5" customWidth="1"/>
    <col min="4" max="4" width="12.7265625" style="5" customWidth="1"/>
    <col min="5" max="5" width="2.7265625" style="5" customWidth="1"/>
    <col min="6" max="7" width="8.7265625" style="5" customWidth="1"/>
    <col min="8" max="8" width="12.7265625" style="5" customWidth="1"/>
    <col min="9" max="9" width="2.7265625" style="5" customWidth="1"/>
    <col min="10" max="11" width="8.7265625" style="5" customWidth="1"/>
    <col min="12" max="12" width="12.7265625" style="5" customWidth="1"/>
    <col min="13" max="13" width="3.7265625" style="5" customWidth="1"/>
    <col min="14" max="15" width="8.7265625" style="5" customWidth="1"/>
    <col min="16" max="16" width="12.7265625" style="5" customWidth="1"/>
    <col min="17" max="17" width="2.7265625" style="5" customWidth="1"/>
    <col min="18" max="19" width="8.7265625" style="5" customWidth="1"/>
    <col min="20" max="20" width="12.7265625" style="5" customWidth="1"/>
    <col min="21" max="21" width="2.7265625" style="5" customWidth="1"/>
    <col min="22" max="23" width="8.7265625" style="5" customWidth="1"/>
    <col min="24" max="24" width="12.7265625" style="5" customWidth="1"/>
    <col min="25" max="25" width="9.1796875" style="5"/>
    <col min="26" max="26" width="0" style="5" hidden="1" customWidth="1"/>
    <col min="27" max="16384" width="9.1796875" style="5"/>
  </cols>
  <sheetData>
    <row r="1" spans="1:34" s="1" customFormat="1" ht="17" x14ac:dyDescent="0.5">
      <c r="A1" s="81" t="s">
        <v>72</v>
      </c>
      <c r="B1" s="81"/>
      <c r="C1" s="81"/>
      <c r="D1" s="81"/>
      <c r="E1" s="81"/>
      <c r="F1" s="81"/>
      <c r="G1" s="81"/>
      <c r="H1" s="81"/>
      <c r="I1" s="81"/>
      <c r="J1" s="81"/>
      <c r="K1" s="81"/>
      <c r="L1" s="81"/>
      <c r="M1" s="81"/>
      <c r="N1" s="81"/>
      <c r="O1" s="81"/>
      <c r="P1" s="81"/>
      <c r="Q1" s="81"/>
      <c r="R1" s="81"/>
      <c r="S1" s="81"/>
      <c r="T1" s="81"/>
      <c r="U1" s="81"/>
      <c r="V1" s="81"/>
      <c r="W1" s="81"/>
      <c r="X1" s="81"/>
    </row>
    <row r="2" spans="1:34" s="4" customFormat="1" x14ac:dyDescent="0.35">
      <c r="A2" s="2"/>
      <c r="B2" s="3"/>
      <c r="C2" s="3"/>
      <c r="D2" s="3"/>
      <c r="E2" s="3"/>
      <c r="F2" s="3"/>
      <c r="G2" s="3"/>
      <c r="H2" s="3"/>
      <c r="I2" s="3"/>
      <c r="J2" s="3"/>
      <c r="K2" s="3"/>
      <c r="L2" s="3"/>
      <c r="M2" s="3"/>
      <c r="N2" s="3"/>
      <c r="O2" s="3"/>
      <c r="P2" s="3"/>
      <c r="Q2" s="3"/>
      <c r="R2" s="3"/>
      <c r="S2" s="3"/>
      <c r="T2" s="3"/>
      <c r="U2" s="3"/>
      <c r="V2" s="3"/>
      <c r="W2" s="3"/>
      <c r="X2" s="3"/>
    </row>
    <row r="3" spans="1:34" s="4" customFormat="1" x14ac:dyDescent="0.35">
      <c r="A3" s="18" t="s">
        <v>75</v>
      </c>
      <c r="B3" s="3"/>
      <c r="C3" s="3"/>
      <c r="D3" s="3"/>
      <c r="E3" s="3"/>
      <c r="F3" s="3"/>
      <c r="G3" s="3"/>
      <c r="H3" s="3"/>
      <c r="I3" s="3"/>
      <c r="J3" s="3"/>
      <c r="K3" s="3"/>
      <c r="L3" s="3"/>
      <c r="M3" s="3"/>
      <c r="N3" s="3"/>
      <c r="O3" s="3"/>
      <c r="P3" s="3"/>
      <c r="Q3" s="3"/>
      <c r="R3" s="3"/>
      <c r="S3" s="3"/>
      <c r="T3" s="3"/>
      <c r="U3" s="3"/>
      <c r="V3" s="3"/>
      <c r="W3" s="3"/>
      <c r="X3" s="3"/>
    </row>
    <row r="4" spans="1:34" s="4" customFormat="1" x14ac:dyDescent="0.35">
      <c r="A4" s="84" t="s">
        <v>114</v>
      </c>
      <c r="B4" s="84"/>
      <c r="C4" s="84"/>
      <c r="D4" s="84"/>
      <c r="E4" s="84"/>
      <c r="F4" s="84"/>
      <c r="G4" s="84"/>
      <c r="H4" s="84"/>
      <c r="I4" s="84"/>
      <c r="J4" s="84"/>
      <c r="K4" s="84"/>
      <c r="L4" s="84"/>
      <c r="M4" s="3"/>
      <c r="N4" s="3"/>
      <c r="O4" s="3"/>
      <c r="P4" s="3"/>
      <c r="Q4" s="3"/>
      <c r="R4" s="3"/>
      <c r="S4" s="3"/>
      <c r="T4" s="3"/>
      <c r="U4" s="3"/>
      <c r="V4" s="3"/>
      <c r="W4" s="3"/>
      <c r="X4" s="3"/>
    </row>
    <row r="5" spans="1:34" s="4" customFormat="1" x14ac:dyDescent="0.35">
      <c r="A5" s="2"/>
      <c r="B5" s="3"/>
      <c r="C5" s="3"/>
      <c r="D5" s="3"/>
      <c r="E5" s="3"/>
      <c r="F5" s="3"/>
      <c r="G5" s="3"/>
      <c r="H5" s="3"/>
      <c r="I5" s="3"/>
      <c r="J5" s="3"/>
      <c r="K5" s="3"/>
      <c r="L5" s="3"/>
      <c r="M5" s="3"/>
      <c r="N5" s="3"/>
      <c r="O5" s="3"/>
      <c r="P5" s="3"/>
      <c r="Q5" s="3"/>
      <c r="R5" s="3"/>
      <c r="S5" s="3"/>
      <c r="T5" s="3"/>
      <c r="U5" s="3"/>
      <c r="V5" s="3"/>
      <c r="W5" s="3"/>
      <c r="X5" s="3"/>
    </row>
    <row r="6" spans="1:34" s="6" customFormat="1" ht="15.75" customHeight="1" thickBot="1" x14ac:dyDescent="0.4">
      <c r="A6" s="5"/>
      <c r="B6" s="82" t="s">
        <v>89</v>
      </c>
      <c r="C6" s="82"/>
      <c r="D6" s="82"/>
      <c r="E6" s="3"/>
      <c r="F6" s="82" t="s">
        <v>156</v>
      </c>
      <c r="G6" s="82"/>
      <c r="H6" s="82"/>
      <c r="I6" s="3"/>
      <c r="J6" s="83" t="s">
        <v>2</v>
      </c>
      <c r="K6" s="83"/>
      <c r="L6" s="83"/>
      <c r="M6" s="3"/>
      <c r="N6" s="82" t="s">
        <v>3</v>
      </c>
      <c r="O6" s="82"/>
      <c r="P6" s="82"/>
      <c r="Q6" s="3"/>
      <c r="R6" s="82" t="s">
        <v>4</v>
      </c>
      <c r="S6" s="82"/>
      <c r="T6" s="82"/>
      <c r="U6" s="3"/>
      <c r="V6" s="83" t="s">
        <v>5</v>
      </c>
      <c r="W6" s="83"/>
      <c r="X6" s="83"/>
    </row>
    <row r="7" spans="1:34" s="12" customFormat="1" ht="44" thickBot="1" x14ac:dyDescent="0.4">
      <c r="A7" s="7" t="s">
        <v>152</v>
      </c>
      <c r="B7" s="35" t="s">
        <v>7</v>
      </c>
      <c r="C7" s="35" t="s">
        <v>8</v>
      </c>
      <c r="D7" s="9" t="s">
        <v>9</v>
      </c>
      <c r="E7" s="35"/>
      <c r="F7" s="35" t="s">
        <v>7</v>
      </c>
      <c r="G7" s="35" t="s">
        <v>8</v>
      </c>
      <c r="H7" s="9" t="s">
        <v>9</v>
      </c>
      <c r="I7" s="35"/>
      <c r="J7" s="36" t="s">
        <v>7</v>
      </c>
      <c r="K7" s="36" t="s">
        <v>8</v>
      </c>
      <c r="L7" s="11" t="s">
        <v>9</v>
      </c>
      <c r="M7" s="35"/>
      <c r="N7" s="35" t="s">
        <v>7</v>
      </c>
      <c r="O7" s="35" t="s">
        <v>8</v>
      </c>
      <c r="P7" s="9" t="s">
        <v>9</v>
      </c>
      <c r="Q7" s="35"/>
      <c r="R7" s="35" t="s">
        <v>7</v>
      </c>
      <c r="S7" s="35" t="s">
        <v>8</v>
      </c>
      <c r="T7" s="9" t="s">
        <v>9</v>
      </c>
      <c r="U7" s="35"/>
      <c r="V7" s="36" t="s">
        <v>7</v>
      </c>
      <c r="W7" s="36" t="s">
        <v>8</v>
      </c>
      <c r="X7" s="11" t="s">
        <v>9</v>
      </c>
    </row>
    <row r="8" spans="1:34" s="6" customFormat="1" ht="15" customHeight="1" x14ac:dyDescent="0.35">
      <c r="A8" s="13" t="s">
        <v>10</v>
      </c>
      <c r="B8" s="14">
        <f ca="1">B9+B49</f>
        <v>1320</v>
      </c>
      <c r="C8" s="14">
        <f ca="1">C9+C49</f>
        <v>274</v>
      </c>
      <c r="D8" s="15">
        <f ca="1">IF(B8+C8=0,"-",(C8/(B8+C8)))</f>
        <v>0.17189460476787954</v>
      </c>
      <c r="E8" s="14"/>
      <c r="F8" s="14">
        <f ca="1">F9+F49</f>
        <v>1333</v>
      </c>
      <c r="G8" s="14">
        <f ca="1">G9+G49</f>
        <v>254</v>
      </c>
      <c r="H8" s="15">
        <f ca="1">IF(F8+G8=0,"-",(G8/(F8+G8)))</f>
        <v>0.1600504095778198</v>
      </c>
      <c r="I8" s="19"/>
      <c r="J8" s="14">
        <f ca="1">J9+J49</f>
        <v>2653</v>
      </c>
      <c r="K8" s="14">
        <f ca="1">K9+K49</f>
        <v>528</v>
      </c>
      <c r="L8" s="75">
        <f ca="1">IF(J8+K8=0,"-",(K8/(J8+K8)))</f>
        <v>0.16598553913863565</v>
      </c>
      <c r="M8" s="14"/>
      <c r="N8" s="14">
        <f ca="1">N9+N49</f>
        <v>28</v>
      </c>
      <c r="O8" s="14">
        <f ca="1">O9+O49</f>
        <v>64</v>
      </c>
      <c r="P8" s="15">
        <f ca="1">IF(N8+O8=0,"-",(O8/(N8+O8)))</f>
        <v>0.69565217391304346</v>
      </c>
      <c r="Q8" s="14"/>
      <c r="R8" s="14">
        <f ca="1">R9+R49</f>
        <v>459</v>
      </c>
      <c r="S8" s="14">
        <f ca="1">S9+S49</f>
        <v>523</v>
      </c>
      <c r="T8" s="15">
        <f ca="1">IF(R8+S8=0,"-",(S8/(R8+S8)))</f>
        <v>0.53258655804480648</v>
      </c>
      <c r="U8" s="14"/>
      <c r="V8" s="14">
        <f ca="1">V9+V49</f>
        <v>3140</v>
      </c>
      <c r="W8" s="14">
        <f ca="1">W9+W49</f>
        <v>1115</v>
      </c>
      <c r="X8" s="15">
        <f ca="1">IF(V8+W8=0,"-",(W8/(V8+W8)))</f>
        <v>0.26204465334900118</v>
      </c>
      <c r="Y8" s="16"/>
      <c r="Z8" s="16"/>
      <c r="AA8" s="16"/>
      <c r="AB8" s="16"/>
      <c r="AC8" s="16"/>
      <c r="AD8" s="16"/>
      <c r="AE8" s="16"/>
      <c r="AF8" s="16"/>
      <c r="AG8" s="16"/>
      <c r="AH8" s="17"/>
    </row>
    <row r="9" spans="1:34" s="6" customFormat="1" ht="15" customHeight="1" x14ac:dyDescent="0.35">
      <c r="A9" s="18" t="s">
        <v>11</v>
      </c>
      <c r="B9" s="14">
        <f ca="1">SUM(B10:B48)</f>
        <v>629</v>
      </c>
      <c r="C9" s="14">
        <f ca="1">SUM(C10:C48)</f>
        <v>156</v>
      </c>
      <c r="D9" s="15">
        <f ca="1">IF(B9+C9=0,"-",(C9/(B9+C9)))</f>
        <v>0.19872611464968154</v>
      </c>
      <c r="E9" s="14"/>
      <c r="F9" s="14">
        <f ca="1">SUM(F10:F48)</f>
        <v>1292</v>
      </c>
      <c r="G9" s="14">
        <f ca="1">SUM(G10:G48)</f>
        <v>247</v>
      </c>
      <c r="H9" s="15">
        <f ca="1">IF(F9+G9=0,"-",(G9/(F9+G9)))</f>
        <v>0.16049382716049382</v>
      </c>
      <c r="I9" s="19"/>
      <c r="J9" s="14">
        <f ca="1">SUM(J10:J48)</f>
        <v>1921</v>
      </c>
      <c r="K9" s="14">
        <f ca="1">SUM(K10:K48)</f>
        <v>403</v>
      </c>
      <c r="L9" s="15">
        <f ca="1">IF(J9+K9=0,"-",(K9/(J9+K9)))</f>
        <v>0.173407917383821</v>
      </c>
      <c r="M9" s="14"/>
      <c r="N9" s="14">
        <f ca="1">SUM(N10:N48)</f>
        <v>23</v>
      </c>
      <c r="O9" s="14">
        <f ca="1">SUM(O10:O48)</f>
        <v>47</v>
      </c>
      <c r="P9" s="15">
        <f ca="1">IF(N9+O9=0,"-",(O9/(N9+O9)))</f>
        <v>0.67142857142857137</v>
      </c>
      <c r="Q9" s="14"/>
      <c r="R9" s="14">
        <f ca="1">SUM(R10:R48)</f>
        <v>308</v>
      </c>
      <c r="S9" s="14">
        <f ca="1">SUM(S10:S48)</f>
        <v>340</v>
      </c>
      <c r="T9" s="15">
        <f ca="1">IF(R9+S9=0,"-",(S9/(R9+S9)))</f>
        <v>0.52469135802469136</v>
      </c>
      <c r="U9" s="14"/>
      <c r="V9" s="14">
        <f ca="1">SUM(V10:V48)</f>
        <v>2252</v>
      </c>
      <c r="W9" s="14">
        <f ca="1">SUM(W10:W48)</f>
        <v>790</v>
      </c>
      <c r="X9" s="15">
        <f ca="1">IF(V9+W9=0,"-",(W9/(V9+W9)))</f>
        <v>0.25969756738987509</v>
      </c>
      <c r="Y9" s="16"/>
      <c r="Z9" s="16"/>
      <c r="AA9" s="16"/>
      <c r="AB9" s="16"/>
      <c r="AC9" s="16"/>
      <c r="AD9" s="16"/>
      <c r="AE9" s="16"/>
      <c r="AF9" s="16"/>
      <c r="AG9" s="16"/>
    </row>
    <row r="10" spans="1:34" s="6" customFormat="1" ht="15" customHeight="1" x14ac:dyDescent="0.35">
      <c r="A10" s="5" t="s">
        <v>12</v>
      </c>
      <c r="B10" s="19">
        <f ca="1">ROUND(FIRE1120_raw!B10,0)</f>
        <v>12</v>
      </c>
      <c r="C10" s="19">
        <f ca="1">ROUND(FIRE1120_raw!C10,0)</f>
        <v>3</v>
      </c>
      <c r="D10" s="20">
        <f t="shared" ref="D10:D55" ca="1" si="0">IF(B10+C10=0,"-",(C10/(B10+C10)))</f>
        <v>0.2</v>
      </c>
      <c r="E10" s="19"/>
      <c r="F10" s="19">
        <f ca="1">ROUND(FIRE1120_raw!F10,0)</f>
        <v>17</v>
      </c>
      <c r="G10" s="19">
        <f ca="1">ROUND(FIRE1120_raw!G10,0)</f>
        <v>2</v>
      </c>
      <c r="H10" s="20">
        <f t="shared" ref="H10:H55" ca="1" si="1">IF(F10+G10=0,"-",(G10/(F10+G10)))</f>
        <v>0.10526315789473684</v>
      </c>
      <c r="I10" s="19"/>
      <c r="J10" s="14">
        <f t="shared" ref="J10:K55" ca="1" si="2">B10+F10</f>
        <v>29</v>
      </c>
      <c r="K10" s="14">
        <f t="shared" ca="1" si="2"/>
        <v>5</v>
      </c>
      <c r="L10" s="15">
        <f t="shared" ref="L10:L55" ca="1" si="3">IF(J10+K10=0,"-",(K10/(J10+K10)))</f>
        <v>0.14705882352941177</v>
      </c>
      <c r="M10" s="19"/>
      <c r="N10" s="19">
        <f ca="1">ROUND(FIRE1120_raw!N10,0)</f>
        <v>0</v>
      </c>
      <c r="O10" s="19">
        <f ca="1">ROUND(FIRE1120_raw!O10,0)</f>
        <v>3</v>
      </c>
      <c r="P10" s="20">
        <f t="shared" ref="P10:P55" ca="1" si="4">IF(N10+O10=0,"-",(O10/(N10+O10)))</f>
        <v>1</v>
      </c>
      <c r="Q10" s="19"/>
      <c r="R10" s="19">
        <f ca="1">ROUND(FIRE1120_raw!R10,0)</f>
        <v>10</v>
      </c>
      <c r="S10" s="19">
        <f ca="1">ROUND(FIRE1120_raw!S10,0)</f>
        <v>15</v>
      </c>
      <c r="T10" s="20">
        <f t="shared" ref="T10:T55" ca="1" si="5">IF(R10+S10=0,"-",(S10/(R10+S10)))</f>
        <v>0.6</v>
      </c>
      <c r="U10" s="19"/>
      <c r="V10" s="14">
        <f t="shared" ref="V10:W47" ca="1" si="6">J10+N10+R10</f>
        <v>39</v>
      </c>
      <c r="W10" s="14">
        <f t="shared" ca="1" si="6"/>
        <v>23</v>
      </c>
      <c r="X10" s="20">
        <f t="shared" ref="X10:X55" ca="1" si="7">IF(V10+W10=0,"-",(W10/(V10+W10)))</f>
        <v>0.37096774193548387</v>
      </c>
      <c r="Y10" s="16"/>
      <c r="Z10" s="16"/>
      <c r="AA10" s="16"/>
      <c r="AB10" s="16"/>
      <c r="AC10" s="16"/>
      <c r="AD10" s="16"/>
      <c r="AE10" s="16"/>
      <c r="AF10" s="16"/>
      <c r="AG10" s="16"/>
    </row>
    <row r="11" spans="1:34" s="6" customFormat="1" ht="15" customHeight="1" x14ac:dyDescent="0.35">
      <c r="A11" s="5" t="s">
        <v>13</v>
      </c>
      <c r="B11" s="19">
        <f ca="1">ROUND(FIRE1120_raw!B11,0)</f>
        <v>17</v>
      </c>
      <c r="C11" s="19">
        <f ca="1">ROUND(FIRE1120_raw!C11,0)</f>
        <v>1</v>
      </c>
      <c r="D11" s="20">
        <f t="shared" ca="1" si="0"/>
        <v>5.5555555555555552E-2</v>
      </c>
      <c r="E11" s="19"/>
      <c r="F11" s="19">
        <f ca="1">ROUND(FIRE1120_raw!F11,0)</f>
        <v>24</v>
      </c>
      <c r="G11" s="19">
        <f ca="1">ROUND(FIRE1120_raw!G11,0)</f>
        <v>2</v>
      </c>
      <c r="H11" s="20">
        <f t="shared" ca="1" si="1"/>
        <v>7.6923076923076927E-2</v>
      </c>
      <c r="I11" s="19"/>
      <c r="J11" s="14">
        <f t="shared" ca="1" si="2"/>
        <v>41</v>
      </c>
      <c r="K11" s="14">
        <f t="shared" ca="1" si="2"/>
        <v>3</v>
      </c>
      <c r="L11" s="15">
        <f t="shared" ca="1" si="3"/>
        <v>6.8181818181818177E-2</v>
      </c>
      <c r="M11" s="19"/>
      <c r="N11" s="19">
        <f ca="1">ROUND(FIRE1120_raw!N11,0)</f>
        <v>0</v>
      </c>
      <c r="O11" s="19">
        <f ca="1">ROUND(FIRE1120_raw!O11,0)</f>
        <v>2</v>
      </c>
      <c r="P11" s="20">
        <f t="shared" ca="1" si="4"/>
        <v>1</v>
      </c>
      <c r="Q11" s="19"/>
      <c r="R11" s="19">
        <f ca="1">ROUND(FIRE1120_raw!R11,0)</f>
        <v>13</v>
      </c>
      <c r="S11" s="19">
        <f ca="1">ROUND(FIRE1120_raw!S11,0)</f>
        <v>9</v>
      </c>
      <c r="T11" s="20">
        <f t="shared" ca="1" si="5"/>
        <v>0.40909090909090912</v>
      </c>
      <c r="U11" s="19"/>
      <c r="V11" s="14">
        <f t="shared" ca="1" si="6"/>
        <v>54</v>
      </c>
      <c r="W11" s="14">
        <f t="shared" ca="1" si="6"/>
        <v>14</v>
      </c>
      <c r="X11" s="20">
        <f t="shared" ca="1" si="7"/>
        <v>0.20588235294117646</v>
      </c>
      <c r="Y11" s="16"/>
      <c r="Z11" s="16"/>
      <c r="AA11" s="16"/>
      <c r="AB11" s="16"/>
      <c r="AC11" s="16"/>
      <c r="AD11" s="16"/>
      <c r="AE11" s="16"/>
      <c r="AF11" s="16"/>
      <c r="AG11" s="16"/>
    </row>
    <row r="12" spans="1:34" s="6" customFormat="1" ht="15" customHeight="1" x14ac:dyDescent="0.35">
      <c r="A12" s="5" t="s">
        <v>14</v>
      </c>
      <c r="B12" s="19">
        <f ca="1">ROUND(FIRE1120_raw!B12,0)</f>
        <v>14</v>
      </c>
      <c r="C12" s="19">
        <f ca="1">ROUND(FIRE1120_raw!C12,0)</f>
        <v>0</v>
      </c>
      <c r="D12" s="20">
        <f t="shared" ca="1" si="0"/>
        <v>0</v>
      </c>
      <c r="E12" s="19"/>
      <c r="F12" s="19">
        <f ca="1">ROUND(FIRE1120_raw!F12,0)</f>
        <v>19</v>
      </c>
      <c r="G12" s="19">
        <f ca="1">ROUND(FIRE1120_raw!G12,0)</f>
        <v>4</v>
      </c>
      <c r="H12" s="20">
        <f t="shared" ca="1" si="1"/>
        <v>0.17391304347826086</v>
      </c>
      <c r="I12" s="19"/>
      <c r="J12" s="14">
        <f t="shared" ca="1" si="2"/>
        <v>33</v>
      </c>
      <c r="K12" s="14">
        <f t="shared" ca="1" si="2"/>
        <v>4</v>
      </c>
      <c r="L12" s="15">
        <f t="shared" ca="1" si="3"/>
        <v>0.10810810810810811</v>
      </c>
      <c r="M12" s="19"/>
      <c r="N12" s="19">
        <f ca="1">ROUND(FIRE1120_raw!N12,0)</f>
        <v>3</v>
      </c>
      <c r="O12" s="19">
        <f ca="1">ROUND(FIRE1120_raw!O12,0)</f>
        <v>2</v>
      </c>
      <c r="P12" s="20">
        <f t="shared" ca="1" si="4"/>
        <v>0.4</v>
      </c>
      <c r="Q12" s="19"/>
      <c r="R12" s="19">
        <f ca="1">ROUND(FIRE1120_raw!R12,0)</f>
        <v>10</v>
      </c>
      <c r="S12" s="19">
        <f ca="1">ROUND(FIRE1120_raw!S12,0)</f>
        <v>19</v>
      </c>
      <c r="T12" s="20">
        <f t="shared" ca="1" si="5"/>
        <v>0.65517241379310343</v>
      </c>
      <c r="U12" s="19"/>
      <c r="V12" s="14">
        <f t="shared" ca="1" si="6"/>
        <v>46</v>
      </c>
      <c r="W12" s="14">
        <f t="shared" ca="1" si="6"/>
        <v>25</v>
      </c>
      <c r="X12" s="20">
        <f t="shared" ca="1" si="7"/>
        <v>0.352112676056338</v>
      </c>
      <c r="Y12" s="16"/>
      <c r="Z12" s="16"/>
      <c r="AA12" s="16"/>
      <c r="AB12" s="16"/>
      <c r="AC12" s="16"/>
      <c r="AD12" s="16"/>
      <c r="AE12" s="16"/>
      <c r="AF12" s="16"/>
      <c r="AG12" s="16"/>
    </row>
    <row r="13" spans="1:34" s="6" customFormat="1" ht="15" customHeight="1" x14ac:dyDescent="0.35">
      <c r="A13" s="5" t="s">
        <v>15</v>
      </c>
      <c r="B13" s="19">
        <f ca="1">ROUND(FIRE1120_raw!B13,0)</f>
        <v>24</v>
      </c>
      <c r="C13" s="19">
        <f ca="1">ROUND(FIRE1120_raw!C13,0)</f>
        <v>4</v>
      </c>
      <c r="D13" s="20">
        <f t="shared" ca="1" si="0"/>
        <v>0.14285714285714285</v>
      </c>
      <c r="E13" s="19"/>
      <c r="F13" s="19">
        <f ca="1">ROUND(FIRE1120_raw!F13,0)</f>
        <v>16</v>
      </c>
      <c r="G13" s="19">
        <f ca="1">ROUND(FIRE1120_raw!G13,0)</f>
        <v>3</v>
      </c>
      <c r="H13" s="20">
        <f t="shared" ca="1" si="1"/>
        <v>0.15789473684210525</v>
      </c>
      <c r="I13" s="19"/>
      <c r="J13" s="14">
        <f t="shared" ca="1" si="2"/>
        <v>40</v>
      </c>
      <c r="K13" s="14">
        <f t="shared" ca="1" si="2"/>
        <v>7</v>
      </c>
      <c r="L13" s="15">
        <f t="shared" ca="1" si="3"/>
        <v>0.14893617021276595</v>
      </c>
      <c r="M13" s="19"/>
      <c r="N13" s="19">
        <f ca="1">ROUND(FIRE1120_raw!N13,0)</f>
        <v>0</v>
      </c>
      <c r="O13" s="19">
        <f ca="1">ROUND(FIRE1120_raw!O13,0)</f>
        <v>0</v>
      </c>
      <c r="P13" s="20" t="str">
        <f t="shared" ca="1" si="4"/>
        <v>-</v>
      </c>
      <c r="Q13" s="19"/>
      <c r="R13" s="19">
        <f ca="1">ROUND(FIRE1120_raw!R13,0)</f>
        <v>2</v>
      </c>
      <c r="S13" s="19">
        <f ca="1">ROUND(FIRE1120_raw!S13,0)</f>
        <v>4</v>
      </c>
      <c r="T13" s="20">
        <f t="shared" ca="1" si="5"/>
        <v>0.66666666666666663</v>
      </c>
      <c r="U13" s="19"/>
      <c r="V13" s="14">
        <f t="shared" ca="1" si="6"/>
        <v>42</v>
      </c>
      <c r="W13" s="14">
        <f t="shared" ca="1" si="6"/>
        <v>11</v>
      </c>
      <c r="X13" s="20">
        <f t="shared" ca="1" si="7"/>
        <v>0.20754716981132076</v>
      </c>
      <c r="Y13" s="16"/>
      <c r="Z13" s="16"/>
      <c r="AA13" s="16"/>
      <c r="AB13" s="16"/>
      <c r="AC13" s="16"/>
      <c r="AD13" s="16"/>
      <c r="AE13" s="16"/>
      <c r="AF13" s="16"/>
      <c r="AG13" s="16"/>
    </row>
    <row r="14" spans="1:34" s="6" customFormat="1" ht="15" customHeight="1" x14ac:dyDescent="0.35">
      <c r="A14" s="5" t="s">
        <v>16</v>
      </c>
      <c r="B14" s="19">
        <f ca="1">ROUND(FIRE1120_raw!B14,0)</f>
        <v>12</v>
      </c>
      <c r="C14" s="19">
        <f ca="1">ROUND(FIRE1120_raw!C14,0)</f>
        <v>2</v>
      </c>
      <c r="D14" s="20">
        <f t="shared" ca="1" si="0"/>
        <v>0.14285714285714285</v>
      </c>
      <c r="E14" s="19"/>
      <c r="F14" s="19">
        <f ca="1">ROUND(FIRE1120_raw!F14,0)</f>
        <v>34</v>
      </c>
      <c r="G14" s="19">
        <f ca="1">ROUND(FIRE1120_raw!G14,0)</f>
        <v>2</v>
      </c>
      <c r="H14" s="20">
        <f t="shared" ca="1" si="1"/>
        <v>5.5555555555555552E-2</v>
      </c>
      <c r="I14" s="19"/>
      <c r="J14" s="14">
        <f t="shared" ca="1" si="2"/>
        <v>46</v>
      </c>
      <c r="K14" s="14">
        <f t="shared" ca="1" si="2"/>
        <v>4</v>
      </c>
      <c r="L14" s="15">
        <f t="shared" ca="1" si="3"/>
        <v>0.08</v>
      </c>
      <c r="M14" s="19"/>
      <c r="N14" s="19">
        <f ca="1">ROUND(FIRE1120_raw!N14,0)</f>
        <v>2</v>
      </c>
      <c r="O14" s="19">
        <f ca="1">ROUND(FIRE1120_raw!O14,0)</f>
        <v>10</v>
      </c>
      <c r="P14" s="20">
        <f t="shared" ca="1" si="4"/>
        <v>0.83333333333333337</v>
      </c>
      <c r="Q14" s="19"/>
      <c r="R14" s="19">
        <f ca="1">ROUND(FIRE1120_raw!R14,0)</f>
        <v>12</v>
      </c>
      <c r="S14" s="19">
        <f ca="1">ROUND(FIRE1120_raw!S14,0)</f>
        <v>9</v>
      </c>
      <c r="T14" s="20">
        <f t="shared" ca="1" si="5"/>
        <v>0.42857142857142855</v>
      </c>
      <c r="U14" s="19"/>
      <c r="V14" s="14">
        <f t="shared" ca="1" si="6"/>
        <v>60</v>
      </c>
      <c r="W14" s="14">
        <f t="shared" ca="1" si="6"/>
        <v>23</v>
      </c>
      <c r="X14" s="20">
        <f t="shared" ca="1" si="7"/>
        <v>0.27710843373493976</v>
      </c>
      <c r="Y14" s="16"/>
      <c r="Z14" s="16"/>
      <c r="AA14" s="16"/>
      <c r="AB14" s="16"/>
      <c r="AC14" s="16"/>
      <c r="AD14" s="16"/>
      <c r="AE14" s="16"/>
      <c r="AF14" s="16"/>
      <c r="AG14" s="16"/>
    </row>
    <row r="15" spans="1:34" s="6" customFormat="1" ht="15" customHeight="1" x14ac:dyDescent="0.35">
      <c r="A15" s="5" t="s">
        <v>17</v>
      </c>
      <c r="B15" s="19">
        <f ca="1">ROUND(FIRE1120_raw!B15,0)</f>
        <v>44</v>
      </c>
      <c r="C15" s="19">
        <f ca="1">ROUND(FIRE1120_raw!C15,0)</f>
        <v>10</v>
      </c>
      <c r="D15" s="20">
        <f t="shared" ca="1" si="0"/>
        <v>0.18518518518518517</v>
      </c>
      <c r="E15" s="19"/>
      <c r="F15" s="19">
        <f ca="1">ROUND(FIRE1120_raw!F15,0)</f>
        <v>24</v>
      </c>
      <c r="G15" s="19">
        <f ca="1">ROUND(FIRE1120_raw!G15,0)</f>
        <v>4</v>
      </c>
      <c r="H15" s="20">
        <f t="shared" ca="1" si="1"/>
        <v>0.14285714285714285</v>
      </c>
      <c r="I15" s="19"/>
      <c r="J15" s="14">
        <f t="shared" ca="1" si="2"/>
        <v>68</v>
      </c>
      <c r="K15" s="14">
        <f t="shared" ca="1" si="2"/>
        <v>14</v>
      </c>
      <c r="L15" s="15">
        <f t="shared" ca="1" si="3"/>
        <v>0.17073170731707318</v>
      </c>
      <c r="M15" s="19"/>
      <c r="N15" s="19">
        <f ca="1">ROUND(FIRE1120_raw!N15,0)</f>
        <v>0</v>
      </c>
      <c r="O15" s="19">
        <f ca="1">ROUND(FIRE1120_raw!O15,0)</f>
        <v>0</v>
      </c>
      <c r="P15" s="20" t="str">
        <f t="shared" ca="1" si="4"/>
        <v>-</v>
      </c>
      <c r="Q15" s="19"/>
      <c r="R15" s="19">
        <f ca="1">ROUND(FIRE1120_raw!R15,0)</f>
        <v>6</v>
      </c>
      <c r="S15" s="19">
        <f ca="1">ROUND(FIRE1120_raw!S15,0)</f>
        <v>10</v>
      </c>
      <c r="T15" s="20">
        <f t="shared" ca="1" si="5"/>
        <v>0.625</v>
      </c>
      <c r="U15" s="19"/>
      <c r="V15" s="14">
        <f t="shared" ca="1" si="6"/>
        <v>74</v>
      </c>
      <c r="W15" s="14">
        <f t="shared" ca="1" si="6"/>
        <v>24</v>
      </c>
      <c r="X15" s="20">
        <f t="shared" ca="1" si="7"/>
        <v>0.24489795918367346</v>
      </c>
      <c r="Y15" s="16"/>
      <c r="Z15" s="16"/>
      <c r="AA15" s="16"/>
      <c r="AB15" s="16"/>
      <c r="AC15" s="16"/>
      <c r="AD15" s="16"/>
      <c r="AE15" s="16"/>
      <c r="AF15" s="16"/>
      <c r="AG15" s="16"/>
    </row>
    <row r="16" spans="1:34" s="6" customFormat="1" ht="15" customHeight="1" x14ac:dyDescent="0.35">
      <c r="A16" s="5" t="s">
        <v>18</v>
      </c>
      <c r="B16" s="19">
        <f ca="1">ROUND(FIRE1120_raw!B16,0)</f>
        <v>34</v>
      </c>
      <c r="C16" s="19">
        <f ca="1">ROUND(FIRE1120_raw!C16,0)</f>
        <v>2</v>
      </c>
      <c r="D16" s="20">
        <f t="shared" ca="1" si="0"/>
        <v>5.5555555555555552E-2</v>
      </c>
      <c r="E16" s="19"/>
      <c r="F16" s="19">
        <f ca="1">ROUND(FIRE1120_raw!F16,0)</f>
        <v>12</v>
      </c>
      <c r="G16" s="19">
        <f ca="1">ROUND(FIRE1120_raw!G16,0)</f>
        <v>1</v>
      </c>
      <c r="H16" s="20">
        <f t="shared" ca="1" si="1"/>
        <v>7.6923076923076927E-2</v>
      </c>
      <c r="I16" s="19"/>
      <c r="J16" s="14">
        <f t="shared" ca="1" si="2"/>
        <v>46</v>
      </c>
      <c r="K16" s="14">
        <f t="shared" ca="1" si="2"/>
        <v>3</v>
      </c>
      <c r="L16" s="15">
        <f t="shared" ca="1" si="3"/>
        <v>6.1224489795918366E-2</v>
      </c>
      <c r="M16" s="19"/>
      <c r="N16" s="19">
        <f ca="1">ROUND(FIRE1120_raw!N16,0)</f>
        <v>0</v>
      </c>
      <c r="O16" s="19">
        <f ca="1">ROUND(FIRE1120_raw!O16,0)</f>
        <v>2</v>
      </c>
      <c r="P16" s="20">
        <f t="shared" ca="1" si="4"/>
        <v>1</v>
      </c>
      <c r="Q16" s="19"/>
      <c r="R16" s="19">
        <f ca="1">ROUND(FIRE1120_raw!R16,0)</f>
        <v>5</v>
      </c>
      <c r="S16" s="19">
        <f ca="1">ROUND(FIRE1120_raw!S16,0)</f>
        <v>7</v>
      </c>
      <c r="T16" s="20">
        <f t="shared" ca="1" si="5"/>
        <v>0.58333333333333337</v>
      </c>
      <c r="U16" s="19"/>
      <c r="V16" s="14">
        <f t="shared" ca="1" si="6"/>
        <v>51</v>
      </c>
      <c r="W16" s="14">
        <f t="shared" ca="1" si="6"/>
        <v>12</v>
      </c>
      <c r="X16" s="20">
        <f t="shared" ca="1" si="7"/>
        <v>0.19047619047619047</v>
      </c>
      <c r="Y16" s="16"/>
      <c r="Z16" s="16"/>
      <c r="AA16" s="16"/>
      <c r="AB16" s="16"/>
      <c r="AC16" s="16"/>
      <c r="AD16" s="16"/>
      <c r="AE16" s="16"/>
      <c r="AF16" s="16"/>
      <c r="AG16" s="16"/>
    </row>
    <row r="17" spans="1:33" s="6" customFormat="1" ht="15" customHeight="1" x14ac:dyDescent="0.35">
      <c r="A17" s="5" t="s">
        <v>19</v>
      </c>
      <c r="B17" s="19">
        <f ca="1">ROUND(FIRE1120_raw!B17,0)</f>
        <v>11</v>
      </c>
      <c r="C17" s="19">
        <f ca="1">ROUND(FIRE1120_raw!C17,0)</f>
        <v>1</v>
      </c>
      <c r="D17" s="20">
        <f t="shared" ca="1" si="0"/>
        <v>8.3333333333333329E-2</v>
      </c>
      <c r="E17" s="19"/>
      <c r="F17" s="19">
        <f ca="1">ROUND(FIRE1120_raw!F17,0)</f>
        <v>56</v>
      </c>
      <c r="G17" s="19">
        <f ca="1">ROUND(FIRE1120_raw!G17,0)</f>
        <v>3</v>
      </c>
      <c r="H17" s="20">
        <f t="shared" ca="1" si="1"/>
        <v>5.0847457627118647E-2</v>
      </c>
      <c r="I17" s="19"/>
      <c r="J17" s="14">
        <f t="shared" ca="1" si="2"/>
        <v>67</v>
      </c>
      <c r="K17" s="14">
        <f t="shared" ca="1" si="2"/>
        <v>4</v>
      </c>
      <c r="L17" s="15">
        <f t="shared" ca="1" si="3"/>
        <v>5.6338028169014086E-2</v>
      </c>
      <c r="M17" s="19"/>
      <c r="N17" s="19">
        <f ca="1">ROUND(FIRE1120_raw!N17,0)</f>
        <v>1</v>
      </c>
      <c r="O17" s="19">
        <f ca="1">ROUND(FIRE1120_raw!O17,0)</f>
        <v>2</v>
      </c>
      <c r="P17" s="20">
        <f t="shared" ca="1" si="4"/>
        <v>0.66666666666666663</v>
      </c>
      <c r="Q17" s="19"/>
      <c r="R17" s="19">
        <f ca="1">ROUND(FIRE1120_raw!R17,0)</f>
        <v>14</v>
      </c>
      <c r="S17" s="19">
        <f ca="1">ROUND(FIRE1120_raw!S17,0)</f>
        <v>10</v>
      </c>
      <c r="T17" s="20">
        <f t="shared" ca="1" si="5"/>
        <v>0.41666666666666669</v>
      </c>
      <c r="U17" s="19"/>
      <c r="V17" s="14">
        <f t="shared" ca="1" si="6"/>
        <v>82</v>
      </c>
      <c r="W17" s="14">
        <f t="shared" ca="1" si="6"/>
        <v>16</v>
      </c>
      <c r="X17" s="20">
        <f t="shared" ca="1" si="7"/>
        <v>0.16326530612244897</v>
      </c>
      <c r="Y17" s="16"/>
      <c r="Z17" s="16"/>
      <c r="AA17" s="16"/>
      <c r="AB17" s="16"/>
      <c r="AC17" s="16"/>
      <c r="AD17" s="16"/>
      <c r="AE17" s="16"/>
      <c r="AF17" s="16"/>
      <c r="AG17" s="16"/>
    </row>
    <row r="18" spans="1:33" s="6" customFormat="1" ht="15" customHeight="1" x14ac:dyDescent="0.35">
      <c r="A18" s="5" t="s">
        <v>20</v>
      </c>
      <c r="B18" s="19">
        <f ca="1">ROUND(FIRE1120_raw!B18,0)</f>
        <v>7</v>
      </c>
      <c r="C18" s="19">
        <f ca="1">ROUND(FIRE1120_raw!C18,0)</f>
        <v>1</v>
      </c>
      <c r="D18" s="20">
        <f t="shared" ca="1" si="0"/>
        <v>0.125</v>
      </c>
      <c r="E18" s="19"/>
      <c r="F18" s="19">
        <f ca="1">ROUND(FIRE1120_raw!F18,0)</f>
        <v>17</v>
      </c>
      <c r="G18" s="19">
        <f ca="1">ROUND(FIRE1120_raw!G18,0)</f>
        <v>0</v>
      </c>
      <c r="H18" s="20">
        <f t="shared" ca="1" si="1"/>
        <v>0</v>
      </c>
      <c r="I18" s="19"/>
      <c r="J18" s="14">
        <f t="shared" ca="1" si="2"/>
        <v>24</v>
      </c>
      <c r="K18" s="14">
        <f t="shared" ca="1" si="2"/>
        <v>1</v>
      </c>
      <c r="L18" s="15">
        <f t="shared" ca="1" si="3"/>
        <v>0.04</v>
      </c>
      <c r="M18" s="19"/>
      <c r="N18" s="19">
        <f ca="1">ROUND(FIRE1120_raw!N18,0)</f>
        <v>0</v>
      </c>
      <c r="O18" s="19">
        <f ca="1">ROUND(FIRE1120_raw!O18,0)</f>
        <v>0</v>
      </c>
      <c r="P18" s="20" t="str">
        <f t="shared" ca="1" si="4"/>
        <v>-</v>
      </c>
      <c r="Q18" s="19"/>
      <c r="R18" s="19">
        <f ca="1">ROUND(FIRE1120_raw!R18,0)</f>
        <v>5</v>
      </c>
      <c r="S18" s="19">
        <f ca="1">ROUND(FIRE1120_raw!S18,0)</f>
        <v>0</v>
      </c>
      <c r="T18" s="20">
        <f t="shared" ca="1" si="5"/>
        <v>0</v>
      </c>
      <c r="U18" s="19"/>
      <c r="V18" s="14">
        <f t="shared" ca="1" si="6"/>
        <v>29</v>
      </c>
      <c r="W18" s="14">
        <f t="shared" ca="1" si="6"/>
        <v>1</v>
      </c>
      <c r="X18" s="20">
        <f t="shared" ca="1" si="7"/>
        <v>3.3333333333333333E-2</v>
      </c>
      <c r="Y18" s="16"/>
      <c r="Z18" s="16"/>
      <c r="AA18" s="16"/>
      <c r="AB18" s="16"/>
      <c r="AC18" s="16"/>
      <c r="AD18" s="16"/>
      <c r="AE18" s="16"/>
      <c r="AF18" s="16"/>
      <c r="AG18" s="16"/>
    </row>
    <row r="19" spans="1:33" s="6" customFormat="1" ht="15" customHeight="1" x14ac:dyDescent="0.35">
      <c r="A19" s="21" t="s">
        <v>21</v>
      </c>
      <c r="B19" s="19">
        <f ca="1">ROUND(FIRE1120_raw!B19,0)</f>
        <v>23</v>
      </c>
      <c r="C19" s="19">
        <f ca="1">ROUND(FIRE1120_raw!C19,0)</f>
        <v>8</v>
      </c>
      <c r="D19" s="20">
        <f t="shared" ca="1" si="0"/>
        <v>0.25806451612903225</v>
      </c>
      <c r="E19" s="19"/>
      <c r="F19" s="19">
        <f ca="1">ROUND(FIRE1120_raw!F19,0)</f>
        <v>25</v>
      </c>
      <c r="G19" s="19">
        <f ca="1">ROUND(FIRE1120_raw!G19,0)</f>
        <v>5</v>
      </c>
      <c r="H19" s="20">
        <f t="shared" ca="1" si="1"/>
        <v>0.16666666666666666</v>
      </c>
      <c r="I19" s="19"/>
      <c r="J19" s="14">
        <f t="shared" ca="1" si="2"/>
        <v>48</v>
      </c>
      <c r="K19" s="14">
        <f t="shared" ca="1" si="2"/>
        <v>13</v>
      </c>
      <c r="L19" s="15">
        <f t="shared" ca="1" si="3"/>
        <v>0.21311475409836064</v>
      </c>
      <c r="M19" s="19"/>
      <c r="N19" s="19">
        <f ca="1">ROUND(FIRE1120_raw!N19,0)</f>
        <v>0</v>
      </c>
      <c r="O19" s="19">
        <f ca="1">ROUND(FIRE1120_raw!O19,0)</f>
        <v>0</v>
      </c>
      <c r="P19" s="20" t="str">
        <f t="shared" ca="1" si="4"/>
        <v>-</v>
      </c>
      <c r="Q19" s="19"/>
      <c r="R19" s="19">
        <f ca="1">ROUND(FIRE1120_raw!R19,0)</f>
        <v>9</v>
      </c>
      <c r="S19" s="19">
        <f ca="1">ROUND(FIRE1120_raw!S19,0)</f>
        <v>21</v>
      </c>
      <c r="T19" s="20">
        <f t="shared" ca="1" si="5"/>
        <v>0.7</v>
      </c>
      <c r="U19" s="19"/>
      <c r="V19" s="14">
        <f t="shared" ca="1" si="6"/>
        <v>57</v>
      </c>
      <c r="W19" s="14">
        <f t="shared" ca="1" si="6"/>
        <v>34</v>
      </c>
      <c r="X19" s="20">
        <f t="shared" ca="1" si="7"/>
        <v>0.37362637362637363</v>
      </c>
      <c r="Y19" s="16"/>
      <c r="Z19" s="16"/>
      <c r="AA19" s="16"/>
      <c r="AB19" s="16"/>
      <c r="AC19" s="16"/>
      <c r="AD19" s="16"/>
      <c r="AE19" s="16"/>
      <c r="AF19" s="16"/>
      <c r="AG19" s="16"/>
    </row>
    <row r="20" spans="1:33" s="6" customFormat="1" ht="15" customHeight="1" x14ac:dyDescent="0.35">
      <c r="A20" s="21" t="s">
        <v>22</v>
      </c>
      <c r="B20" s="19">
        <f ca="1">ROUND(FIRE1120_raw!B20,0)</f>
        <v>8</v>
      </c>
      <c r="C20" s="19">
        <f ca="1">ROUND(FIRE1120_raw!C20,0)</f>
        <v>0</v>
      </c>
      <c r="D20" s="20">
        <f t="shared" ca="1" si="0"/>
        <v>0</v>
      </c>
      <c r="E20" s="19"/>
      <c r="F20" s="19">
        <f ca="1">ROUND(FIRE1120_raw!F20,0)</f>
        <v>112</v>
      </c>
      <c r="G20" s="19">
        <f ca="1">ROUND(FIRE1120_raw!G20,0)</f>
        <v>17</v>
      </c>
      <c r="H20" s="20">
        <f t="shared" ca="1" si="1"/>
        <v>0.13178294573643412</v>
      </c>
      <c r="I20" s="19"/>
      <c r="J20" s="14">
        <f t="shared" ca="1" si="2"/>
        <v>120</v>
      </c>
      <c r="K20" s="14">
        <f t="shared" ca="1" si="2"/>
        <v>17</v>
      </c>
      <c r="L20" s="15">
        <f t="shared" ca="1" si="3"/>
        <v>0.12408759124087591</v>
      </c>
      <c r="M20" s="19"/>
      <c r="N20" s="19">
        <f ca="1">ROUND(FIRE1120_raw!N20,0)</f>
        <v>0</v>
      </c>
      <c r="O20" s="19">
        <f ca="1">ROUND(FIRE1120_raw!O20,0)</f>
        <v>0</v>
      </c>
      <c r="P20" s="20" t="str">
        <f t="shared" ca="1" si="4"/>
        <v>-</v>
      </c>
      <c r="Q20" s="19"/>
      <c r="R20" s="19">
        <f ca="1">ROUND(FIRE1120_raw!R20,0)</f>
        <v>15</v>
      </c>
      <c r="S20" s="19">
        <f ca="1">ROUND(FIRE1120_raw!S20,0)</f>
        <v>12</v>
      </c>
      <c r="T20" s="20">
        <f t="shared" ca="1" si="5"/>
        <v>0.44444444444444442</v>
      </c>
      <c r="U20" s="19"/>
      <c r="V20" s="14">
        <f t="shared" ca="1" si="6"/>
        <v>135</v>
      </c>
      <c r="W20" s="14">
        <f t="shared" ca="1" si="6"/>
        <v>29</v>
      </c>
      <c r="X20" s="20">
        <f t="shared" ca="1" si="7"/>
        <v>0.17682926829268292</v>
      </c>
      <c r="Y20" s="16"/>
      <c r="Z20" s="16"/>
      <c r="AA20" s="16"/>
      <c r="AB20" s="16"/>
      <c r="AC20" s="16"/>
      <c r="AD20" s="16"/>
      <c r="AE20" s="16"/>
      <c r="AF20" s="16"/>
      <c r="AG20" s="16"/>
    </row>
    <row r="21" spans="1:33" s="6" customFormat="1" ht="15" customHeight="1" x14ac:dyDescent="0.35">
      <c r="A21" s="5" t="s">
        <v>23</v>
      </c>
      <c r="B21" s="19">
        <f ca="1">ROUND(FIRE1120_raw!B21,0)</f>
        <v>26</v>
      </c>
      <c r="C21" s="19">
        <f ca="1">ROUND(FIRE1120_raw!C21,0)</f>
        <v>5</v>
      </c>
      <c r="D21" s="20">
        <f t="shared" ca="1" si="0"/>
        <v>0.16129032258064516</v>
      </c>
      <c r="E21" s="19"/>
      <c r="F21" s="19">
        <f ca="1">ROUND(FIRE1120_raw!F21,0)</f>
        <v>62</v>
      </c>
      <c r="G21" s="19">
        <f ca="1">ROUND(FIRE1120_raw!G21,0)</f>
        <v>5</v>
      </c>
      <c r="H21" s="20">
        <f t="shared" ca="1" si="1"/>
        <v>7.4626865671641784E-2</v>
      </c>
      <c r="I21" s="19"/>
      <c r="J21" s="14">
        <f t="shared" ca="1" si="2"/>
        <v>88</v>
      </c>
      <c r="K21" s="14">
        <f t="shared" ca="1" si="2"/>
        <v>10</v>
      </c>
      <c r="L21" s="15">
        <f t="shared" ca="1" si="3"/>
        <v>0.10204081632653061</v>
      </c>
      <c r="M21" s="19"/>
      <c r="N21" s="19">
        <f ca="1">ROUND(FIRE1120_raw!N21,0)</f>
        <v>0</v>
      </c>
      <c r="O21" s="19">
        <f ca="1">ROUND(FIRE1120_raw!O21,0)</f>
        <v>0</v>
      </c>
      <c r="P21" s="20" t="str">
        <f t="shared" ca="1" si="4"/>
        <v>-</v>
      </c>
      <c r="Q21" s="19"/>
      <c r="R21" s="19">
        <f ca="1">ROUND(FIRE1120_raw!R21,0)</f>
        <v>23</v>
      </c>
      <c r="S21" s="19">
        <f ca="1">ROUND(FIRE1120_raw!S21,0)</f>
        <v>33</v>
      </c>
      <c r="T21" s="20">
        <f t="shared" ca="1" si="5"/>
        <v>0.5892857142857143</v>
      </c>
      <c r="U21" s="19"/>
      <c r="V21" s="14">
        <f t="shared" ca="1" si="6"/>
        <v>111</v>
      </c>
      <c r="W21" s="14">
        <f t="shared" ca="1" si="6"/>
        <v>43</v>
      </c>
      <c r="X21" s="20">
        <f t="shared" ca="1" si="7"/>
        <v>0.2792207792207792</v>
      </c>
      <c r="Y21" s="16"/>
      <c r="Z21" s="16"/>
      <c r="AA21" s="16"/>
      <c r="AB21" s="16"/>
      <c r="AC21" s="16"/>
      <c r="AD21" s="16"/>
      <c r="AE21" s="16"/>
      <c r="AF21" s="16"/>
      <c r="AG21" s="16"/>
    </row>
    <row r="22" spans="1:33" s="6" customFormat="1" ht="15" customHeight="1" x14ac:dyDescent="0.35">
      <c r="A22" s="5" t="s">
        <v>24</v>
      </c>
      <c r="B22" s="19">
        <f ca="1">ROUND(FIRE1120_raw!B22,0)</f>
        <v>0</v>
      </c>
      <c r="C22" s="19">
        <f ca="1">ROUND(FIRE1120_raw!C22,0)</f>
        <v>0</v>
      </c>
      <c r="D22" s="20" t="str">
        <f t="shared" ca="1" si="0"/>
        <v>-</v>
      </c>
      <c r="E22" s="19"/>
      <c r="F22" s="19">
        <f ca="1">ROUND(FIRE1120_raw!F22,0)</f>
        <v>22</v>
      </c>
      <c r="G22" s="19">
        <f ca="1">ROUND(FIRE1120_raw!G22,0)</f>
        <v>0</v>
      </c>
      <c r="H22" s="20">
        <f t="shared" ca="1" si="1"/>
        <v>0</v>
      </c>
      <c r="I22" s="19"/>
      <c r="J22" s="14">
        <f t="shared" ca="1" si="2"/>
        <v>22</v>
      </c>
      <c r="K22" s="14">
        <f t="shared" ca="1" si="2"/>
        <v>0</v>
      </c>
      <c r="L22" s="15">
        <f t="shared" ca="1" si="3"/>
        <v>0</v>
      </c>
      <c r="M22" s="19"/>
      <c r="N22" s="19">
        <f ca="1">ROUND(FIRE1120_raw!N22,0)</f>
        <v>0</v>
      </c>
      <c r="O22" s="19">
        <f ca="1">ROUND(FIRE1120_raw!O22,0)</f>
        <v>0</v>
      </c>
      <c r="P22" s="20" t="str">
        <f t="shared" ca="1" si="4"/>
        <v>-</v>
      </c>
      <c r="Q22" s="19"/>
      <c r="R22" s="19">
        <f ca="1">ROUND(FIRE1120_raw!R22,0)</f>
        <v>4</v>
      </c>
      <c r="S22" s="19">
        <f ca="1">ROUND(FIRE1120_raw!S22,0)</f>
        <v>7</v>
      </c>
      <c r="T22" s="20">
        <f t="shared" ca="1" si="5"/>
        <v>0.63636363636363635</v>
      </c>
      <c r="U22" s="19"/>
      <c r="V22" s="14">
        <f t="shared" ca="1" si="6"/>
        <v>26</v>
      </c>
      <c r="W22" s="14">
        <f t="shared" ca="1" si="6"/>
        <v>7</v>
      </c>
      <c r="X22" s="20">
        <f t="shared" ca="1" si="7"/>
        <v>0.21212121212121213</v>
      </c>
      <c r="Y22" s="16"/>
      <c r="Z22" s="16"/>
      <c r="AA22" s="16"/>
      <c r="AB22" s="16"/>
      <c r="AC22" s="16"/>
      <c r="AD22" s="16"/>
      <c r="AE22" s="16"/>
      <c r="AF22" s="16"/>
      <c r="AG22" s="16"/>
    </row>
    <row r="23" spans="1:33" s="6" customFormat="1" ht="15" customHeight="1" x14ac:dyDescent="0.35">
      <c r="A23" s="5" t="s">
        <v>25</v>
      </c>
      <c r="B23" s="19">
        <f ca="1">ROUND(FIRE1120_raw!B23,0)</f>
        <v>1</v>
      </c>
      <c r="C23" s="19">
        <f ca="1">ROUND(FIRE1120_raw!C23,0)</f>
        <v>1</v>
      </c>
      <c r="D23" s="20">
        <f t="shared" ca="1" si="0"/>
        <v>0.5</v>
      </c>
      <c r="E23" s="19"/>
      <c r="F23" s="19">
        <f ca="1">ROUND(FIRE1120_raw!F23,0)</f>
        <v>25</v>
      </c>
      <c r="G23" s="19">
        <f ca="1">ROUND(FIRE1120_raw!G23,0)</f>
        <v>2</v>
      </c>
      <c r="H23" s="20">
        <f t="shared" ca="1" si="1"/>
        <v>7.407407407407407E-2</v>
      </c>
      <c r="I23" s="19"/>
      <c r="J23" s="14">
        <f t="shared" ca="1" si="2"/>
        <v>26</v>
      </c>
      <c r="K23" s="14">
        <f t="shared" ca="1" si="2"/>
        <v>3</v>
      </c>
      <c r="L23" s="15">
        <f t="shared" ca="1" si="3"/>
        <v>0.10344827586206896</v>
      </c>
      <c r="M23" s="19"/>
      <c r="N23" s="19">
        <f ca="1">ROUND(FIRE1120_raw!N23,0)</f>
        <v>1</v>
      </c>
      <c r="O23" s="19">
        <f ca="1">ROUND(FIRE1120_raw!O23,0)</f>
        <v>1</v>
      </c>
      <c r="P23" s="20">
        <f t="shared" ca="1" si="4"/>
        <v>0.5</v>
      </c>
      <c r="Q23" s="19"/>
      <c r="R23" s="19">
        <f ca="1">ROUND(FIRE1120_raw!R23,0)</f>
        <v>8</v>
      </c>
      <c r="S23" s="19">
        <f ca="1">ROUND(FIRE1120_raw!S23,0)</f>
        <v>18</v>
      </c>
      <c r="T23" s="20">
        <f t="shared" ca="1" si="5"/>
        <v>0.69230769230769229</v>
      </c>
      <c r="U23" s="19"/>
      <c r="V23" s="14">
        <f t="shared" ca="1" si="6"/>
        <v>35</v>
      </c>
      <c r="W23" s="14">
        <f t="shared" ca="1" si="6"/>
        <v>22</v>
      </c>
      <c r="X23" s="20">
        <f t="shared" ca="1" si="7"/>
        <v>0.38596491228070173</v>
      </c>
      <c r="Y23" s="16"/>
      <c r="Z23" s="16"/>
      <c r="AA23" s="16"/>
      <c r="AB23" s="16"/>
      <c r="AC23" s="16"/>
      <c r="AD23" s="16"/>
      <c r="AE23" s="16"/>
      <c r="AF23" s="16"/>
      <c r="AG23" s="16"/>
    </row>
    <row r="24" spans="1:33" s="6" customFormat="1" ht="15" customHeight="1" x14ac:dyDescent="0.35">
      <c r="A24" s="5" t="s">
        <v>26</v>
      </c>
      <c r="B24" s="19">
        <f ca="1">ROUND(FIRE1120_raw!B24,0)</f>
        <v>53</v>
      </c>
      <c r="C24" s="19">
        <f ca="1">ROUND(FIRE1120_raw!C24,0)</f>
        <v>4</v>
      </c>
      <c r="D24" s="20">
        <f t="shared" ca="1" si="0"/>
        <v>7.0175438596491224E-2</v>
      </c>
      <c r="E24" s="19"/>
      <c r="F24" s="19">
        <f ca="1">ROUND(FIRE1120_raw!F24,0)</f>
        <v>60</v>
      </c>
      <c r="G24" s="19">
        <f ca="1">ROUND(FIRE1120_raw!G24,0)</f>
        <v>2</v>
      </c>
      <c r="H24" s="20">
        <f t="shared" ca="1" si="1"/>
        <v>3.2258064516129031E-2</v>
      </c>
      <c r="I24" s="19"/>
      <c r="J24" s="14">
        <f t="shared" ca="1" si="2"/>
        <v>113</v>
      </c>
      <c r="K24" s="14">
        <f t="shared" ca="1" si="2"/>
        <v>6</v>
      </c>
      <c r="L24" s="15">
        <f t="shared" ca="1" si="3"/>
        <v>5.0420168067226892E-2</v>
      </c>
      <c r="M24" s="19"/>
      <c r="N24" s="19">
        <f ca="1">ROUND(FIRE1120_raw!N24,0)</f>
        <v>0</v>
      </c>
      <c r="O24" s="19">
        <f ca="1">ROUND(FIRE1120_raw!O24,0)</f>
        <v>3</v>
      </c>
      <c r="P24" s="20">
        <f t="shared" ca="1" si="4"/>
        <v>1</v>
      </c>
      <c r="Q24" s="19"/>
      <c r="R24" s="19">
        <f ca="1">ROUND(FIRE1120_raw!R24,0)</f>
        <v>16</v>
      </c>
      <c r="S24" s="19">
        <f ca="1">ROUND(FIRE1120_raw!S24,0)</f>
        <v>15</v>
      </c>
      <c r="T24" s="20">
        <f t="shared" ca="1" si="5"/>
        <v>0.4838709677419355</v>
      </c>
      <c r="U24" s="19"/>
      <c r="V24" s="14">
        <f t="shared" ca="1" si="6"/>
        <v>129</v>
      </c>
      <c r="W24" s="14">
        <f t="shared" ca="1" si="6"/>
        <v>24</v>
      </c>
      <c r="X24" s="20">
        <f t="shared" ca="1" si="7"/>
        <v>0.15686274509803921</v>
      </c>
      <c r="Y24" s="16"/>
      <c r="Z24" s="16"/>
      <c r="AA24" s="16"/>
      <c r="AB24" s="16"/>
      <c r="AC24" s="16"/>
      <c r="AD24" s="16"/>
      <c r="AE24" s="16"/>
      <c r="AF24" s="16"/>
      <c r="AG24" s="16"/>
    </row>
    <row r="25" spans="1:33" s="6" customFormat="1" ht="15" customHeight="1" x14ac:dyDescent="0.35">
      <c r="A25" s="5" t="s">
        <v>27</v>
      </c>
      <c r="B25" s="19">
        <f ca="1">ROUND(FIRE1120_raw!B25,0)</f>
        <v>7</v>
      </c>
      <c r="C25" s="19">
        <f ca="1">ROUND(FIRE1120_raw!C25,0)</f>
        <v>0</v>
      </c>
      <c r="D25" s="20">
        <f t="shared" ca="1" si="0"/>
        <v>0</v>
      </c>
      <c r="E25" s="19"/>
      <c r="F25" s="19">
        <f ca="1">ROUND(FIRE1120_raw!F25,0)</f>
        <v>42</v>
      </c>
      <c r="G25" s="19">
        <f ca="1">ROUND(FIRE1120_raw!G25,0)</f>
        <v>9</v>
      </c>
      <c r="H25" s="20">
        <f t="shared" ca="1" si="1"/>
        <v>0.17647058823529413</v>
      </c>
      <c r="I25" s="19"/>
      <c r="J25" s="14">
        <f t="shared" ca="1" si="2"/>
        <v>49</v>
      </c>
      <c r="K25" s="14">
        <f t="shared" ca="1" si="2"/>
        <v>9</v>
      </c>
      <c r="L25" s="15">
        <f t="shared" ca="1" si="3"/>
        <v>0.15517241379310345</v>
      </c>
      <c r="M25" s="19"/>
      <c r="N25" s="19">
        <f ca="1">ROUND(FIRE1120_raw!N25,0)</f>
        <v>0</v>
      </c>
      <c r="O25" s="19">
        <f ca="1">ROUND(FIRE1120_raw!O25,0)</f>
        <v>0</v>
      </c>
      <c r="P25" s="20" t="str">
        <f t="shared" ca="1" si="4"/>
        <v>-</v>
      </c>
      <c r="Q25" s="19"/>
      <c r="R25" s="19">
        <f ca="1">ROUND(FIRE1120_raw!R25,0)</f>
        <v>5</v>
      </c>
      <c r="S25" s="19">
        <f ca="1">ROUND(FIRE1120_raw!S25,0)</f>
        <v>0</v>
      </c>
      <c r="T25" s="20">
        <f t="shared" ca="1" si="5"/>
        <v>0</v>
      </c>
      <c r="U25" s="19"/>
      <c r="V25" s="14">
        <f t="shared" ca="1" si="6"/>
        <v>54</v>
      </c>
      <c r="W25" s="14">
        <f t="shared" ca="1" si="6"/>
        <v>9</v>
      </c>
      <c r="X25" s="20">
        <f t="shared" ca="1" si="7"/>
        <v>0.14285714285714285</v>
      </c>
      <c r="Y25" s="16"/>
      <c r="Z25" s="16"/>
      <c r="AA25" s="16"/>
      <c r="AB25" s="16"/>
      <c r="AC25" s="16"/>
      <c r="AD25" s="16"/>
      <c r="AE25" s="16"/>
      <c r="AF25" s="16"/>
      <c r="AG25" s="16"/>
    </row>
    <row r="26" spans="1:33" s="6" customFormat="1" ht="15" customHeight="1" x14ac:dyDescent="0.35">
      <c r="A26" s="5" t="s">
        <v>28</v>
      </c>
      <c r="B26" s="19">
        <f ca="1">ROUND(FIRE1120_raw!B26,0)</f>
        <v>5</v>
      </c>
      <c r="C26" s="19">
        <f ca="1">ROUND(FIRE1120_raw!C26,0)</f>
        <v>54</v>
      </c>
      <c r="D26" s="20">
        <f t="shared" ca="1" si="0"/>
        <v>0.9152542372881356</v>
      </c>
      <c r="E26" s="19"/>
      <c r="F26" s="19">
        <f ca="1">ROUND(FIRE1120_raw!F26,0)</f>
        <v>16</v>
      </c>
      <c r="G26" s="19">
        <f ca="1">ROUND(FIRE1120_raw!G26,0)</f>
        <v>94</v>
      </c>
      <c r="H26" s="20">
        <f t="shared" ca="1" si="1"/>
        <v>0.8545454545454545</v>
      </c>
      <c r="I26" s="19"/>
      <c r="J26" s="14">
        <f t="shared" ca="1" si="2"/>
        <v>21</v>
      </c>
      <c r="K26" s="14">
        <f t="shared" ca="1" si="2"/>
        <v>148</v>
      </c>
      <c r="L26" s="15">
        <f t="shared" ca="1" si="3"/>
        <v>0.87573964497041423</v>
      </c>
      <c r="M26" s="19"/>
      <c r="N26" s="19">
        <f ca="1">ROUND(FIRE1120_raw!N26,0)</f>
        <v>3</v>
      </c>
      <c r="O26" s="19">
        <f ca="1">ROUND(FIRE1120_raw!O26,0)</f>
        <v>0</v>
      </c>
      <c r="P26" s="20">
        <f t="shared" ca="1" si="4"/>
        <v>0</v>
      </c>
      <c r="Q26" s="19"/>
      <c r="R26" s="19">
        <f ca="1">ROUND(FIRE1120_raw!R26,0)</f>
        <v>17</v>
      </c>
      <c r="S26" s="19">
        <f ca="1">ROUND(FIRE1120_raw!S26,0)</f>
        <v>11</v>
      </c>
      <c r="T26" s="20">
        <f t="shared" ca="1" si="5"/>
        <v>0.39285714285714285</v>
      </c>
      <c r="U26" s="19"/>
      <c r="V26" s="14">
        <f t="shared" ca="1" si="6"/>
        <v>41</v>
      </c>
      <c r="W26" s="14">
        <f t="shared" ca="1" si="6"/>
        <v>159</v>
      </c>
      <c r="X26" s="20">
        <f t="shared" ca="1" si="7"/>
        <v>0.79500000000000004</v>
      </c>
      <c r="Y26" s="16"/>
      <c r="Z26" s="16"/>
      <c r="AA26" s="16"/>
      <c r="AB26" s="16"/>
      <c r="AC26" s="16"/>
      <c r="AD26" s="16"/>
      <c r="AE26" s="16"/>
      <c r="AF26" s="16"/>
      <c r="AG26" s="16"/>
    </row>
    <row r="27" spans="1:33" s="6" customFormat="1" ht="15" customHeight="1" x14ac:dyDescent="0.35">
      <c r="A27" s="5" t="s">
        <v>29</v>
      </c>
      <c r="B27" s="19">
        <f ca="1">ROUND(FIRE1120_raw!B27,0)</f>
        <v>21</v>
      </c>
      <c r="C27" s="19">
        <f ca="1">ROUND(FIRE1120_raw!C27,0)</f>
        <v>4</v>
      </c>
      <c r="D27" s="20">
        <f t="shared" ca="1" si="0"/>
        <v>0.16</v>
      </c>
      <c r="E27" s="19"/>
      <c r="F27" s="19">
        <f ca="1">ROUND(FIRE1120_raw!F27,0)</f>
        <v>58</v>
      </c>
      <c r="G27" s="19">
        <f ca="1">ROUND(FIRE1120_raw!G27,0)</f>
        <v>5</v>
      </c>
      <c r="H27" s="20">
        <f t="shared" ca="1" si="1"/>
        <v>7.9365079365079361E-2</v>
      </c>
      <c r="I27" s="19"/>
      <c r="J27" s="14">
        <f t="shared" ca="1" si="2"/>
        <v>79</v>
      </c>
      <c r="K27" s="14">
        <f t="shared" ca="1" si="2"/>
        <v>9</v>
      </c>
      <c r="L27" s="15">
        <f t="shared" ca="1" si="3"/>
        <v>0.10227272727272728</v>
      </c>
      <c r="M27" s="19"/>
      <c r="N27" s="19">
        <f ca="1">ROUND(FIRE1120_raw!N27,0)</f>
        <v>2</v>
      </c>
      <c r="O27" s="19">
        <f ca="1">ROUND(FIRE1120_raw!O27,0)</f>
        <v>0</v>
      </c>
      <c r="P27" s="20">
        <f t="shared" ca="1" si="4"/>
        <v>0</v>
      </c>
      <c r="Q27" s="19"/>
      <c r="R27" s="19">
        <f ca="1">ROUND(FIRE1120_raw!R27,0)</f>
        <v>15</v>
      </c>
      <c r="S27" s="19">
        <f ca="1">ROUND(FIRE1120_raw!S27,0)</f>
        <v>10</v>
      </c>
      <c r="T27" s="20">
        <f t="shared" ca="1" si="5"/>
        <v>0.4</v>
      </c>
      <c r="U27" s="19"/>
      <c r="V27" s="14">
        <f t="shared" ca="1" si="6"/>
        <v>96</v>
      </c>
      <c r="W27" s="14">
        <f t="shared" ca="1" si="6"/>
        <v>19</v>
      </c>
      <c r="X27" s="20">
        <f t="shared" ca="1" si="7"/>
        <v>0.16521739130434782</v>
      </c>
      <c r="Y27" s="16"/>
      <c r="Z27" s="16"/>
      <c r="AA27" s="16"/>
      <c r="AB27" s="16"/>
      <c r="AC27" s="16"/>
      <c r="AD27" s="16"/>
      <c r="AE27" s="16"/>
      <c r="AF27" s="16"/>
      <c r="AG27" s="16"/>
    </row>
    <row r="28" spans="1:33" s="6" customFormat="1" ht="15" customHeight="1" x14ac:dyDescent="0.35">
      <c r="A28" s="5" t="s">
        <v>30</v>
      </c>
      <c r="B28" s="19">
        <f ca="1">ROUND(FIRE1120_raw!B28,0)</f>
        <v>22</v>
      </c>
      <c r="C28" s="19">
        <f ca="1">ROUND(FIRE1120_raw!C28,0)</f>
        <v>4</v>
      </c>
      <c r="D28" s="20">
        <f t="shared" ca="1" si="0"/>
        <v>0.15384615384615385</v>
      </c>
      <c r="E28" s="19"/>
      <c r="F28" s="19">
        <f ca="1">ROUND(FIRE1120_raw!F28,0)</f>
        <v>20</v>
      </c>
      <c r="G28" s="19">
        <f ca="1">ROUND(FIRE1120_raw!G28,0)</f>
        <v>2</v>
      </c>
      <c r="H28" s="20">
        <f t="shared" ca="1" si="1"/>
        <v>9.0909090909090912E-2</v>
      </c>
      <c r="I28" s="19"/>
      <c r="J28" s="14">
        <f t="shared" ca="1" si="2"/>
        <v>42</v>
      </c>
      <c r="K28" s="14">
        <f t="shared" ca="1" si="2"/>
        <v>6</v>
      </c>
      <c r="L28" s="15">
        <f t="shared" ca="1" si="3"/>
        <v>0.125</v>
      </c>
      <c r="M28" s="19"/>
      <c r="N28" s="19">
        <f ca="1">ROUND(FIRE1120_raw!N28,0)</f>
        <v>0</v>
      </c>
      <c r="O28" s="19">
        <f ca="1">ROUND(FIRE1120_raw!O28,0)</f>
        <v>0</v>
      </c>
      <c r="P28" s="20" t="str">
        <f t="shared" ca="1" si="4"/>
        <v>-</v>
      </c>
      <c r="Q28" s="19"/>
      <c r="R28" s="19">
        <f ca="1">ROUND(FIRE1120_raw!R28,0)</f>
        <v>6</v>
      </c>
      <c r="S28" s="19">
        <f ca="1">ROUND(FIRE1120_raw!S28,0)</f>
        <v>6</v>
      </c>
      <c r="T28" s="20">
        <f t="shared" ca="1" si="5"/>
        <v>0.5</v>
      </c>
      <c r="U28" s="19"/>
      <c r="V28" s="14">
        <f t="shared" ca="1" si="6"/>
        <v>48</v>
      </c>
      <c r="W28" s="14">
        <f t="shared" ca="1" si="6"/>
        <v>12</v>
      </c>
      <c r="X28" s="20">
        <f t="shared" ca="1" si="7"/>
        <v>0.2</v>
      </c>
      <c r="Y28" s="16"/>
      <c r="Z28" s="16"/>
      <c r="AA28" s="16"/>
      <c r="AB28" s="16"/>
      <c r="AC28" s="16"/>
      <c r="AD28" s="16"/>
      <c r="AE28" s="16"/>
      <c r="AF28" s="16"/>
      <c r="AG28" s="16"/>
    </row>
    <row r="29" spans="1:33" s="6" customFormat="1" ht="15" customHeight="1" x14ac:dyDescent="0.35">
      <c r="A29" s="5" t="s">
        <v>31</v>
      </c>
      <c r="B29" s="19">
        <f ca="1">ROUND(FIRE1120_raw!B29,0)</f>
        <v>15</v>
      </c>
      <c r="C29" s="19">
        <f ca="1">ROUND(FIRE1120_raw!C29,0)</f>
        <v>7</v>
      </c>
      <c r="D29" s="20">
        <f t="shared" ca="1" si="0"/>
        <v>0.31818181818181818</v>
      </c>
      <c r="E29" s="19"/>
      <c r="F29" s="19">
        <f ca="1">ROUND(FIRE1120_raw!F29,0)</f>
        <v>26</v>
      </c>
      <c r="G29" s="19">
        <f ca="1">ROUND(FIRE1120_raw!G29,0)</f>
        <v>5</v>
      </c>
      <c r="H29" s="20">
        <f t="shared" ca="1" si="1"/>
        <v>0.16129032258064516</v>
      </c>
      <c r="I29" s="19"/>
      <c r="J29" s="14">
        <f t="shared" ca="1" si="2"/>
        <v>41</v>
      </c>
      <c r="K29" s="14">
        <f t="shared" ca="1" si="2"/>
        <v>12</v>
      </c>
      <c r="L29" s="15">
        <f t="shared" ca="1" si="3"/>
        <v>0.22641509433962265</v>
      </c>
      <c r="M29" s="19"/>
      <c r="N29" s="19">
        <f ca="1">ROUND(FIRE1120_raw!N29,0)</f>
        <v>0</v>
      </c>
      <c r="O29" s="19">
        <f ca="1">ROUND(FIRE1120_raw!O29,0)</f>
        <v>4</v>
      </c>
      <c r="P29" s="20">
        <f t="shared" ca="1" si="4"/>
        <v>1</v>
      </c>
      <c r="Q29" s="19"/>
      <c r="R29" s="19">
        <f ca="1">ROUND(FIRE1120_raw!R29,0)</f>
        <v>5</v>
      </c>
      <c r="S29" s="19">
        <f ca="1">ROUND(FIRE1120_raw!S29,0)</f>
        <v>13</v>
      </c>
      <c r="T29" s="20">
        <f t="shared" ca="1" si="5"/>
        <v>0.72222222222222221</v>
      </c>
      <c r="U29" s="19"/>
      <c r="V29" s="14">
        <f t="shared" ca="1" si="6"/>
        <v>46</v>
      </c>
      <c r="W29" s="14">
        <f t="shared" ca="1" si="6"/>
        <v>29</v>
      </c>
      <c r="X29" s="20">
        <f t="shared" ca="1" si="7"/>
        <v>0.38666666666666666</v>
      </c>
      <c r="Y29" s="16"/>
      <c r="Z29" s="16"/>
      <c r="AA29" s="16"/>
      <c r="AB29" s="16"/>
      <c r="AC29" s="16"/>
      <c r="AD29" s="16"/>
      <c r="AE29" s="16"/>
      <c r="AF29" s="16"/>
      <c r="AG29" s="16"/>
    </row>
    <row r="30" spans="1:33" s="6" customFormat="1" ht="15" customHeight="1" x14ac:dyDescent="0.35">
      <c r="A30" s="5" t="s">
        <v>32</v>
      </c>
      <c r="B30" s="19">
        <f ca="1">ROUND(FIRE1120_raw!B30,0)</f>
        <v>0</v>
      </c>
      <c r="C30" s="19">
        <f ca="1">ROUND(FIRE1120_raw!C30,0)</f>
        <v>0</v>
      </c>
      <c r="D30" s="20" t="str">
        <f t="shared" ca="1" si="0"/>
        <v>-</v>
      </c>
      <c r="E30" s="19"/>
      <c r="F30" s="19">
        <f ca="1">ROUND(FIRE1120_raw!F30,0)</f>
        <v>9</v>
      </c>
      <c r="G30" s="19">
        <f ca="1">ROUND(FIRE1120_raw!G30,0)</f>
        <v>0</v>
      </c>
      <c r="H30" s="20">
        <f t="shared" ca="1" si="1"/>
        <v>0</v>
      </c>
      <c r="I30" s="19"/>
      <c r="J30" s="14">
        <f t="shared" ca="1" si="2"/>
        <v>9</v>
      </c>
      <c r="K30" s="14">
        <f t="shared" ca="1" si="2"/>
        <v>0</v>
      </c>
      <c r="L30" s="15">
        <f t="shared" ca="1" si="3"/>
        <v>0</v>
      </c>
      <c r="M30" s="19"/>
      <c r="N30" s="19">
        <f ca="1">ROUND(FIRE1120_raw!N30,0)</f>
        <v>0</v>
      </c>
      <c r="O30" s="19">
        <f ca="1">ROUND(FIRE1120_raw!O30,0)</f>
        <v>0</v>
      </c>
      <c r="P30" s="20" t="str">
        <f t="shared" ca="1" si="4"/>
        <v>-</v>
      </c>
      <c r="Q30" s="19"/>
      <c r="R30" s="19">
        <f ca="1">ROUND(FIRE1120_raw!R30,0)</f>
        <v>2</v>
      </c>
      <c r="S30" s="19">
        <f ca="1">ROUND(FIRE1120_raw!S30,0)</f>
        <v>0</v>
      </c>
      <c r="T30" s="20">
        <f t="shared" ca="1" si="5"/>
        <v>0</v>
      </c>
      <c r="U30" s="19"/>
      <c r="V30" s="14">
        <f t="shared" ca="1" si="6"/>
        <v>11</v>
      </c>
      <c r="W30" s="14">
        <f t="shared" ca="1" si="6"/>
        <v>0</v>
      </c>
      <c r="X30" s="20">
        <f t="shared" ca="1" si="7"/>
        <v>0</v>
      </c>
      <c r="Y30" s="16"/>
      <c r="Z30" s="16"/>
      <c r="AA30" s="16"/>
      <c r="AB30" s="16"/>
      <c r="AC30" s="16"/>
      <c r="AD30" s="16"/>
      <c r="AE30" s="16"/>
      <c r="AF30" s="16"/>
      <c r="AG30" s="16"/>
    </row>
    <row r="31" spans="1:33" s="6" customFormat="1" ht="15" customHeight="1" x14ac:dyDescent="0.35">
      <c r="A31" s="6" t="s">
        <v>33</v>
      </c>
      <c r="B31" s="19">
        <f ca="1">ROUND(FIRE1120_raw!B31,0)</f>
        <v>31</v>
      </c>
      <c r="C31" s="19">
        <f ca="1">ROUND(FIRE1120_raw!C31,0)</f>
        <v>2</v>
      </c>
      <c r="D31" s="20">
        <f t="shared" ca="1" si="0"/>
        <v>6.0606060606060608E-2</v>
      </c>
      <c r="E31" s="19"/>
      <c r="F31" s="19">
        <f ca="1">ROUND(FIRE1120_raw!F31,0)</f>
        <v>93</v>
      </c>
      <c r="G31" s="19">
        <f ca="1">ROUND(FIRE1120_raw!G31,0)</f>
        <v>9</v>
      </c>
      <c r="H31" s="20">
        <f t="shared" ca="1" si="1"/>
        <v>8.8235294117647065E-2</v>
      </c>
      <c r="I31" s="19"/>
      <c r="J31" s="14">
        <f t="shared" ca="1" si="2"/>
        <v>124</v>
      </c>
      <c r="K31" s="14">
        <f t="shared" ca="1" si="2"/>
        <v>11</v>
      </c>
      <c r="L31" s="15">
        <f t="shared" ca="1" si="3"/>
        <v>8.1481481481481488E-2</v>
      </c>
      <c r="M31" s="19"/>
      <c r="N31" s="19">
        <f ca="1">ROUND(FIRE1120_raw!N31,0)</f>
        <v>0</v>
      </c>
      <c r="O31" s="19">
        <f ca="1">ROUND(FIRE1120_raw!O31,0)</f>
        <v>1</v>
      </c>
      <c r="P31" s="20">
        <f t="shared" ca="1" si="4"/>
        <v>1</v>
      </c>
      <c r="Q31" s="19"/>
      <c r="R31" s="19">
        <f ca="1">ROUND(FIRE1120_raw!R31,0)</f>
        <v>22</v>
      </c>
      <c r="S31" s="19">
        <f ca="1">ROUND(FIRE1120_raw!S31,0)</f>
        <v>18</v>
      </c>
      <c r="T31" s="20">
        <f t="shared" ca="1" si="5"/>
        <v>0.45</v>
      </c>
      <c r="U31" s="19"/>
      <c r="V31" s="14">
        <f t="shared" ca="1" si="6"/>
        <v>146</v>
      </c>
      <c r="W31" s="14">
        <f t="shared" ca="1" si="6"/>
        <v>30</v>
      </c>
      <c r="X31" s="20">
        <f t="shared" ca="1" si="7"/>
        <v>0.17045454545454544</v>
      </c>
      <c r="Y31" s="16"/>
      <c r="Z31" s="16"/>
      <c r="AA31" s="16"/>
      <c r="AB31" s="16"/>
      <c r="AC31" s="16"/>
      <c r="AD31" s="16"/>
      <c r="AE31" s="16"/>
      <c r="AF31" s="16"/>
      <c r="AG31" s="16"/>
    </row>
    <row r="32" spans="1:33" s="6" customFormat="1" ht="15" customHeight="1" x14ac:dyDescent="0.35">
      <c r="A32" s="6" t="s">
        <v>34</v>
      </c>
      <c r="B32" s="19">
        <f ca="1">ROUND(FIRE1120_raw!B32,0)</f>
        <v>45</v>
      </c>
      <c r="C32" s="19">
        <f ca="1">ROUND(FIRE1120_raw!C32,0)</f>
        <v>10</v>
      </c>
      <c r="D32" s="20">
        <f t="shared" ca="1" si="0"/>
        <v>0.18181818181818182</v>
      </c>
      <c r="E32" s="19"/>
      <c r="F32" s="19">
        <f ca="1">ROUND(FIRE1120_raw!F32,0)</f>
        <v>64</v>
      </c>
      <c r="G32" s="19">
        <f ca="1">ROUND(FIRE1120_raw!G32,0)</f>
        <v>8</v>
      </c>
      <c r="H32" s="20">
        <f t="shared" ca="1" si="1"/>
        <v>0.1111111111111111</v>
      </c>
      <c r="I32" s="19"/>
      <c r="J32" s="14">
        <f t="shared" ca="1" si="2"/>
        <v>109</v>
      </c>
      <c r="K32" s="14">
        <f t="shared" ca="1" si="2"/>
        <v>18</v>
      </c>
      <c r="L32" s="15">
        <f t="shared" ca="1" si="3"/>
        <v>0.14173228346456693</v>
      </c>
      <c r="M32" s="19"/>
      <c r="N32" s="19">
        <f ca="1">ROUND(FIRE1120_raw!N32,0)</f>
        <v>0</v>
      </c>
      <c r="O32" s="19">
        <f ca="1">ROUND(FIRE1120_raw!O32,0)</f>
        <v>0</v>
      </c>
      <c r="P32" s="20" t="str">
        <f t="shared" ca="1" si="4"/>
        <v>-</v>
      </c>
      <c r="Q32" s="19"/>
      <c r="R32" s="19">
        <f ca="1">ROUND(FIRE1120_raw!R32,0)</f>
        <v>9</v>
      </c>
      <c r="S32" s="19">
        <f ca="1">ROUND(FIRE1120_raw!S32,0)</f>
        <v>13</v>
      </c>
      <c r="T32" s="20">
        <f t="shared" ca="1" si="5"/>
        <v>0.59090909090909094</v>
      </c>
      <c r="U32" s="19"/>
      <c r="V32" s="14">
        <f t="shared" ca="1" si="6"/>
        <v>118</v>
      </c>
      <c r="W32" s="14">
        <f t="shared" ca="1" si="6"/>
        <v>31</v>
      </c>
      <c r="X32" s="20">
        <f t="shared" ca="1" si="7"/>
        <v>0.20805369127516779</v>
      </c>
      <c r="Y32" s="16"/>
      <c r="Z32" s="16"/>
      <c r="AA32" s="16"/>
      <c r="AB32" s="16"/>
      <c r="AC32" s="16"/>
      <c r="AD32" s="16"/>
      <c r="AE32" s="16"/>
      <c r="AF32" s="16"/>
      <c r="AG32" s="16"/>
    </row>
    <row r="33" spans="1:33" s="6" customFormat="1" ht="15" customHeight="1" x14ac:dyDescent="0.35">
      <c r="A33" s="5" t="s">
        <v>35</v>
      </c>
      <c r="B33" s="19">
        <f ca="1">ROUND(FIRE1120_raw!B33,0)</f>
        <v>8</v>
      </c>
      <c r="C33" s="19">
        <f ca="1">ROUND(FIRE1120_raw!C33,0)</f>
        <v>0</v>
      </c>
      <c r="D33" s="20">
        <f t="shared" ca="1" si="0"/>
        <v>0</v>
      </c>
      <c r="E33" s="19"/>
      <c r="F33" s="19">
        <f ca="1">ROUND(FIRE1120_raw!F33,0)</f>
        <v>32</v>
      </c>
      <c r="G33" s="19">
        <f ca="1">ROUND(FIRE1120_raw!G33,0)</f>
        <v>1</v>
      </c>
      <c r="H33" s="20">
        <f t="shared" ca="1" si="1"/>
        <v>3.0303030303030304E-2</v>
      </c>
      <c r="I33" s="19"/>
      <c r="J33" s="14">
        <f t="shared" ca="1" si="2"/>
        <v>40</v>
      </c>
      <c r="K33" s="14">
        <f t="shared" ca="1" si="2"/>
        <v>1</v>
      </c>
      <c r="L33" s="15">
        <f t="shared" ca="1" si="3"/>
        <v>2.4390243902439025E-2</v>
      </c>
      <c r="M33" s="19"/>
      <c r="N33" s="19">
        <f ca="1">ROUND(FIRE1120_raw!N33,0)</f>
        <v>0</v>
      </c>
      <c r="O33" s="19">
        <f ca="1">ROUND(FIRE1120_raw!O33,0)</f>
        <v>0</v>
      </c>
      <c r="P33" s="20" t="str">
        <f t="shared" ca="1" si="4"/>
        <v>-</v>
      </c>
      <c r="Q33" s="19"/>
      <c r="R33" s="19">
        <f ca="1">ROUND(FIRE1120_raw!R33,0)</f>
        <v>2</v>
      </c>
      <c r="S33" s="19">
        <f ca="1">ROUND(FIRE1120_raw!S33,0)</f>
        <v>7</v>
      </c>
      <c r="T33" s="20">
        <f t="shared" ca="1" si="5"/>
        <v>0.77777777777777779</v>
      </c>
      <c r="U33" s="19"/>
      <c r="V33" s="14">
        <f t="shared" ca="1" si="6"/>
        <v>42</v>
      </c>
      <c r="W33" s="14">
        <f t="shared" ca="1" si="6"/>
        <v>8</v>
      </c>
      <c r="X33" s="20">
        <f t="shared" ca="1" si="7"/>
        <v>0.16</v>
      </c>
      <c r="Y33" s="16"/>
      <c r="Z33" s="16"/>
      <c r="AA33" s="16"/>
      <c r="AB33" s="16"/>
      <c r="AC33" s="16"/>
      <c r="AD33" s="16"/>
      <c r="AE33" s="16"/>
      <c r="AF33" s="16"/>
      <c r="AG33" s="16"/>
    </row>
    <row r="34" spans="1:33" s="6" customFormat="1" ht="15" customHeight="1" x14ac:dyDescent="0.35">
      <c r="A34" s="6" t="s">
        <v>36</v>
      </c>
      <c r="B34" s="19">
        <f ca="1">ROUND(FIRE1120_raw!B34,0)</f>
        <v>13</v>
      </c>
      <c r="C34" s="19">
        <f ca="1">ROUND(FIRE1120_raw!C34,0)</f>
        <v>0</v>
      </c>
      <c r="D34" s="20">
        <f t="shared" ca="1" si="0"/>
        <v>0</v>
      </c>
      <c r="E34" s="19"/>
      <c r="F34" s="19">
        <f ca="1">ROUND(FIRE1120_raw!F34,0)</f>
        <v>48</v>
      </c>
      <c r="G34" s="19">
        <f ca="1">ROUND(FIRE1120_raw!G34,0)</f>
        <v>5</v>
      </c>
      <c r="H34" s="20">
        <f t="shared" ca="1" si="1"/>
        <v>9.4339622641509441E-2</v>
      </c>
      <c r="I34" s="19"/>
      <c r="J34" s="14">
        <f t="shared" ca="1" si="2"/>
        <v>61</v>
      </c>
      <c r="K34" s="14">
        <f t="shared" ca="1" si="2"/>
        <v>5</v>
      </c>
      <c r="L34" s="15">
        <f t="shared" ca="1" si="3"/>
        <v>7.575757575757576E-2</v>
      </c>
      <c r="M34" s="19"/>
      <c r="N34" s="19">
        <f ca="1">ROUND(FIRE1120_raw!N34,0)</f>
        <v>1</v>
      </c>
      <c r="O34" s="19">
        <f ca="1">ROUND(FIRE1120_raw!O34,0)</f>
        <v>3</v>
      </c>
      <c r="P34" s="20">
        <f t="shared" ca="1" si="4"/>
        <v>0.75</v>
      </c>
      <c r="Q34" s="19"/>
      <c r="R34" s="19">
        <f ca="1">ROUND(FIRE1120_raw!R34,0)</f>
        <v>3</v>
      </c>
      <c r="S34" s="19">
        <f ca="1">ROUND(FIRE1120_raw!S34,0)</f>
        <v>7</v>
      </c>
      <c r="T34" s="20">
        <f t="shared" ca="1" si="5"/>
        <v>0.7</v>
      </c>
      <c r="U34" s="19"/>
      <c r="V34" s="14">
        <f t="shared" ca="1" si="6"/>
        <v>65</v>
      </c>
      <c r="W34" s="14">
        <f t="shared" ca="1" si="6"/>
        <v>15</v>
      </c>
      <c r="X34" s="20">
        <f t="shared" ca="1" si="7"/>
        <v>0.1875</v>
      </c>
      <c r="Y34" s="16"/>
      <c r="Z34" s="16"/>
      <c r="AA34" s="16"/>
      <c r="AB34" s="16"/>
      <c r="AC34" s="16"/>
      <c r="AD34" s="16"/>
      <c r="AE34" s="16"/>
      <c r="AF34" s="16"/>
      <c r="AG34" s="16"/>
    </row>
    <row r="35" spans="1:33" s="6" customFormat="1" ht="15" customHeight="1" x14ac:dyDescent="0.35">
      <c r="A35" s="6" t="s">
        <v>37</v>
      </c>
      <c r="B35" s="19">
        <f ca="1">ROUND(FIRE1120_raw!B35,0)</f>
        <v>25</v>
      </c>
      <c r="C35" s="19">
        <f ca="1">ROUND(FIRE1120_raw!C35,0)</f>
        <v>5</v>
      </c>
      <c r="D35" s="20">
        <f t="shared" ca="1" si="0"/>
        <v>0.16666666666666666</v>
      </c>
      <c r="E35" s="19"/>
      <c r="F35" s="19">
        <f ca="1">ROUND(FIRE1120_raw!F35,0)</f>
        <v>36</v>
      </c>
      <c r="G35" s="19">
        <f ca="1">ROUND(FIRE1120_raw!G35,0)</f>
        <v>2</v>
      </c>
      <c r="H35" s="20">
        <f t="shared" ca="1" si="1"/>
        <v>5.2631578947368418E-2</v>
      </c>
      <c r="I35" s="19"/>
      <c r="J35" s="14">
        <f t="shared" ca="1" si="2"/>
        <v>61</v>
      </c>
      <c r="K35" s="14">
        <f t="shared" ca="1" si="2"/>
        <v>7</v>
      </c>
      <c r="L35" s="15">
        <f t="shared" ca="1" si="3"/>
        <v>0.10294117647058823</v>
      </c>
      <c r="M35" s="19"/>
      <c r="N35" s="19">
        <f ca="1">ROUND(FIRE1120_raw!N35,0)</f>
        <v>2</v>
      </c>
      <c r="O35" s="19">
        <f ca="1">ROUND(FIRE1120_raw!O35,0)</f>
        <v>0</v>
      </c>
      <c r="P35" s="20">
        <f t="shared" ca="1" si="4"/>
        <v>0</v>
      </c>
      <c r="Q35" s="19"/>
      <c r="R35" s="19">
        <f ca="1">ROUND(FIRE1120_raw!R35,0)</f>
        <v>6</v>
      </c>
      <c r="S35" s="19">
        <f ca="1">ROUND(FIRE1120_raw!S35,0)</f>
        <v>4</v>
      </c>
      <c r="T35" s="20">
        <f t="shared" ca="1" si="5"/>
        <v>0.4</v>
      </c>
      <c r="U35" s="19"/>
      <c r="V35" s="14">
        <f t="shared" ca="1" si="6"/>
        <v>69</v>
      </c>
      <c r="W35" s="14">
        <f t="shared" ca="1" si="6"/>
        <v>11</v>
      </c>
      <c r="X35" s="20">
        <f t="shared" ca="1" si="7"/>
        <v>0.13750000000000001</v>
      </c>
      <c r="Y35" s="16"/>
      <c r="Z35" s="16"/>
      <c r="AA35" s="16"/>
      <c r="AB35" s="16"/>
      <c r="AC35" s="16"/>
      <c r="AD35" s="16"/>
      <c r="AE35" s="16"/>
      <c r="AF35" s="16"/>
      <c r="AG35" s="16"/>
    </row>
    <row r="36" spans="1:33" s="6" customFormat="1" ht="15" customHeight="1" x14ac:dyDescent="0.35">
      <c r="A36" s="5" t="s">
        <v>38</v>
      </c>
      <c r="B36" s="19">
        <f ca="1">ROUND(FIRE1120_raw!B36,0)</f>
        <v>0</v>
      </c>
      <c r="C36" s="19">
        <f ca="1">ROUND(FIRE1120_raw!C36,0)</f>
        <v>0</v>
      </c>
      <c r="D36" s="20" t="str">
        <f t="shared" ca="1" si="0"/>
        <v>-</v>
      </c>
      <c r="E36" s="19"/>
      <c r="F36" s="19">
        <f ca="1">ROUND(FIRE1120_raw!F36,0)</f>
        <v>0</v>
      </c>
      <c r="G36" s="19">
        <f ca="1">ROUND(FIRE1120_raw!G36,0)</f>
        <v>0</v>
      </c>
      <c r="H36" s="20" t="str">
        <f t="shared" ca="1" si="1"/>
        <v>-</v>
      </c>
      <c r="I36" s="19"/>
      <c r="J36" s="14">
        <f t="shared" ca="1" si="2"/>
        <v>0</v>
      </c>
      <c r="K36" s="14">
        <f t="shared" ca="1" si="2"/>
        <v>0</v>
      </c>
      <c r="L36" s="15" t="str">
        <f t="shared" ca="1" si="3"/>
        <v>-</v>
      </c>
      <c r="M36" s="19"/>
      <c r="N36" s="19">
        <f ca="1">ROUND(FIRE1120_raw!N36,0)</f>
        <v>2</v>
      </c>
      <c r="O36" s="19">
        <f ca="1">ROUND(FIRE1120_raw!O36,0)</f>
        <v>5</v>
      </c>
      <c r="P36" s="20">
        <f t="shared" ca="1" si="4"/>
        <v>0.7142857142857143</v>
      </c>
      <c r="Q36" s="19"/>
      <c r="R36" s="19">
        <f ca="1">ROUND(FIRE1120_raw!R36,0)</f>
        <v>0</v>
      </c>
      <c r="S36" s="19">
        <f ca="1">ROUND(FIRE1120_raw!S36,0)</f>
        <v>1</v>
      </c>
      <c r="T36" s="20">
        <f t="shared" ca="1" si="5"/>
        <v>1</v>
      </c>
      <c r="U36" s="19"/>
      <c r="V36" s="14">
        <f t="shared" ca="1" si="6"/>
        <v>2</v>
      </c>
      <c r="W36" s="14">
        <f t="shared" ca="1" si="6"/>
        <v>6</v>
      </c>
      <c r="X36" s="20">
        <f t="shared" ca="1" si="7"/>
        <v>0.75</v>
      </c>
      <c r="Y36" s="16"/>
      <c r="Z36" s="16"/>
      <c r="AA36" s="16"/>
      <c r="AB36" s="16"/>
      <c r="AC36" s="16"/>
      <c r="AD36" s="16"/>
      <c r="AE36" s="16"/>
      <c r="AF36" s="16"/>
      <c r="AG36" s="16"/>
    </row>
    <row r="37" spans="1:33" s="6" customFormat="1" ht="15" customHeight="1" x14ac:dyDescent="0.35">
      <c r="A37" s="6" t="s">
        <v>39</v>
      </c>
      <c r="B37" s="19">
        <f ca="1">ROUND(FIRE1120_raw!B37,0)</f>
        <v>25</v>
      </c>
      <c r="C37" s="19">
        <f ca="1">ROUND(FIRE1120_raw!C37,0)</f>
        <v>5</v>
      </c>
      <c r="D37" s="20">
        <f t="shared" ca="1" si="0"/>
        <v>0.16666666666666666</v>
      </c>
      <c r="E37" s="19"/>
      <c r="F37" s="19">
        <f ca="1">ROUND(FIRE1120_raw!F37,0)</f>
        <v>38</v>
      </c>
      <c r="G37" s="19">
        <f ca="1">ROUND(FIRE1120_raw!G37,0)</f>
        <v>3</v>
      </c>
      <c r="H37" s="20">
        <f t="shared" ca="1" si="1"/>
        <v>7.3170731707317069E-2</v>
      </c>
      <c r="I37" s="19"/>
      <c r="J37" s="14">
        <f t="shared" ca="1" si="2"/>
        <v>63</v>
      </c>
      <c r="K37" s="14">
        <f t="shared" ca="1" si="2"/>
        <v>8</v>
      </c>
      <c r="L37" s="15">
        <f t="shared" ca="1" si="3"/>
        <v>0.11267605633802817</v>
      </c>
      <c r="M37" s="19"/>
      <c r="N37" s="19">
        <f ca="1">ROUND(FIRE1120_raw!N37,0)</f>
        <v>3</v>
      </c>
      <c r="O37" s="19">
        <f ca="1">ROUND(FIRE1120_raw!O37,0)</f>
        <v>1</v>
      </c>
      <c r="P37" s="20">
        <f t="shared" ca="1" si="4"/>
        <v>0.25</v>
      </c>
      <c r="Q37" s="19"/>
      <c r="R37" s="19">
        <f ca="1">ROUND(FIRE1120_raw!R37,0)</f>
        <v>12</v>
      </c>
      <c r="S37" s="19">
        <f ca="1">ROUND(FIRE1120_raw!S37,0)</f>
        <v>6</v>
      </c>
      <c r="T37" s="20">
        <f t="shared" ca="1" si="5"/>
        <v>0.33333333333333331</v>
      </c>
      <c r="U37" s="19"/>
      <c r="V37" s="14">
        <f t="shared" ca="1" si="6"/>
        <v>78</v>
      </c>
      <c r="W37" s="14">
        <f t="shared" ca="1" si="6"/>
        <v>15</v>
      </c>
      <c r="X37" s="20">
        <f t="shared" ca="1" si="7"/>
        <v>0.16129032258064516</v>
      </c>
      <c r="Y37" s="16"/>
      <c r="Z37" s="16"/>
      <c r="AA37" s="16"/>
      <c r="AB37" s="16"/>
      <c r="AC37" s="16"/>
      <c r="AD37" s="16"/>
      <c r="AE37" s="16"/>
      <c r="AF37" s="16"/>
      <c r="AG37" s="16"/>
    </row>
    <row r="38" spans="1:33" s="6" customFormat="1" ht="15" customHeight="1" x14ac:dyDescent="0.35">
      <c r="A38" s="6" t="s">
        <v>40</v>
      </c>
      <c r="B38" s="19">
        <f ca="1">ROUND(FIRE1120_raw!B38,0)</f>
        <v>7</v>
      </c>
      <c r="C38" s="19">
        <f ca="1">ROUND(FIRE1120_raw!C38,0)</f>
        <v>2</v>
      </c>
      <c r="D38" s="20">
        <f t="shared" ca="1" si="0"/>
        <v>0.22222222222222221</v>
      </c>
      <c r="E38" s="19"/>
      <c r="F38" s="19">
        <f ca="1">ROUND(FIRE1120_raw!F38,0)</f>
        <v>40</v>
      </c>
      <c r="G38" s="19">
        <f ca="1">ROUND(FIRE1120_raw!G38,0)</f>
        <v>8</v>
      </c>
      <c r="H38" s="20">
        <f t="shared" ca="1" si="1"/>
        <v>0.16666666666666666</v>
      </c>
      <c r="I38" s="19"/>
      <c r="J38" s="14">
        <f t="shared" ca="1" si="2"/>
        <v>47</v>
      </c>
      <c r="K38" s="14">
        <f t="shared" ca="1" si="2"/>
        <v>10</v>
      </c>
      <c r="L38" s="15">
        <f t="shared" ca="1" si="3"/>
        <v>0.17543859649122806</v>
      </c>
      <c r="M38" s="19"/>
      <c r="N38" s="19">
        <f ca="1">ROUND(FIRE1120_raw!N38,0)</f>
        <v>0</v>
      </c>
      <c r="O38" s="19">
        <f ca="1">ROUND(FIRE1120_raw!O38,0)</f>
        <v>4</v>
      </c>
      <c r="P38" s="20">
        <f t="shared" ca="1" si="4"/>
        <v>1</v>
      </c>
      <c r="Q38" s="19"/>
      <c r="R38" s="19">
        <f ca="1">ROUND(FIRE1120_raw!R38,0)</f>
        <v>4</v>
      </c>
      <c r="S38" s="19">
        <f ca="1">ROUND(FIRE1120_raw!S38,0)</f>
        <v>5</v>
      </c>
      <c r="T38" s="20">
        <f t="shared" ca="1" si="5"/>
        <v>0.55555555555555558</v>
      </c>
      <c r="U38" s="19"/>
      <c r="V38" s="14">
        <f t="shared" ca="1" si="6"/>
        <v>51</v>
      </c>
      <c r="W38" s="14">
        <f t="shared" ca="1" si="6"/>
        <v>19</v>
      </c>
      <c r="X38" s="20">
        <f t="shared" ca="1" si="7"/>
        <v>0.27142857142857141</v>
      </c>
      <c r="Y38" s="16"/>
      <c r="Z38" s="16"/>
      <c r="AA38" s="16"/>
      <c r="AB38" s="16"/>
      <c r="AC38" s="16"/>
      <c r="AD38" s="16"/>
      <c r="AE38" s="16"/>
      <c r="AF38" s="16"/>
      <c r="AG38" s="16"/>
    </row>
    <row r="39" spans="1:33" s="6" customFormat="1" ht="15" customHeight="1" x14ac:dyDescent="0.35">
      <c r="A39" s="6" t="s">
        <v>41</v>
      </c>
      <c r="B39" s="19">
        <f ca="1">ROUND(FIRE1120_raw!B39,0)</f>
        <v>8</v>
      </c>
      <c r="C39" s="19">
        <f ca="1">ROUND(FIRE1120_raw!C39,0)</f>
        <v>1</v>
      </c>
      <c r="D39" s="20">
        <f t="shared" ca="1" si="0"/>
        <v>0.1111111111111111</v>
      </c>
      <c r="E39" s="19"/>
      <c r="F39" s="19">
        <f ca="1">ROUND(FIRE1120_raw!F39,0)</f>
        <v>16</v>
      </c>
      <c r="G39" s="19">
        <f ca="1">ROUND(FIRE1120_raw!G39,0)</f>
        <v>3</v>
      </c>
      <c r="H39" s="20">
        <f t="shared" ca="1" si="1"/>
        <v>0.15789473684210525</v>
      </c>
      <c r="I39" s="19"/>
      <c r="J39" s="14">
        <f t="shared" ca="1" si="2"/>
        <v>24</v>
      </c>
      <c r="K39" s="14">
        <f t="shared" ca="1" si="2"/>
        <v>4</v>
      </c>
      <c r="L39" s="15">
        <f t="shared" ca="1" si="3"/>
        <v>0.14285714285714285</v>
      </c>
      <c r="M39" s="19"/>
      <c r="N39" s="19">
        <f ca="1">ROUND(FIRE1120_raw!N39,0)</f>
        <v>0</v>
      </c>
      <c r="O39" s="19">
        <f ca="1">ROUND(FIRE1120_raw!O39,0)</f>
        <v>0</v>
      </c>
      <c r="P39" s="20" t="str">
        <f t="shared" ca="1" si="4"/>
        <v>-</v>
      </c>
      <c r="Q39" s="19"/>
      <c r="R39" s="19">
        <f ca="1">ROUND(FIRE1120_raw!R39,0)</f>
        <v>1</v>
      </c>
      <c r="S39" s="19">
        <f ca="1">ROUND(FIRE1120_raw!S39,0)</f>
        <v>0</v>
      </c>
      <c r="T39" s="20">
        <f t="shared" ca="1" si="5"/>
        <v>0</v>
      </c>
      <c r="U39" s="19"/>
      <c r="V39" s="14">
        <f t="shared" ca="1" si="6"/>
        <v>25</v>
      </c>
      <c r="W39" s="14">
        <f t="shared" ca="1" si="6"/>
        <v>4</v>
      </c>
      <c r="X39" s="20">
        <f t="shared" ca="1" si="7"/>
        <v>0.13793103448275862</v>
      </c>
      <c r="Y39" s="16"/>
      <c r="Z39" s="16"/>
      <c r="AA39" s="16"/>
      <c r="AB39" s="16"/>
      <c r="AC39" s="16"/>
      <c r="AD39" s="16"/>
      <c r="AE39" s="16"/>
      <c r="AF39" s="16"/>
      <c r="AG39" s="16"/>
    </row>
    <row r="40" spans="1:33" s="6" customFormat="1" ht="15" customHeight="1" x14ac:dyDescent="0.35">
      <c r="A40" s="5" t="s">
        <v>42</v>
      </c>
      <c r="B40" s="19">
        <f ca="1">ROUND(FIRE1120_raw!B40,0)</f>
        <v>21</v>
      </c>
      <c r="C40" s="19">
        <f ca="1">ROUND(FIRE1120_raw!C40,0)</f>
        <v>9</v>
      </c>
      <c r="D40" s="20">
        <f t="shared" ca="1" si="0"/>
        <v>0.3</v>
      </c>
      <c r="E40" s="19"/>
      <c r="F40" s="19">
        <f ca="1">ROUND(FIRE1120_raw!F40,0)</f>
        <v>24</v>
      </c>
      <c r="G40" s="19">
        <f ca="1">ROUND(FIRE1120_raw!G40,0)</f>
        <v>1</v>
      </c>
      <c r="H40" s="20">
        <f t="shared" ca="1" si="1"/>
        <v>0.04</v>
      </c>
      <c r="I40" s="19"/>
      <c r="J40" s="14">
        <f t="shared" ca="1" si="2"/>
        <v>45</v>
      </c>
      <c r="K40" s="14">
        <f t="shared" ca="1" si="2"/>
        <v>10</v>
      </c>
      <c r="L40" s="15">
        <f t="shared" ca="1" si="3"/>
        <v>0.18181818181818182</v>
      </c>
      <c r="M40" s="19"/>
      <c r="N40" s="19">
        <f ca="1">ROUND(FIRE1120_raw!N40,0)</f>
        <v>0</v>
      </c>
      <c r="O40" s="19">
        <f ca="1">ROUND(FIRE1120_raw!O40,0)</f>
        <v>0</v>
      </c>
      <c r="P40" s="20" t="str">
        <f t="shared" ca="1" si="4"/>
        <v>-</v>
      </c>
      <c r="Q40" s="19"/>
      <c r="R40" s="19">
        <f ca="1">ROUND(FIRE1120_raw!R40,0)</f>
        <v>3</v>
      </c>
      <c r="S40" s="19">
        <f ca="1">ROUND(FIRE1120_raw!S40,0)</f>
        <v>6</v>
      </c>
      <c r="T40" s="20">
        <f t="shared" ca="1" si="5"/>
        <v>0.66666666666666663</v>
      </c>
      <c r="U40" s="19"/>
      <c r="V40" s="14">
        <f t="shared" ca="1" si="6"/>
        <v>48</v>
      </c>
      <c r="W40" s="14">
        <f t="shared" ca="1" si="6"/>
        <v>16</v>
      </c>
      <c r="X40" s="20">
        <f t="shared" ca="1" si="7"/>
        <v>0.25</v>
      </c>
      <c r="Y40" s="16"/>
      <c r="Z40" s="16"/>
      <c r="AA40" s="16"/>
      <c r="AB40" s="16"/>
      <c r="AC40" s="16"/>
      <c r="AD40" s="16"/>
      <c r="AE40" s="16"/>
      <c r="AF40" s="16"/>
      <c r="AG40" s="16"/>
    </row>
    <row r="41" spans="1:33" s="6" customFormat="1" ht="15" customHeight="1" x14ac:dyDescent="0.35">
      <c r="A41" s="5" t="s">
        <v>43</v>
      </c>
      <c r="B41" s="19">
        <f ca="1">ROUND(FIRE1120_raw!B41,0)</f>
        <v>6</v>
      </c>
      <c r="C41" s="19">
        <f ca="1">ROUND(FIRE1120_raw!C41,0)</f>
        <v>2</v>
      </c>
      <c r="D41" s="20">
        <f t="shared" ca="1" si="0"/>
        <v>0.25</v>
      </c>
      <c r="E41" s="19"/>
      <c r="F41" s="19">
        <f ca="1">ROUND(FIRE1120_raw!F41,0)</f>
        <v>44</v>
      </c>
      <c r="G41" s="19">
        <f ca="1">ROUND(FIRE1120_raw!G41,0)</f>
        <v>12</v>
      </c>
      <c r="H41" s="20">
        <f t="shared" ca="1" si="1"/>
        <v>0.21428571428571427</v>
      </c>
      <c r="I41" s="19"/>
      <c r="J41" s="14">
        <f t="shared" ca="1" si="2"/>
        <v>50</v>
      </c>
      <c r="K41" s="14">
        <f t="shared" ca="1" si="2"/>
        <v>14</v>
      </c>
      <c r="L41" s="15">
        <f t="shared" ca="1" si="3"/>
        <v>0.21875</v>
      </c>
      <c r="M41" s="19"/>
      <c r="N41" s="19">
        <f ca="1">ROUND(FIRE1120_raw!N41,0)</f>
        <v>0</v>
      </c>
      <c r="O41" s="19">
        <f ca="1">ROUND(FIRE1120_raw!O41,0)</f>
        <v>0</v>
      </c>
      <c r="P41" s="20" t="str">
        <f t="shared" ca="1" si="4"/>
        <v>-</v>
      </c>
      <c r="Q41" s="19"/>
      <c r="R41" s="19">
        <f ca="1">ROUND(FIRE1120_raw!R41,0)</f>
        <v>2</v>
      </c>
      <c r="S41" s="19">
        <f ca="1">ROUND(FIRE1120_raw!S41,0)</f>
        <v>7</v>
      </c>
      <c r="T41" s="20">
        <f t="shared" ca="1" si="5"/>
        <v>0.77777777777777779</v>
      </c>
      <c r="U41" s="19"/>
      <c r="V41" s="14">
        <f t="shared" ca="1" si="6"/>
        <v>52</v>
      </c>
      <c r="W41" s="14">
        <f t="shared" ca="1" si="6"/>
        <v>21</v>
      </c>
      <c r="X41" s="20">
        <f t="shared" ca="1" si="7"/>
        <v>0.28767123287671231</v>
      </c>
      <c r="Y41" s="16"/>
      <c r="Z41" s="16"/>
      <c r="AA41" s="16"/>
      <c r="AB41" s="16"/>
      <c r="AC41" s="16"/>
      <c r="AD41" s="16"/>
      <c r="AE41" s="16"/>
      <c r="AF41" s="16"/>
      <c r="AG41" s="16"/>
    </row>
    <row r="42" spans="1:33" s="6" customFormat="1" ht="15" customHeight="1" x14ac:dyDescent="0.35">
      <c r="A42" s="5" t="s">
        <v>44</v>
      </c>
      <c r="B42" s="19">
        <f ca="1">ROUND(FIRE1120_raw!B42,0)</f>
        <v>12</v>
      </c>
      <c r="C42" s="19">
        <f ca="1">ROUND(FIRE1120_raw!C42,0)</f>
        <v>0</v>
      </c>
      <c r="D42" s="20">
        <f t="shared" ca="1" si="0"/>
        <v>0</v>
      </c>
      <c r="E42" s="19"/>
      <c r="F42" s="19">
        <f ca="1">ROUND(FIRE1120_raw!F42,0)</f>
        <v>23</v>
      </c>
      <c r="G42" s="19">
        <f ca="1">ROUND(FIRE1120_raw!G42,0)</f>
        <v>5</v>
      </c>
      <c r="H42" s="20">
        <f t="shared" ca="1" si="1"/>
        <v>0.17857142857142858</v>
      </c>
      <c r="I42" s="19"/>
      <c r="J42" s="14">
        <f t="shared" ca="1" si="2"/>
        <v>35</v>
      </c>
      <c r="K42" s="14">
        <f t="shared" ca="1" si="2"/>
        <v>5</v>
      </c>
      <c r="L42" s="15">
        <f t="shared" ca="1" si="3"/>
        <v>0.125</v>
      </c>
      <c r="M42" s="19"/>
      <c r="N42" s="19">
        <f ca="1">ROUND(FIRE1120_raw!N42,0)</f>
        <v>0</v>
      </c>
      <c r="O42" s="19">
        <f ca="1">ROUND(FIRE1120_raw!O42,0)</f>
        <v>2</v>
      </c>
      <c r="P42" s="20">
        <f t="shared" ca="1" si="4"/>
        <v>1</v>
      </c>
      <c r="Q42" s="19"/>
      <c r="R42" s="19">
        <f ca="1">ROUND(FIRE1120_raw!R42,0)</f>
        <v>4</v>
      </c>
      <c r="S42" s="19">
        <f ca="1">ROUND(FIRE1120_raw!S42,0)</f>
        <v>4</v>
      </c>
      <c r="T42" s="20">
        <f t="shared" ca="1" si="5"/>
        <v>0.5</v>
      </c>
      <c r="U42" s="19"/>
      <c r="V42" s="14">
        <f t="shared" ca="1" si="6"/>
        <v>39</v>
      </c>
      <c r="W42" s="14">
        <f t="shared" ca="1" si="6"/>
        <v>11</v>
      </c>
      <c r="X42" s="20">
        <f t="shared" ca="1" si="7"/>
        <v>0.22</v>
      </c>
      <c r="Y42" s="16"/>
      <c r="Z42" s="16"/>
      <c r="AA42" s="16"/>
      <c r="AB42" s="16"/>
      <c r="AC42" s="16"/>
      <c r="AD42" s="16"/>
      <c r="AE42" s="16"/>
      <c r="AF42" s="16"/>
      <c r="AG42" s="16"/>
    </row>
    <row r="43" spans="1:33" s="6" customFormat="1" ht="15" customHeight="1" x14ac:dyDescent="0.35">
      <c r="A43" s="5" t="s">
        <v>45</v>
      </c>
      <c r="B43" s="19">
        <f ca="1">ROUND(FIRE1120_raw!B43,0)</f>
        <v>11</v>
      </c>
      <c r="C43" s="19">
        <f ca="1">ROUND(FIRE1120_raw!C43,0)</f>
        <v>2</v>
      </c>
      <c r="D43" s="20">
        <f t="shared" ca="1" si="0"/>
        <v>0.15384615384615385</v>
      </c>
      <c r="E43" s="19"/>
      <c r="F43" s="19">
        <f ca="1">ROUND(FIRE1120_raw!F43,0)</f>
        <v>38</v>
      </c>
      <c r="G43" s="19">
        <f ca="1">ROUND(FIRE1120_raw!G43,0)</f>
        <v>6</v>
      </c>
      <c r="H43" s="20">
        <f t="shared" ca="1" si="1"/>
        <v>0.13636363636363635</v>
      </c>
      <c r="I43" s="19"/>
      <c r="J43" s="14">
        <f t="shared" ca="1" si="2"/>
        <v>49</v>
      </c>
      <c r="K43" s="14">
        <f t="shared" ca="1" si="2"/>
        <v>8</v>
      </c>
      <c r="L43" s="15">
        <f t="shared" ca="1" si="3"/>
        <v>0.14035087719298245</v>
      </c>
      <c r="M43" s="19"/>
      <c r="N43" s="19">
        <f ca="1">ROUND(FIRE1120_raw!N43,0)</f>
        <v>0</v>
      </c>
      <c r="O43" s="19">
        <f ca="1">ROUND(FIRE1120_raw!O43,0)</f>
        <v>0</v>
      </c>
      <c r="P43" s="20" t="str">
        <f t="shared" ca="1" si="4"/>
        <v>-</v>
      </c>
      <c r="Q43" s="19"/>
      <c r="R43" s="19">
        <f ca="1">ROUND(FIRE1120_raw!R43,0)</f>
        <v>10</v>
      </c>
      <c r="S43" s="19">
        <f ca="1">ROUND(FIRE1120_raw!S43,0)</f>
        <v>14</v>
      </c>
      <c r="T43" s="20">
        <f t="shared" ca="1" si="5"/>
        <v>0.58333333333333337</v>
      </c>
      <c r="U43" s="19"/>
      <c r="V43" s="14">
        <f t="shared" ca="1" si="6"/>
        <v>59</v>
      </c>
      <c r="W43" s="14">
        <f t="shared" ca="1" si="6"/>
        <v>22</v>
      </c>
      <c r="X43" s="20">
        <f t="shared" ca="1" si="7"/>
        <v>0.27160493827160492</v>
      </c>
      <c r="Y43" s="16"/>
      <c r="Z43" s="16"/>
      <c r="AA43" s="16"/>
      <c r="AB43" s="16"/>
      <c r="AC43" s="16"/>
      <c r="AD43" s="16"/>
      <c r="AE43" s="16"/>
      <c r="AF43" s="16"/>
      <c r="AG43" s="16"/>
    </row>
    <row r="44" spans="1:33" s="6" customFormat="1" ht="15" customHeight="1" x14ac:dyDescent="0.35">
      <c r="A44" s="5" t="s">
        <v>46</v>
      </c>
      <c r="B44" s="19">
        <f ca="1">ROUND(FIRE1120_raw!B44,0)</f>
        <v>7</v>
      </c>
      <c r="C44" s="19">
        <f ca="1">ROUND(FIRE1120_raw!C44,0)</f>
        <v>1</v>
      </c>
      <c r="D44" s="20">
        <f t="shared" ca="1" si="0"/>
        <v>0.125</v>
      </c>
      <c r="E44" s="19"/>
      <c r="F44" s="19">
        <f ca="1">ROUND(FIRE1120_raw!F44,0)</f>
        <v>36</v>
      </c>
      <c r="G44" s="19">
        <f ca="1">ROUND(FIRE1120_raw!G44,0)</f>
        <v>10</v>
      </c>
      <c r="H44" s="20">
        <f t="shared" ca="1" si="1"/>
        <v>0.21739130434782608</v>
      </c>
      <c r="I44" s="19"/>
      <c r="J44" s="14">
        <f t="shared" ca="1" si="2"/>
        <v>43</v>
      </c>
      <c r="K44" s="14">
        <f t="shared" ca="1" si="2"/>
        <v>11</v>
      </c>
      <c r="L44" s="15">
        <f t="shared" ca="1" si="3"/>
        <v>0.20370370370370369</v>
      </c>
      <c r="M44" s="19"/>
      <c r="N44" s="19">
        <f ca="1">ROUND(FIRE1120_raw!N44,0)</f>
        <v>0</v>
      </c>
      <c r="O44" s="19">
        <f ca="1">ROUND(FIRE1120_raw!O44,0)</f>
        <v>0</v>
      </c>
      <c r="P44" s="20" t="str">
        <f t="shared" ca="1" si="4"/>
        <v>-</v>
      </c>
      <c r="Q44" s="19"/>
      <c r="R44" s="19">
        <f ca="1">ROUND(FIRE1120_raw!R44,0)</f>
        <v>5</v>
      </c>
      <c r="S44" s="19">
        <f ca="1">ROUND(FIRE1120_raw!S44,0)</f>
        <v>1</v>
      </c>
      <c r="T44" s="20">
        <f t="shared" ca="1" si="5"/>
        <v>0.16666666666666666</v>
      </c>
      <c r="U44" s="19"/>
      <c r="V44" s="14">
        <f t="shared" ca="1" si="6"/>
        <v>48</v>
      </c>
      <c r="W44" s="14">
        <f t="shared" ca="1" si="6"/>
        <v>12</v>
      </c>
      <c r="X44" s="20">
        <f t="shared" ca="1" si="7"/>
        <v>0.2</v>
      </c>
      <c r="Y44" s="16"/>
      <c r="Z44" s="16"/>
      <c r="AA44" s="16"/>
      <c r="AB44" s="16"/>
      <c r="AC44" s="16"/>
      <c r="AD44" s="16"/>
      <c r="AE44" s="16"/>
      <c r="AF44" s="16"/>
      <c r="AG44" s="16"/>
    </row>
    <row r="45" spans="1:33" s="6" customFormat="1" ht="15" customHeight="1" x14ac:dyDescent="0.35">
      <c r="A45" s="5" t="s">
        <v>47</v>
      </c>
      <c r="B45" s="19">
        <f ca="1">ROUND(FIRE1120_raw!B45,0)</f>
        <v>28</v>
      </c>
      <c r="C45" s="19">
        <f ca="1">ROUND(FIRE1120_raw!C45,0)</f>
        <v>2</v>
      </c>
      <c r="D45" s="20">
        <f t="shared" ca="1" si="0"/>
        <v>6.6666666666666666E-2</v>
      </c>
      <c r="E45" s="19"/>
      <c r="F45" s="19">
        <f ca="1">ROUND(FIRE1120_raw!F45,0)</f>
        <v>7</v>
      </c>
      <c r="G45" s="19">
        <f ca="1">ROUND(FIRE1120_raw!G45,0)</f>
        <v>0</v>
      </c>
      <c r="H45" s="20">
        <f t="shared" ca="1" si="1"/>
        <v>0</v>
      </c>
      <c r="I45" s="19"/>
      <c r="J45" s="14">
        <f t="shared" ca="1" si="2"/>
        <v>35</v>
      </c>
      <c r="K45" s="14">
        <f t="shared" ca="1" si="2"/>
        <v>2</v>
      </c>
      <c r="L45" s="15">
        <f t="shared" ca="1" si="3"/>
        <v>5.4054054054054057E-2</v>
      </c>
      <c r="M45" s="19"/>
      <c r="N45" s="19">
        <f ca="1">ROUND(FIRE1120_raw!N45,0)</f>
        <v>3</v>
      </c>
      <c r="O45" s="19">
        <f ca="1">ROUND(FIRE1120_raw!O45,0)</f>
        <v>1</v>
      </c>
      <c r="P45" s="20">
        <f t="shared" ca="1" si="4"/>
        <v>0.25</v>
      </c>
      <c r="Q45" s="19"/>
      <c r="R45" s="19">
        <f ca="1">ROUND(FIRE1120_raw!R45,0)</f>
        <v>15</v>
      </c>
      <c r="S45" s="19">
        <f ca="1">ROUND(FIRE1120_raw!S45,0)</f>
        <v>1</v>
      </c>
      <c r="T45" s="20">
        <f t="shared" ca="1" si="5"/>
        <v>6.25E-2</v>
      </c>
      <c r="U45" s="19"/>
      <c r="V45" s="14">
        <f t="shared" ca="1" si="6"/>
        <v>53</v>
      </c>
      <c r="W45" s="14">
        <f t="shared" ca="1" si="6"/>
        <v>4</v>
      </c>
      <c r="X45" s="20">
        <f t="shared" ca="1" si="7"/>
        <v>7.0175438596491224E-2</v>
      </c>
      <c r="Y45" s="16"/>
      <c r="Z45" s="16"/>
      <c r="AA45" s="16"/>
      <c r="AB45" s="16"/>
      <c r="AC45" s="16"/>
      <c r="AD45" s="16"/>
      <c r="AE45" s="16"/>
      <c r="AF45" s="16"/>
      <c r="AG45" s="16"/>
    </row>
    <row r="46" spans="1:33" s="6" customFormat="1" ht="15" customHeight="1" x14ac:dyDescent="0.35">
      <c r="A46" s="5" t="s">
        <v>48</v>
      </c>
      <c r="B46" s="19">
        <f ca="1">ROUND(FIRE1120_raw!B46,0)</f>
        <v>13</v>
      </c>
      <c r="C46" s="19">
        <f ca="1">ROUND(FIRE1120_raw!C46,0)</f>
        <v>0</v>
      </c>
      <c r="D46" s="20">
        <f t="shared" ca="1" si="0"/>
        <v>0</v>
      </c>
      <c r="E46" s="19"/>
      <c r="F46" s="19">
        <f ca="1">ROUND(FIRE1120_raw!F46,0)</f>
        <v>16</v>
      </c>
      <c r="G46" s="19">
        <f ca="1">ROUND(FIRE1120_raw!G46,0)</f>
        <v>3</v>
      </c>
      <c r="H46" s="20">
        <f t="shared" ca="1" si="1"/>
        <v>0.15789473684210525</v>
      </c>
      <c r="I46" s="19"/>
      <c r="J46" s="14">
        <f t="shared" ca="1" si="2"/>
        <v>29</v>
      </c>
      <c r="K46" s="14">
        <f t="shared" ca="1" si="2"/>
        <v>3</v>
      </c>
      <c r="L46" s="15">
        <f t="shared" ca="1" si="3"/>
        <v>9.375E-2</v>
      </c>
      <c r="M46" s="19"/>
      <c r="N46" s="19">
        <f ca="1">ROUND(FIRE1120_raw!N46,0)</f>
        <v>0</v>
      </c>
      <c r="O46" s="19">
        <f ca="1">ROUND(FIRE1120_raw!O46,0)</f>
        <v>1</v>
      </c>
      <c r="P46" s="20">
        <f t="shared" ca="1" si="4"/>
        <v>1</v>
      </c>
      <c r="Q46" s="19"/>
      <c r="R46" s="19">
        <f ca="1">ROUND(FIRE1120_raw!R46,0)</f>
        <v>4</v>
      </c>
      <c r="S46" s="19">
        <f ca="1">ROUND(FIRE1120_raw!S46,0)</f>
        <v>9</v>
      </c>
      <c r="T46" s="20">
        <f t="shared" ca="1" si="5"/>
        <v>0.69230769230769229</v>
      </c>
      <c r="U46" s="19"/>
      <c r="V46" s="14">
        <f t="shared" ca="1" si="6"/>
        <v>33</v>
      </c>
      <c r="W46" s="14">
        <f t="shared" ca="1" si="6"/>
        <v>13</v>
      </c>
      <c r="X46" s="20">
        <f t="shared" ca="1" si="7"/>
        <v>0.28260869565217389</v>
      </c>
      <c r="Y46" s="16"/>
      <c r="Z46" s="16"/>
      <c r="AA46" s="16"/>
      <c r="AB46" s="16"/>
      <c r="AC46" s="16"/>
      <c r="AD46" s="16"/>
      <c r="AE46" s="16"/>
      <c r="AF46" s="16"/>
      <c r="AG46" s="16"/>
    </row>
    <row r="47" spans="1:33" s="6" customFormat="1" ht="15" customHeight="1" x14ac:dyDescent="0.35">
      <c r="A47" s="5" t="s">
        <v>49</v>
      </c>
      <c r="B47" s="19">
        <f ca="1">ROUND(FIRE1120_raw!B47,0)</f>
        <v>13</v>
      </c>
      <c r="C47" s="19">
        <f ca="1">ROUND(FIRE1120_raw!C47,0)</f>
        <v>4</v>
      </c>
      <c r="D47" s="20">
        <f t="shared" ca="1" si="0"/>
        <v>0.23529411764705882</v>
      </c>
      <c r="E47" s="19"/>
      <c r="F47" s="19">
        <f ca="1">ROUND(FIRE1120_raw!F47,0)</f>
        <v>38</v>
      </c>
      <c r="G47" s="19">
        <f ca="1">ROUND(FIRE1120_raw!G47,0)</f>
        <v>4</v>
      </c>
      <c r="H47" s="20">
        <f t="shared" ca="1" si="1"/>
        <v>9.5238095238095233E-2</v>
      </c>
      <c r="I47" s="19"/>
      <c r="J47" s="14">
        <f t="shared" ca="1" si="2"/>
        <v>51</v>
      </c>
      <c r="K47" s="14">
        <f t="shared" ca="1" si="2"/>
        <v>8</v>
      </c>
      <c r="L47" s="15">
        <f t="shared" ca="1" si="3"/>
        <v>0.13559322033898305</v>
      </c>
      <c r="M47" s="19"/>
      <c r="N47" s="19">
        <f ca="1">ROUND(FIRE1120_raw!N47,0)</f>
        <v>0</v>
      </c>
      <c r="O47" s="19">
        <f ca="1">ROUND(FIRE1120_raw!O47,0)</f>
        <v>0</v>
      </c>
      <c r="P47" s="20" t="str">
        <f t="shared" ca="1" si="4"/>
        <v>-</v>
      </c>
      <c r="Q47" s="19"/>
      <c r="R47" s="19">
        <f ca="1">ROUND(FIRE1120_raw!R47,0)</f>
        <v>4</v>
      </c>
      <c r="S47" s="19">
        <f ca="1">ROUND(FIRE1120_raw!S47,0)</f>
        <v>7</v>
      </c>
      <c r="T47" s="20">
        <f t="shared" ca="1" si="5"/>
        <v>0.63636363636363635</v>
      </c>
      <c r="U47" s="19"/>
      <c r="V47" s="14">
        <f t="shared" ca="1" si="6"/>
        <v>55</v>
      </c>
      <c r="W47" s="14">
        <f t="shared" ca="1" si="6"/>
        <v>15</v>
      </c>
      <c r="X47" s="20">
        <f t="shared" ca="1" si="7"/>
        <v>0.21428571428571427</v>
      </c>
      <c r="Y47" s="16"/>
      <c r="Z47" s="16"/>
      <c r="AA47" s="16"/>
      <c r="AB47" s="16"/>
      <c r="AC47" s="16"/>
      <c r="AD47" s="16"/>
      <c r="AE47" s="16"/>
      <c r="AF47" s="16"/>
      <c r="AG47" s="16"/>
    </row>
    <row r="48" spans="1:33" s="6" customFormat="1" ht="15" customHeight="1" x14ac:dyDescent="0.35">
      <c r="A48" s="5" t="s">
        <v>50</v>
      </c>
      <c r="B48" s="19">
        <f ca="1">ROUND(FIRE1120_raw!B48,0)</f>
        <v>0</v>
      </c>
      <c r="C48" s="19">
        <f ca="1">ROUND(FIRE1120_raw!C48,0)</f>
        <v>0</v>
      </c>
      <c r="D48" s="20" t="str">
        <f t="shared" ref="D48" ca="1" si="8">IF(B48+C48=0,"-",(C48/(B48+C48)))</f>
        <v>-</v>
      </c>
      <c r="E48" s="19"/>
      <c r="F48" s="19">
        <f ca="1">ROUND(FIRE1120_raw!F48,0)</f>
        <v>3</v>
      </c>
      <c r="G48" s="19">
        <f ca="1">ROUND(FIRE1120_raw!G48,0)</f>
        <v>0</v>
      </c>
      <c r="H48" s="20">
        <f t="shared" ref="H48" ca="1" si="9">IF(F48+G48=0,"-",(G48/(F48+G48)))</f>
        <v>0</v>
      </c>
      <c r="I48" s="19"/>
      <c r="J48" s="14">
        <f t="shared" ref="J48" ca="1" si="10">B48+F48</f>
        <v>3</v>
      </c>
      <c r="K48" s="14">
        <f t="shared" ref="K48" ca="1" si="11">C48+G48</f>
        <v>0</v>
      </c>
      <c r="L48" s="15">
        <f t="shared" ref="L48" ca="1" si="12">IF(J48+K48=0,"-",(K48/(J48+K48)))</f>
        <v>0</v>
      </c>
      <c r="M48" s="19"/>
      <c r="N48" s="19">
        <f ca="1">ROUND(FIRE1120_raw!N48,0)</f>
        <v>0</v>
      </c>
      <c r="O48" s="19">
        <f ca="1">ROUND(FIRE1120_raw!O48,0)</f>
        <v>0</v>
      </c>
      <c r="P48" s="20" t="str">
        <f t="shared" ref="P48" ca="1" si="13">IF(N48+O48=0,"-",(O48/(N48+O48)))</f>
        <v>-</v>
      </c>
      <c r="Q48" s="19"/>
      <c r="R48" s="19">
        <f ca="1">ROUND(FIRE1120_raw!R48,0)</f>
        <v>0</v>
      </c>
      <c r="S48" s="19">
        <f ca="1">ROUND(FIRE1120_raw!S48,0)</f>
        <v>1</v>
      </c>
      <c r="T48" s="20">
        <f t="shared" ref="T48" ca="1" si="14">IF(R48+S48=0,"-",(S48/(R48+S48)))</f>
        <v>1</v>
      </c>
      <c r="U48" s="19"/>
      <c r="V48" s="14">
        <f t="shared" ref="V48" ca="1" si="15">J48+N48+R48</f>
        <v>3</v>
      </c>
      <c r="W48" s="14">
        <f t="shared" ref="W48" ca="1" si="16">K48+O48+S48</f>
        <v>1</v>
      </c>
      <c r="X48" s="20">
        <f t="shared" ref="X48" ca="1" si="17">IF(V48+W48=0,"-",(W48/(V48+W48)))</f>
        <v>0.25</v>
      </c>
      <c r="Y48" s="16"/>
      <c r="Z48" s="16"/>
      <c r="AA48" s="16"/>
      <c r="AB48" s="16"/>
      <c r="AC48" s="16"/>
      <c r="AD48" s="16"/>
      <c r="AE48" s="16"/>
      <c r="AF48" s="16"/>
      <c r="AG48" s="16"/>
    </row>
    <row r="49" spans="1:33" s="6" customFormat="1" ht="15" customHeight="1" x14ac:dyDescent="0.35">
      <c r="A49" s="22" t="s">
        <v>51</v>
      </c>
      <c r="B49" s="14">
        <f ca="1">SUM(B50:B56)</f>
        <v>691</v>
      </c>
      <c r="C49" s="14">
        <f ca="1">SUM(C50:C56)</f>
        <v>118</v>
      </c>
      <c r="D49" s="15">
        <f t="shared" ca="1" si="0"/>
        <v>0.14585908529048208</v>
      </c>
      <c r="E49" s="14"/>
      <c r="F49" s="14">
        <f ca="1">SUM(F50:F56)</f>
        <v>41</v>
      </c>
      <c r="G49" s="14">
        <f ca="1">SUM(G50:G56)</f>
        <v>7</v>
      </c>
      <c r="H49" s="15">
        <f t="shared" ca="1" si="1"/>
        <v>0.14583333333333334</v>
      </c>
      <c r="I49" s="19"/>
      <c r="J49" s="14">
        <f ca="1">SUM(J50:J56)</f>
        <v>732</v>
      </c>
      <c r="K49" s="14">
        <f ca="1">SUM(K50:K56)</f>
        <v>125</v>
      </c>
      <c r="L49" s="15">
        <f t="shared" ca="1" si="3"/>
        <v>0.14585764294049008</v>
      </c>
      <c r="M49" s="14"/>
      <c r="N49" s="14">
        <f ca="1">SUM(N50:N56)</f>
        <v>5</v>
      </c>
      <c r="O49" s="14">
        <f ca="1">SUM(O50:O56)</f>
        <v>17</v>
      </c>
      <c r="P49" s="15">
        <f t="shared" ca="1" si="4"/>
        <v>0.77272727272727271</v>
      </c>
      <c r="Q49" s="14"/>
      <c r="R49" s="14">
        <f ca="1">SUM(R50:R56)</f>
        <v>151</v>
      </c>
      <c r="S49" s="14">
        <f ca="1">SUM(S50:S56)</f>
        <v>183</v>
      </c>
      <c r="T49" s="15">
        <f t="shared" ca="1" si="5"/>
        <v>0.54790419161676651</v>
      </c>
      <c r="U49" s="14"/>
      <c r="V49" s="14">
        <f ca="1">SUM(V50:V56)</f>
        <v>888</v>
      </c>
      <c r="W49" s="14">
        <f ca="1">SUM(W50:W56)</f>
        <v>325</v>
      </c>
      <c r="X49" s="15">
        <f t="shared" ca="1" si="7"/>
        <v>0.26793075020610058</v>
      </c>
      <c r="Y49" s="16"/>
      <c r="Z49" s="16"/>
      <c r="AA49" s="16"/>
      <c r="AB49" s="16"/>
      <c r="AC49" s="16"/>
      <c r="AD49" s="16"/>
      <c r="AE49" s="16"/>
      <c r="AF49" s="16"/>
      <c r="AG49" s="16"/>
    </row>
    <row r="50" spans="1:33" s="6" customFormat="1" ht="15" customHeight="1" x14ac:dyDescent="0.35">
      <c r="A50" s="5" t="s">
        <v>52</v>
      </c>
      <c r="B50" s="19">
        <f ca="1">ROUND(FIRE1120_raw!B50,0)</f>
        <v>106</v>
      </c>
      <c r="C50" s="19">
        <f ca="1">ROUND(FIRE1120_raw!C50,0)</f>
        <v>19</v>
      </c>
      <c r="D50" s="20">
        <f t="shared" ca="1" si="0"/>
        <v>0.152</v>
      </c>
      <c r="E50" s="19"/>
      <c r="F50" s="19">
        <f ca="1">ROUND(FIRE1120_raw!F50,0)</f>
        <v>0</v>
      </c>
      <c r="G50" s="19">
        <f ca="1">ROUND(FIRE1120_raw!G50,0)</f>
        <v>0</v>
      </c>
      <c r="H50" s="20" t="str">
        <f t="shared" ca="1" si="1"/>
        <v>-</v>
      </c>
      <c r="I50" s="19"/>
      <c r="J50" s="14">
        <f t="shared" ca="1" si="2"/>
        <v>106</v>
      </c>
      <c r="K50" s="14">
        <f t="shared" ca="1" si="2"/>
        <v>19</v>
      </c>
      <c r="L50" s="15">
        <f t="shared" ca="1" si="3"/>
        <v>0.152</v>
      </c>
      <c r="M50" s="19"/>
      <c r="N50" s="19">
        <f ca="1">ROUND(FIRE1120_raw!N50,0)</f>
        <v>0</v>
      </c>
      <c r="O50" s="19">
        <f ca="1">ROUND(FIRE1120_raw!O50,0)</f>
        <v>0</v>
      </c>
      <c r="P50" s="20" t="str">
        <f t="shared" ca="1" si="4"/>
        <v>-</v>
      </c>
      <c r="Q50" s="19"/>
      <c r="R50" s="19">
        <f ca="1">ROUND(FIRE1120_raw!R50,0)</f>
        <v>31</v>
      </c>
      <c r="S50" s="19">
        <f ca="1">ROUND(FIRE1120_raw!S50,0)</f>
        <v>28</v>
      </c>
      <c r="T50" s="20">
        <f t="shared" ca="1" si="5"/>
        <v>0.47457627118644069</v>
      </c>
      <c r="U50" s="19"/>
      <c r="V50" s="14">
        <f t="shared" ref="V50:W55" ca="1" si="18">J50+N50+R50</f>
        <v>137</v>
      </c>
      <c r="W50" s="14">
        <f t="shared" ca="1" si="18"/>
        <v>47</v>
      </c>
      <c r="X50" s="20">
        <f t="shared" ca="1" si="7"/>
        <v>0.25543478260869568</v>
      </c>
      <c r="Y50" s="16"/>
      <c r="Z50" s="16"/>
      <c r="AA50" s="16"/>
      <c r="AB50" s="16"/>
      <c r="AC50" s="16"/>
      <c r="AD50" s="16"/>
      <c r="AE50" s="16"/>
      <c r="AF50" s="16"/>
      <c r="AG50" s="16"/>
    </row>
    <row r="51" spans="1:33" s="6" customFormat="1" ht="15" customHeight="1" x14ac:dyDescent="0.35">
      <c r="A51" s="5" t="s">
        <v>53</v>
      </c>
      <c r="B51" s="19">
        <f ca="1">ROUND(FIRE1120_raw!B51,0)</f>
        <v>43</v>
      </c>
      <c r="C51" s="19">
        <f ca="1">ROUND(FIRE1120_raw!C51,0)</f>
        <v>8</v>
      </c>
      <c r="D51" s="20">
        <f t="shared" ca="1" si="0"/>
        <v>0.15686274509803921</v>
      </c>
      <c r="E51" s="19"/>
      <c r="F51" s="19">
        <f ca="1">ROUND(FIRE1120_raw!F51,0)</f>
        <v>21</v>
      </c>
      <c r="G51" s="19">
        <f ca="1">ROUND(FIRE1120_raw!G51,0)</f>
        <v>4</v>
      </c>
      <c r="H51" s="20">
        <f t="shared" ca="1" si="1"/>
        <v>0.16</v>
      </c>
      <c r="I51" s="19"/>
      <c r="J51" s="14">
        <f t="shared" ca="1" si="2"/>
        <v>64</v>
      </c>
      <c r="K51" s="14">
        <f t="shared" ca="1" si="2"/>
        <v>12</v>
      </c>
      <c r="L51" s="15">
        <f t="shared" ca="1" si="3"/>
        <v>0.15789473684210525</v>
      </c>
      <c r="M51" s="19"/>
      <c r="N51" s="19">
        <f ca="1">ROUND(FIRE1120_raw!N51,0)</f>
        <v>1</v>
      </c>
      <c r="O51" s="19">
        <f ca="1">ROUND(FIRE1120_raw!O51,0)</f>
        <v>6</v>
      </c>
      <c r="P51" s="20">
        <f t="shared" ca="1" si="4"/>
        <v>0.8571428571428571</v>
      </c>
      <c r="Q51" s="19"/>
      <c r="R51" s="19">
        <f ca="1">ROUND(FIRE1120_raw!R51,0)</f>
        <v>32</v>
      </c>
      <c r="S51" s="19">
        <f ca="1">ROUND(FIRE1120_raw!S51,0)</f>
        <v>23</v>
      </c>
      <c r="T51" s="20">
        <f t="shared" ca="1" si="5"/>
        <v>0.41818181818181815</v>
      </c>
      <c r="U51" s="19"/>
      <c r="V51" s="14">
        <f t="shared" ca="1" si="18"/>
        <v>97</v>
      </c>
      <c r="W51" s="14">
        <f t="shared" ca="1" si="18"/>
        <v>41</v>
      </c>
      <c r="X51" s="20">
        <f t="shared" ca="1" si="7"/>
        <v>0.29710144927536231</v>
      </c>
      <c r="Y51" s="16"/>
      <c r="Z51" s="16"/>
      <c r="AA51" s="16"/>
      <c r="AB51" s="16"/>
      <c r="AC51" s="16"/>
      <c r="AD51" s="16"/>
      <c r="AE51" s="16"/>
      <c r="AF51" s="16"/>
      <c r="AG51" s="16"/>
    </row>
    <row r="52" spans="1:33" s="6" customFormat="1" ht="15" customHeight="1" x14ac:dyDescent="0.35">
      <c r="A52" s="5" t="s">
        <v>54</v>
      </c>
      <c r="B52" s="19">
        <f ca="1">ROUND(FIRE1120_raw!B52,0)</f>
        <v>20</v>
      </c>
      <c r="C52" s="19">
        <f ca="1">ROUND(FIRE1120_raw!C52,0)</f>
        <v>3</v>
      </c>
      <c r="D52" s="20">
        <f t="shared" ca="1" si="0"/>
        <v>0.13043478260869565</v>
      </c>
      <c r="E52" s="19"/>
      <c r="F52" s="19">
        <f ca="1">ROUND(FIRE1120_raw!F52,0)</f>
        <v>1</v>
      </c>
      <c r="G52" s="19">
        <f ca="1">ROUND(FIRE1120_raw!G52,0)</f>
        <v>0</v>
      </c>
      <c r="H52" s="20">
        <f t="shared" ca="1" si="1"/>
        <v>0</v>
      </c>
      <c r="I52" s="19"/>
      <c r="J52" s="14">
        <f t="shared" ca="1" si="2"/>
        <v>21</v>
      </c>
      <c r="K52" s="14">
        <f t="shared" ca="1" si="2"/>
        <v>3</v>
      </c>
      <c r="L52" s="15">
        <f t="shared" ca="1" si="3"/>
        <v>0.125</v>
      </c>
      <c r="M52" s="19"/>
      <c r="N52" s="19">
        <f ca="1">ROUND(FIRE1120_raw!N52,0)</f>
        <v>0</v>
      </c>
      <c r="O52" s="19">
        <f ca="1">ROUND(FIRE1120_raw!O52,0)</f>
        <v>0</v>
      </c>
      <c r="P52" s="20" t="str">
        <f t="shared" ca="1" si="4"/>
        <v>-</v>
      </c>
      <c r="Q52" s="19"/>
      <c r="R52" s="19">
        <f ca="1">ROUND(FIRE1120_raw!R52,0)</f>
        <v>8</v>
      </c>
      <c r="S52" s="19">
        <f ca="1">ROUND(FIRE1120_raw!S52,0)</f>
        <v>9</v>
      </c>
      <c r="T52" s="20">
        <f t="shared" ca="1" si="5"/>
        <v>0.52941176470588236</v>
      </c>
      <c r="U52" s="19"/>
      <c r="V52" s="14">
        <f t="shared" ca="1" si="18"/>
        <v>29</v>
      </c>
      <c r="W52" s="14">
        <f t="shared" ca="1" si="18"/>
        <v>12</v>
      </c>
      <c r="X52" s="20">
        <f t="shared" ca="1" si="7"/>
        <v>0.29268292682926828</v>
      </c>
      <c r="Y52" s="16"/>
      <c r="Z52" s="16"/>
      <c r="AA52" s="16"/>
      <c r="AB52" s="16"/>
      <c r="AC52" s="16"/>
      <c r="AD52" s="16"/>
      <c r="AE52" s="16"/>
      <c r="AF52" s="16"/>
      <c r="AG52" s="16"/>
    </row>
    <row r="53" spans="1:33" s="6" customFormat="1" ht="15" customHeight="1" x14ac:dyDescent="0.35">
      <c r="A53" s="2" t="s">
        <v>55</v>
      </c>
      <c r="B53" s="19">
        <f ca="1">ROUND(FIRE1120_raw!B53,0)</f>
        <v>22</v>
      </c>
      <c r="C53" s="19">
        <f ca="1">ROUND(FIRE1120_raw!C53,0)</f>
        <v>4</v>
      </c>
      <c r="D53" s="20">
        <f t="shared" ca="1" si="0"/>
        <v>0.15384615384615385</v>
      </c>
      <c r="E53" s="19"/>
      <c r="F53" s="19">
        <f ca="1">ROUND(FIRE1120_raw!F53,0)</f>
        <v>0</v>
      </c>
      <c r="G53" s="19">
        <f ca="1">ROUND(FIRE1120_raw!G53,0)</f>
        <v>0</v>
      </c>
      <c r="H53" s="20" t="str">
        <f t="shared" ca="1" si="1"/>
        <v>-</v>
      </c>
      <c r="I53" s="19"/>
      <c r="J53" s="14">
        <f t="shared" ca="1" si="2"/>
        <v>22</v>
      </c>
      <c r="K53" s="14">
        <f t="shared" ca="1" si="2"/>
        <v>4</v>
      </c>
      <c r="L53" s="15">
        <f t="shared" ca="1" si="3"/>
        <v>0.15384615384615385</v>
      </c>
      <c r="M53" s="19"/>
      <c r="N53" s="19">
        <f ca="1">ROUND(FIRE1120_raw!N53,0)</f>
        <v>1</v>
      </c>
      <c r="O53" s="19">
        <f ca="1">ROUND(FIRE1120_raw!O53,0)</f>
        <v>4</v>
      </c>
      <c r="P53" s="20">
        <f t="shared" ca="1" si="4"/>
        <v>0.8</v>
      </c>
      <c r="Q53" s="19"/>
      <c r="R53" s="19">
        <f ca="1">ROUND(FIRE1120_raw!R53,0)</f>
        <v>10</v>
      </c>
      <c r="S53" s="19">
        <f ca="1">ROUND(FIRE1120_raw!S53,0)</f>
        <v>21</v>
      </c>
      <c r="T53" s="20">
        <f t="shared" ca="1" si="5"/>
        <v>0.67741935483870963</v>
      </c>
      <c r="U53" s="19"/>
      <c r="V53" s="14">
        <f t="shared" ca="1" si="18"/>
        <v>33</v>
      </c>
      <c r="W53" s="14">
        <f t="shared" ca="1" si="18"/>
        <v>29</v>
      </c>
      <c r="X53" s="20">
        <f t="shared" ca="1" si="7"/>
        <v>0.46774193548387094</v>
      </c>
      <c r="Y53" s="16"/>
      <c r="Z53" s="16"/>
      <c r="AA53" s="16"/>
      <c r="AB53" s="16"/>
      <c r="AC53" s="16"/>
      <c r="AD53" s="16"/>
      <c r="AE53" s="16"/>
      <c r="AF53" s="16"/>
      <c r="AG53" s="16"/>
    </row>
    <row r="54" spans="1:33" s="6" customFormat="1" ht="15" customHeight="1" x14ac:dyDescent="0.35">
      <c r="A54" s="2" t="s">
        <v>56</v>
      </c>
      <c r="B54" s="19">
        <f ca="1">ROUND(FIRE1120_raw!B54,0)</f>
        <v>52</v>
      </c>
      <c r="C54" s="19">
        <f ca="1">ROUND(FIRE1120_raw!C54,0)</f>
        <v>38</v>
      </c>
      <c r="D54" s="20">
        <f t="shared" ca="1" si="0"/>
        <v>0.42222222222222222</v>
      </c>
      <c r="E54" s="19"/>
      <c r="F54" s="19">
        <f ca="1">ROUND(FIRE1120_raw!F54,0)</f>
        <v>0</v>
      </c>
      <c r="G54" s="19">
        <f ca="1">ROUND(FIRE1120_raw!G54,0)</f>
        <v>0</v>
      </c>
      <c r="H54" s="20" t="str">
        <f t="shared" ca="1" si="1"/>
        <v>-</v>
      </c>
      <c r="I54" s="19"/>
      <c r="J54" s="14">
        <f t="shared" ca="1" si="2"/>
        <v>52</v>
      </c>
      <c r="K54" s="14">
        <f t="shared" ca="1" si="2"/>
        <v>38</v>
      </c>
      <c r="L54" s="15">
        <f t="shared" ca="1" si="3"/>
        <v>0.42222222222222222</v>
      </c>
      <c r="M54" s="19"/>
      <c r="N54" s="19">
        <f ca="1">ROUND(FIRE1120_raw!N54,0)</f>
        <v>0</v>
      </c>
      <c r="O54" s="19">
        <f ca="1">ROUND(FIRE1120_raw!O54,0)</f>
        <v>0</v>
      </c>
      <c r="P54" s="20" t="str">
        <f t="shared" ca="1" si="4"/>
        <v>-</v>
      </c>
      <c r="Q54" s="19"/>
      <c r="R54" s="19">
        <f ca="1">ROUND(FIRE1120_raw!R54,0)</f>
        <v>9</v>
      </c>
      <c r="S54" s="19">
        <f ca="1">ROUND(FIRE1120_raw!S54,0)</f>
        <v>11</v>
      </c>
      <c r="T54" s="20">
        <f t="shared" ca="1" si="5"/>
        <v>0.55000000000000004</v>
      </c>
      <c r="U54" s="19"/>
      <c r="V54" s="14">
        <f t="shared" ca="1" si="18"/>
        <v>61</v>
      </c>
      <c r="W54" s="14">
        <f t="shared" ca="1" si="18"/>
        <v>49</v>
      </c>
      <c r="X54" s="20">
        <f t="shared" ca="1" si="7"/>
        <v>0.44545454545454544</v>
      </c>
      <c r="Y54" s="16"/>
      <c r="Z54" s="16"/>
      <c r="AA54" s="16"/>
      <c r="AB54" s="16"/>
      <c r="AC54" s="16"/>
      <c r="AD54" s="16"/>
      <c r="AE54" s="16"/>
      <c r="AF54" s="16"/>
      <c r="AG54" s="16"/>
    </row>
    <row r="55" spans="1:33" s="6" customFormat="1" ht="15" customHeight="1" x14ac:dyDescent="0.35">
      <c r="A55" s="2" t="s">
        <v>57</v>
      </c>
      <c r="B55" s="19">
        <f ca="1">ROUND(FIRE1120_raw!B55,0)</f>
        <v>61</v>
      </c>
      <c r="C55" s="19">
        <f ca="1">ROUND(FIRE1120_raw!C55,0)</f>
        <v>5</v>
      </c>
      <c r="D55" s="20">
        <f t="shared" ca="1" si="0"/>
        <v>7.575757575757576E-2</v>
      </c>
      <c r="E55" s="19"/>
      <c r="F55" s="19">
        <f ca="1">ROUND(FIRE1120_raw!F55,0)</f>
        <v>19</v>
      </c>
      <c r="G55" s="19">
        <f ca="1">ROUND(FIRE1120_raw!G55,0)</f>
        <v>3</v>
      </c>
      <c r="H55" s="20">
        <f t="shared" ca="1" si="1"/>
        <v>0.13636363636363635</v>
      </c>
      <c r="I55" s="19"/>
      <c r="J55" s="14">
        <f t="shared" ca="1" si="2"/>
        <v>80</v>
      </c>
      <c r="K55" s="14">
        <f t="shared" ca="1" si="2"/>
        <v>8</v>
      </c>
      <c r="L55" s="15">
        <f t="shared" ca="1" si="3"/>
        <v>9.0909090909090912E-2</v>
      </c>
      <c r="M55" s="19"/>
      <c r="N55" s="19">
        <f ca="1">ROUND(FIRE1120_raw!N55,0)</f>
        <v>2</v>
      </c>
      <c r="O55" s="19">
        <f ca="1">ROUND(FIRE1120_raw!O55,0)</f>
        <v>3</v>
      </c>
      <c r="P55" s="20">
        <f t="shared" ca="1" si="4"/>
        <v>0.6</v>
      </c>
      <c r="Q55" s="19"/>
      <c r="R55" s="19">
        <f ca="1">ROUND(FIRE1120_raw!R55,0)</f>
        <v>19</v>
      </c>
      <c r="S55" s="19">
        <f ca="1">ROUND(FIRE1120_raw!S55,0)</f>
        <v>25</v>
      </c>
      <c r="T55" s="20">
        <f t="shared" ca="1" si="5"/>
        <v>0.56818181818181823</v>
      </c>
      <c r="U55" s="19"/>
      <c r="V55" s="14">
        <f t="shared" ca="1" si="18"/>
        <v>101</v>
      </c>
      <c r="W55" s="14">
        <f t="shared" ca="1" si="18"/>
        <v>36</v>
      </c>
      <c r="X55" s="20">
        <f t="shared" ca="1" si="7"/>
        <v>0.26277372262773724</v>
      </c>
      <c r="Y55" s="16"/>
      <c r="Z55" s="16"/>
      <c r="AA55" s="16"/>
      <c r="AB55" s="16"/>
      <c r="AC55" s="16"/>
      <c r="AD55" s="16"/>
      <c r="AE55" s="16"/>
      <c r="AF55" s="16"/>
      <c r="AG55" s="16"/>
    </row>
    <row r="56" spans="1:33" s="6" customFormat="1" ht="15" customHeight="1" thickBot="1" x14ac:dyDescent="0.4">
      <c r="A56" s="23" t="s">
        <v>58</v>
      </c>
      <c r="B56" s="24">
        <f ca="1">ROUND(FIRE1120_raw!B56,0)</f>
        <v>387</v>
      </c>
      <c r="C56" s="24">
        <f ca="1">ROUND(FIRE1120_raw!C56,0)</f>
        <v>41</v>
      </c>
      <c r="D56" s="39">
        <f t="shared" ref="D56" ca="1" si="19">IF(B56+C56=0,"-",(C56/(B56+C56)))</f>
        <v>9.5794392523364483E-2</v>
      </c>
      <c r="E56" s="24"/>
      <c r="F56" s="24">
        <f ca="1">ROUND(FIRE1120_raw!F56,0)</f>
        <v>0</v>
      </c>
      <c r="G56" s="24">
        <f ca="1">ROUND(FIRE1120_raw!G56,0)</f>
        <v>0</v>
      </c>
      <c r="H56" s="39" t="str">
        <f t="shared" ref="H56" ca="1" si="20">IF(F56+G56=0,"-",(G56/(F56+G56)))</f>
        <v>-</v>
      </c>
      <c r="I56" s="24"/>
      <c r="J56" s="25">
        <f t="shared" ref="J56" ca="1" si="21">B56+F56</f>
        <v>387</v>
      </c>
      <c r="K56" s="25">
        <f t="shared" ref="K56" ca="1" si="22">C56+G56</f>
        <v>41</v>
      </c>
      <c r="L56" s="26">
        <f t="shared" ref="L56" ca="1" si="23">IF(J56+K56=0,"-",(K56/(J56+K56)))</f>
        <v>9.5794392523364483E-2</v>
      </c>
      <c r="M56" s="24"/>
      <c r="N56" s="24">
        <f ca="1">ROUND(FIRE1120_raw!N56,0)</f>
        <v>1</v>
      </c>
      <c r="O56" s="24">
        <f ca="1">ROUND(FIRE1120_raw!O56,0)</f>
        <v>4</v>
      </c>
      <c r="P56" s="39">
        <f t="shared" ref="P56" ca="1" si="24">IF(N56+O56=0,"-",(O56/(N56+O56)))</f>
        <v>0.8</v>
      </c>
      <c r="Q56" s="24"/>
      <c r="R56" s="24">
        <f ca="1">ROUND(FIRE1120_raw!R56,0)</f>
        <v>42</v>
      </c>
      <c r="S56" s="24">
        <f ca="1">ROUND(FIRE1120_raw!S56,0)</f>
        <v>66</v>
      </c>
      <c r="T56" s="39">
        <f t="shared" ref="T56" ca="1" si="25">IF(R56+S56=0,"-",(S56/(R56+S56)))</f>
        <v>0.61111111111111116</v>
      </c>
      <c r="U56" s="77"/>
      <c r="V56" s="25">
        <f t="shared" ref="V56" ca="1" si="26">J56+N56+R56</f>
        <v>430</v>
      </c>
      <c r="W56" s="25">
        <f t="shared" ref="W56" ca="1" si="27">K56+O56+S56</f>
        <v>111</v>
      </c>
      <c r="X56" s="39">
        <f t="shared" ref="X56" ca="1" si="28">IF(V56+W56=0,"-",(W56/(V56+W56)))</f>
        <v>0.20517560073937152</v>
      </c>
      <c r="Y56" s="16"/>
      <c r="Z56" s="16"/>
      <c r="AA56" s="16"/>
      <c r="AB56" s="16"/>
      <c r="AC56" s="16"/>
      <c r="AD56" s="16"/>
      <c r="AE56" s="16"/>
      <c r="AF56" s="16"/>
      <c r="AG56" s="16"/>
    </row>
    <row r="57" spans="1:33" s="6" customFormat="1" ht="15" customHeight="1" x14ac:dyDescent="0.35">
      <c r="A57" s="5"/>
      <c r="B57" s="32"/>
      <c r="C57" s="32"/>
      <c r="D57" s="32"/>
      <c r="E57" s="32"/>
      <c r="F57" s="32"/>
      <c r="G57" s="32"/>
      <c r="H57" s="32"/>
      <c r="I57" s="32"/>
      <c r="J57" s="32"/>
      <c r="K57" s="32"/>
      <c r="L57" s="32"/>
      <c r="M57" s="32"/>
      <c r="N57" s="32"/>
      <c r="O57" s="32"/>
      <c r="P57" s="32"/>
      <c r="Q57" s="32"/>
      <c r="R57" s="32"/>
      <c r="S57" s="32"/>
      <c r="T57" s="32"/>
      <c r="U57" s="32"/>
      <c r="V57" s="32"/>
      <c r="W57" s="32"/>
      <c r="X57" s="32"/>
      <c r="Y57" s="16"/>
      <c r="Z57" s="16"/>
      <c r="AA57" s="16"/>
      <c r="AB57" s="16"/>
      <c r="AC57" s="16"/>
      <c r="AD57" s="16"/>
      <c r="AE57" s="16"/>
      <c r="AF57" s="16"/>
      <c r="AG57" s="16"/>
    </row>
    <row r="58" spans="1:33" x14ac:dyDescent="0.35">
      <c r="A58" s="65" t="s">
        <v>153</v>
      </c>
      <c r="B58" s="65"/>
      <c r="C58" s="65"/>
      <c r="D58" s="65"/>
      <c r="E58" s="65"/>
      <c r="F58" s="65"/>
      <c r="G58" s="65"/>
      <c r="H58" s="65"/>
      <c r="I58" s="65"/>
      <c r="J58" s="65"/>
      <c r="K58" s="65"/>
      <c r="L58" s="65"/>
      <c r="M58" s="65"/>
      <c r="N58" s="65"/>
      <c r="O58" s="65"/>
      <c r="P58" s="65"/>
      <c r="Q58" s="65"/>
      <c r="R58" s="65"/>
      <c r="S58" s="65"/>
      <c r="T58" s="65"/>
      <c r="U58" s="65"/>
      <c r="V58" s="65"/>
      <c r="W58" s="65"/>
      <c r="X58" s="65"/>
    </row>
    <row r="59" spans="1:33" x14ac:dyDescent="0.35">
      <c r="A59" s="65" t="s">
        <v>155</v>
      </c>
      <c r="B59" s="66"/>
      <c r="C59" s="66"/>
      <c r="D59" s="66"/>
      <c r="E59" s="66"/>
      <c r="F59" s="66"/>
      <c r="G59" s="66"/>
      <c r="H59" s="66"/>
      <c r="I59" s="66"/>
      <c r="J59" s="66"/>
      <c r="K59" s="66"/>
      <c r="L59" s="66"/>
      <c r="M59" s="66"/>
      <c r="N59" s="66"/>
      <c r="O59" s="66"/>
      <c r="P59" s="66"/>
      <c r="Q59" s="66"/>
      <c r="R59" s="66"/>
      <c r="S59" s="66"/>
      <c r="T59" s="66"/>
      <c r="U59" s="66"/>
      <c r="V59" s="66"/>
      <c r="W59" s="66"/>
      <c r="X59" s="66"/>
    </row>
    <row r="60" spans="1:33" x14ac:dyDescent="0.35">
      <c r="A60" s="78" t="s">
        <v>154</v>
      </c>
      <c r="B60" s="78"/>
      <c r="C60" s="78"/>
      <c r="D60" s="78"/>
      <c r="E60" s="78"/>
      <c r="F60" s="78"/>
      <c r="G60" s="78"/>
      <c r="H60" s="78"/>
      <c r="I60" s="78"/>
      <c r="J60" s="78"/>
      <c r="K60" s="78"/>
      <c r="L60" s="78"/>
      <c r="M60" s="78"/>
      <c r="N60" s="78"/>
      <c r="O60" s="78"/>
      <c r="P60" s="78"/>
      <c r="Q60" s="78"/>
      <c r="R60" s="78"/>
      <c r="S60" s="78"/>
      <c r="T60" s="78"/>
      <c r="U60" s="78"/>
      <c r="V60" s="78"/>
      <c r="W60" s="78"/>
      <c r="X60" s="78"/>
      <c r="Y60" s="29"/>
    </row>
    <row r="61" spans="1:33" x14ac:dyDescent="0.35">
      <c r="A61" s="66"/>
      <c r="B61" s="6"/>
      <c r="C61" s="6"/>
      <c r="D61" s="6"/>
      <c r="E61" s="6"/>
      <c r="F61" s="6"/>
      <c r="G61" s="6"/>
      <c r="H61" s="6"/>
      <c r="I61" s="6"/>
      <c r="J61" s="6"/>
      <c r="K61" s="6"/>
      <c r="L61" s="6"/>
      <c r="M61" s="6"/>
      <c r="N61" s="6"/>
      <c r="O61" s="6"/>
      <c r="P61" s="6"/>
      <c r="Q61" s="6"/>
      <c r="R61" s="6"/>
      <c r="S61" s="6"/>
      <c r="T61" s="6"/>
      <c r="U61" s="6"/>
      <c r="V61" s="6"/>
      <c r="W61" s="6"/>
      <c r="X61" s="6"/>
    </row>
    <row r="62" spans="1:33" x14ac:dyDescent="0.35">
      <c r="A62" s="67" t="s">
        <v>60</v>
      </c>
      <c r="B62" s="68"/>
      <c r="C62" s="68"/>
      <c r="D62" s="68"/>
      <c r="E62" s="68"/>
      <c r="F62" s="68"/>
      <c r="G62" s="68"/>
      <c r="H62" s="68"/>
      <c r="I62" s="68"/>
      <c r="J62" s="68"/>
      <c r="K62" s="68"/>
      <c r="L62" s="68"/>
      <c r="M62" s="68"/>
      <c r="N62" s="68"/>
      <c r="O62" s="68"/>
      <c r="P62" s="68"/>
      <c r="Q62" s="68"/>
      <c r="R62" s="68"/>
      <c r="S62" s="68"/>
      <c r="T62" s="68"/>
      <c r="U62" s="68"/>
      <c r="V62" s="68"/>
      <c r="W62" s="68"/>
      <c r="X62" s="68"/>
    </row>
    <row r="63" spans="1:33" ht="15" customHeight="1" x14ac:dyDescent="0.35">
      <c r="A63" s="74" t="s">
        <v>61</v>
      </c>
      <c r="B63" s="6"/>
      <c r="C63" s="6"/>
      <c r="D63" s="6"/>
      <c r="E63" s="6"/>
      <c r="F63" s="6"/>
      <c r="G63" s="6"/>
      <c r="H63" s="6"/>
      <c r="I63" s="6"/>
      <c r="J63" s="6"/>
      <c r="K63" s="6"/>
      <c r="L63" s="6"/>
      <c r="M63" s="6"/>
      <c r="N63" s="6"/>
      <c r="O63" s="6"/>
      <c r="P63" s="6"/>
      <c r="Q63" s="6"/>
      <c r="R63" s="6"/>
      <c r="S63" s="6"/>
      <c r="T63" s="6"/>
      <c r="U63" s="6"/>
      <c r="V63" s="6"/>
      <c r="W63" s="6"/>
      <c r="X63" s="6"/>
    </row>
    <row r="64" spans="1:33" x14ac:dyDescent="0.35">
      <c r="A64" s="6"/>
      <c r="B64" s="1"/>
      <c r="C64" s="1"/>
      <c r="D64" s="1"/>
      <c r="E64" s="1"/>
      <c r="F64" s="1"/>
      <c r="G64" s="1"/>
      <c r="H64" s="1"/>
      <c r="I64" s="1"/>
      <c r="J64" s="1"/>
      <c r="K64" s="1"/>
      <c r="L64" s="1"/>
      <c r="M64" s="1"/>
      <c r="N64" s="1"/>
      <c r="O64" s="1"/>
      <c r="P64" s="1"/>
      <c r="Q64" s="1"/>
      <c r="R64" s="1"/>
      <c r="S64" s="1"/>
      <c r="T64" s="1"/>
      <c r="U64" s="1"/>
      <c r="V64" s="1"/>
      <c r="W64" s="1"/>
      <c r="X64" s="1"/>
    </row>
    <row r="65" spans="1:24" x14ac:dyDescent="0.35">
      <c r="A65" s="6" t="s">
        <v>62</v>
      </c>
      <c r="B65" s="1"/>
      <c r="C65" s="1"/>
      <c r="D65" s="1"/>
      <c r="E65" s="1"/>
      <c r="F65" s="1"/>
      <c r="G65" s="1"/>
      <c r="H65" s="1"/>
      <c r="I65" s="1"/>
      <c r="J65" s="1"/>
      <c r="K65" s="1"/>
      <c r="L65" s="1"/>
      <c r="M65" s="1"/>
      <c r="N65" s="1"/>
      <c r="O65" s="1"/>
      <c r="P65" s="1"/>
      <c r="Q65" s="1"/>
      <c r="R65" s="1"/>
      <c r="S65" s="1"/>
      <c r="T65" s="1"/>
      <c r="U65" s="1"/>
      <c r="V65" s="1"/>
      <c r="W65" s="1"/>
      <c r="X65" s="1"/>
    </row>
    <row r="66" spans="1:24" x14ac:dyDescent="0.35">
      <c r="A66" s="69" t="s">
        <v>63</v>
      </c>
      <c r="B66" s="6"/>
      <c r="C66" s="6"/>
      <c r="D66" s="6"/>
      <c r="E66" s="6"/>
      <c r="F66" s="6"/>
      <c r="G66" s="6"/>
      <c r="H66" s="6"/>
      <c r="I66" s="6"/>
      <c r="J66" s="6"/>
      <c r="K66" s="6"/>
      <c r="L66" s="6"/>
      <c r="M66" s="6"/>
      <c r="N66" s="6"/>
      <c r="O66" s="6"/>
      <c r="P66" s="6"/>
      <c r="Q66" s="6"/>
      <c r="R66" s="6"/>
      <c r="S66" s="6"/>
      <c r="T66" s="6"/>
      <c r="U66" s="6"/>
      <c r="V66" s="6"/>
      <c r="W66" s="6"/>
      <c r="X66" s="6"/>
    </row>
    <row r="67" spans="1:24" x14ac:dyDescent="0.35">
      <c r="A67" s="6"/>
      <c r="B67" s="65"/>
      <c r="C67" s="65"/>
      <c r="D67" s="65"/>
      <c r="E67" s="65"/>
      <c r="F67" s="65"/>
      <c r="G67" s="65"/>
      <c r="H67" s="65"/>
      <c r="I67" s="65"/>
      <c r="J67" s="65"/>
      <c r="K67" s="65"/>
      <c r="L67" s="65"/>
      <c r="M67" s="65"/>
      <c r="N67" s="65"/>
      <c r="O67" s="65"/>
      <c r="P67" s="65"/>
      <c r="Q67" s="65"/>
      <c r="R67" s="65"/>
      <c r="S67" s="65"/>
      <c r="T67" s="65"/>
      <c r="U67" s="65"/>
      <c r="V67" s="65"/>
      <c r="W67" s="65"/>
      <c r="X67" s="65"/>
    </row>
    <row r="68" spans="1:24" x14ac:dyDescent="0.35">
      <c r="A68" s="65" t="s">
        <v>64</v>
      </c>
      <c r="B68" s="6"/>
      <c r="C68" s="6"/>
      <c r="D68" s="6"/>
      <c r="E68" s="6"/>
      <c r="F68" s="6"/>
      <c r="G68" s="6"/>
      <c r="H68" s="6"/>
      <c r="I68" s="6"/>
      <c r="J68" s="6"/>
      <c r="K68" s="6"/>
      <c r="L68" s="6"/>
      <c r="M68" s="6"/>
      <c r="N68" s="6"/>
      <c r="O68" s="6"/>
      <c r="P68" s="6"/>
      <c r="Q68" s="6"/>
      <c r="R68" s="6"/>
      <c r="S68" s="6"/>
      <c r="T68" s="6"/>
      <c r="U68" s="6"/>
      <c r="V68" s="6"/>
      <c r="W68" s="6"/>
      <c r="X68" s="6"/>
    </row>
    <row r="69" spans="1:24" x14ac:dyDescent="0.35">
      <c r="A69" s="69"/>
      <c r="B69" s="6"/>
      <c r="C69" s="6"/>
      <c r="D69" s="6"/>
      <c r="E69" s="6"/>
      <c r="F69" s="6"/>
      <c r="G69" s="6"/>
      <c r="H69" s="6"/>
      <c r="I69" s="6"/>
      <c r="J69" s="6"/>
      <c r="K69" s="6"/>
      <c r="L69" s="6"/>
      <c r="M69" s="6"/>
      <c r="N69" s="6"/>
      <c r="O69" s="6"/>
      <c r="P69" s="6"/>
      <c r="Q69" s="6"/>
      <c r="R69" s="6"/>
      <c r="S69" s="6"/>
      <c r="T69" s="6"/>
      <c r="U69" s="6"/>
      <c r="V69" s="6"/>
      <c r="W69" s="6"/>
    </row>
    <row r="70" spans="1:24" ht="14.5" customHeight="1" x14ac:dyDescent="0.35">
      <c r="A70" s="6" t="s">
        <v>65</v>
      </c>
      <c r="B70" s="6"/>
      <c r="C70" s="6"/>
      <c r="D70" s="6"/>
      <c r="E70" s="6"/>
      <c r="F70" s="6"/>
      <c r="G70" s="6"/>
      <c r="H70" s="6"/>
      <c r="I70" s="6"/>
      <c r="J70" s="6"/>
      <c r="K70" s="6"/>
      <c r="L70" s="6"/>
      <c r="M70" s="6"/>
      <c r="N70" s="6"/>
      <c r="O70" s="6"/>
      <c r="P70" s="6"/>
      <c r="Q70" s="6"/>
      <c r="R70" s="6"/>
      <c r="S70" s="6"/>
      <c r="T70" s="6"/>
      <c r="U70" s="6"/>
      <c r="V70" s="86" t="s">
        <v>146</v>
      </c>
      <c r="W70" s="86"/>
      <c r="X70" s="86"/>
    </row>
    <row r="71" spans="1:24" x14ac:dyDescent="0.35">
      <c r="A71" s="76" t="s">
        <v>138</v>
      </c>
      <c r="B71" s="6"/>
      <c r="C71" s="6"/>
      <c r="D71" s="6"/>
      <c r="E71" s="6"/>
      <c r="F71" s="6"/>
      <c r="G71" s="6"/>
      <c r="H71" s="6"/>
      <c r="I71" s="6"/>
      <c r="J71" s="6"/>
      <c r="K71" s="6"/>
      <c r="L71" s="6"/>
      <c r="M71" s="6"/>
      <c r="N71" s="6"/>
      <c r="O71" s="6"/>
      <c r="P71" s="6"/>
      <c r="Q71" s="6"/>
      <c r="R71" s="6"/>
      <c r="S71" s="6"/>
      <c r="T71" s="6"/>
      <c r="U71" s="6"/>
      <c r="V71" s="85" t="s">
        <v>147</v>
      </c>
      <c r="W71" s="85"/>
      <c r="X71" s="85"/>
    </row>
    <row r="95" spans="26:26" x14ac:dyDescent="0.35">
      <c r="Z95" s="5" t="s">
        <v>114</v>
      </c>
    </row>
    <row r="96" spans="26:26" x14ac:dyDescent="0.35">
      <c r="Z96" s="5" t="s">
        <v>73</v>
      </c>
    </row>
    <row r="97" spans="26:26" x14ac:dyDescent="0.35">
      <c r="Z97" s="5" t="s">
        <v>74</v>
      </c>
    </row>
  </sheetData>
  <mergeCells count="11">
    <mergeCell ref="V71:X71"/>
    <mergeCell ref="V70:X70"/>
    <mergeCell ref="A1:X1"/>
    <mergeCell ref="A4:L4"/>
    <mergeCell ref="B6:D6"/>
    <mergeCell ref="F6:H6"/>
    <mergeCell ref="J6:L6"/>
    <mergeCell ref="N6:P6"/>
    <mergeCell ref="R6:T6"/>
    <mergeCell ref="V6:X6"/>
    <mergeCell ref="A60:X60"/>
  </mergeCells>
  <dataValidations count="1">
    <dataValidation type="list" allowBlank="1" showInputMessage="1" showErrorMessage="1" sqref="A4:L4" xr:uid="{00000000-0002-0000-0300-000000000000}">
      <formula1>$Z$95:$Z$97</formula1>
    </dataValidation>
  </dataValidations>
  <hyperlinks>
    <hyperlink ref="A66" r:id="rId1" xr:uid="{00000000-0004-0000-0300-000000000000}"/>
    <hyperlink ref="A71" r:id="rId2" xr:uid="{00000000-0004-0000-0300-000001000000}"/>
    <hyperlink ref="V70" r:id="rId3" display="Updated alongside Fire and rescue workforce and pensions statistics" xr:uid="{FEAAC179-B2C1-44CC-9FBE-C916EBDC9F75}"/>
    <hyperlink ref="V71:X71" r:id="rId4" display="Next Update: Autumn 2020" xr:uid="{4B8F5927-9F9F-4507-AB13-85867BBC1DC6}"/>
  </hyperlinks>
  <pageMargins left="0.7" right="0.7" top="0.75" bottom="0.75" header="0.3" footer="0.3"/>
  <pageSetup paperSize="9" orientation="portrait" r:id="rId5"/>
  <ignoredErrors>
    <ignoredError sqref="J49:K49 V49:W4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(2016-17)</vt:lpstr>
      <vt:lpstr>(2017-18)</vt:lpstr>
      <vt:lpstr>(2018-19)</vt:lpstr>
      <vt:lpstr>FIRE1120_raw</vt:lpstr>
      <vt:lpstr>QA</vt:lpstr>
      <vt:lpstr>macro</vt:lpstr>
      <vt:lpstr>raw</vt:lpstr>
      <vt:lpstr>stats release</vt:lpstr>
      <vt:lpstr>FIRE1120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FIRE1120: Staff joining fire authorities, by fire and rescue authority, gender and role</dc:title>
  <dc:creator/>
  <cp:keywords>data tables, gender, role, 2019</cp:keywords>
  <cp:lastModifiedBy/>
  <dcterms:created xsi:type="dcterms:W3CDTF">2019-10-29T14:44:22Z</dcterms:created>
  <dcterms:modified xsi:type="dcterms:W3CDTF">2019-10-29T14:45:27Z</dcterms:modified>
</cp:coreProperties>
</file>